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Qatar Embassies in World Cup Countries/"/>
    </mc:Choice>
  </mc:AlternateContent>
  <xr:revisionPtr revIDLastSave="0" documentId="8_{68A84A7E-16D0-974D-83FC-31E34B3FA7BA}"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71" i="1" l="1"/>
  <c r="H570" i="1"/>
  <c r="A570" i="1"/>
  <c r="K569" i="1"/>
  <c r="J569" i="1"/>
  <c r="I569" i="1"/>
  <c r="H569" i="1"/>
  <c r="A569" i="1"/>
  <c r="H568" i="1"/>
  <c r="A568" i="1"/>
  <c r="H567" i="1"/>
  <c r="A567" i="1"/>
  <c r="J566" i="1"/>
  <c r="I566" i="1"/>
  <c r="H566" i="1"/>
  <c r="A566" i="1"/>
  <c r="J565" i="1"/>
  <c r="I565" i="1"/>
  <c r="H565" i="1"/>
  <c r="A565" i="1"/>
  <c r="A564" i="1"/>
  <c r="H563" i="1"/>
  <c r="A563" i="1"/>
  <c r="H562" i="1"/>
  <c r="A562" i="1"/>
  <c r="I561" i="1"/>
  <c r="H561" i="1"/>
  <c r="A561" i="1"/>
  <c r="H560" i="1"/>
  <c r="A560" i="1"/>
  <c r="H559" i="1"/>
  <c r="A559" i="1"/>
  <c r="H558" i="1"/>
  <c r="A558" i="1"/>
  <c r="K557" i="1"/>
  <c r="J557" i="1"/>
  <c r="I557" i="1"/>
  <c r="H557" i="1"/>
  <c r="A557" i="1"/>
  <c r="H556" i="1"/>
  <c r="A556" i="1"/>
  <c r="J555" i="1"/>
  <c r="I555" i="1"/>
  <c r="H555" i="1"/>
  <c r="A555" i="1"/>
  <c r="J554" i="1"/>
  <c r="I554" i="1"/>
  <c r="H554" i="1"/>
  <c r="A554" i="1"/>
  <c r="A553" i="1"/>
  <c r="H552" i="1"/>
  <c r="A552" i="1"/>
  <c r="I551" i="1"/>
  <c r="H551" i="1"/>
  <c r="A551" i="1"/>
  <c r="H550" i="1"/>
  <c r="A550" i="1"/>
  <c r="H549" i="1"/>
  <c r="A549" i="1"/>
  <c r="J548" i="1"/>
  <c r="I548" i="1"/>
  <c r="H548" i="1"/>
  <c r="A548" i="1"/>
  <c r="H547" i="1"/>
  <c r="A547" i="1"/>
  <c r="H546" i="1"/>
  <c r="A546" i="1"/>
  <c r="H545" i="1"/>
  <c r="A545" i="1"/>
  <c r="J544" i="1"/>
  <c r="I544" i="1"/>
  <c r="H544" i="1"/>
  <c r="A544" i="1"/>
  <c r="H543" i="1"/>
  <c r="A543" i="1"/>
  <c r="K542" i="1"/>
  <c r="J542" i="1"/>
  <c r="I542" i="1"/>
  <c r="H542" i="1"/>
  <c r="A542" i="1"/>
  <c r="H541" i="1"/>
  <c r="A541" i="1"/>
  <c r="H540" i="1"/>
  <c r="A540" i="1"/>
  <c r="A539" i="1"/>
  <c r="K538" i="1"/>
  <c r="J538" i="1"/>
  <c r="I538" i="1"/>
  <c r="H538" i="1"/>
  <c r="A538" i="1"/>
  <c r="H537" i="1"/>
  <c r="A537" i="1"/>
  <c r="H536" i="1"/>
  <c r="A536" i="1"/>
  <c r="K535" i="1"/>
  <c r="J535" i="1"/>
  <c r="I535" i="1"/>
  <c r="H535" i="1"/>
  <c r="A535" i="1"/>
  <c r="K534" i="1"/>
  <c r="J534" i="1"/>
  <c r="I534" i="1"/>
  <c r="H534" i="1"/>
  <c r="A534" i="1"/>
  <c r="H533" i="1"/>
  <c r="A533" i="1"/>
  <c r="H532" i="1"/>
  <c r="A532" i="1"/>
  <c r="I531" i="1"/>
  <c r="H531" i="1"/>
  <c r="A531" i="1"/>
  <c r="H530" i="1"/>
  <c r="A530" i="1"/>
  <c r="H529" i="1"/>
  <c r="A529" i="1"/>
  <c r="A528" i="1"/>
  <c r="K527" i="1"/>
  <c r="J527" i="1"/>
  <c r="I527" i="1"/>
  <c r="H527" i="1"/>
  <c r="A527" i="1"/>
  <c r="K526" i="1"/>
  <c r="J526" i="1"/>
  <c r="I526" i="1"/>
  <c r="H526" i="1"/>
  <c r="A526" i="1"/>
  <c r="H525" i="1"/>
  <c r="A525" i="1"/>
  <c r="H524" i="1"/>
  <c r="A524" i="1"/>
  <c r="H523" i="1"/>
  <c r="A523" i="1"/>
  <c r="H522" i="1"/>
  <c r="A522" i="1"/>
  <c r="K521" i="1"/>
  <c r="J521" i="1"/>
  <c r="I521" i="1"/>
  <c r="H521" i="1"/>
  <c r="A521" i="1"/>
  <c r="H520" i="1"/>
  <c r="A520" i="1"/>
  <c r="H519" i="1"/>
  <c r="A519" i="1"/>
  <c r="H518" i="1"/>
  <c r="A518" i="1"/>
  <c r="H517" i="1"/>
  <c r="A517" i="1"/>
  <c r="K516" i="1"/>
  <c r="J516" i="1"/>
  <c r="I516" i="1"/>
  <c r="H516" i="1"/>
  <c r="A516" i="1"/>
  <c r="I515" i="1"/>
  <c r="H515" i="1"/>
  <c r="A515" i="1"/>
  <c r="H514" i="1"/>
  <c r="A514" i="1"/>
  <c r="K513" i="1"/>
  <c r="J513" i="1"/>
  <c r="I513" i="1"/>
  <c r="H513" i="1"/>
  <c r="A513" i="1"/>
  <c r="H512" i="1"/>
  <c r="A512" i="1"/>
  <c r="K511" i="1"/>
  <c r="J511" i="1"/>
  <c r="I511" i="1"/>
  <c r="H511" i="1"/>
  <c r="A511" i="1"/>
  <c r="H510" i="1"/>
  <c r="A510" i="1"/>
  <c r="H509" i="1"/>
  <c r="A509" i="1"/>
  <c r="I508" i="1"/>
  <c r="H508" i="1"/>
  <c r="A508" i="1"/>
  <c r="I507" i="1"/>
  <c r="H507" i="1"/>
  <c r="A507" i="1"/>
  <c r="H506" i="1"/>
  <c r="A506" i="1"/>
  <c r="J505" i="1"/>
  <c r="I505" i="1"/>
  <c r="H505" i="1"/>
  <c r="A505" i="1"/>
  <c r="J504" i="1"/>
  <c r="I504" i="1"/>
  <c r="H504" i="1"/>
  <c r="A504" i="1"/>
  <c r="I503" i="1"/>
  <c r="H503" i="1"/>
  <c r="A503" i="1"/>
  <c r="H502" i="1"/>
  <c r="A502" i="1"/>
  <c r="H501" i="1"/>
  <c r="A501" i="1"/>
  <c r="H500" i="1"/>
  <c r="A500" i="1"/>
  <c r="I499" i="1"/>
  <c r="H499" i="1"/>
  <c r="A499" i="1"/>
  <c r="H498" i="1"/>
  <c r="A498" i="1"/>
  <c r="A497" i="1"/>
  <c r="I496" i="1"/>
  <c r="H496" i="1"/>
  <c r="A496" i="1"/>
  <c r="H495" i="1"/>
  <c r="A495" i="1"/>
  <c r="K494" i="1"/>
  <c r="J494" i="1"/>
  <c r="I494" i="1"/>
  <c r="H494" i="1"/>
  <c r="A494" i="1"/>
  <c r="I493" i="1"/>
  <c r="H493" i="1"/>
  <c r="A493" i="1"/>
  <c r="K492" i="1"/>
  <c r="J492" i="1"/>
  <c r="I492" i="1"/>
  <c r="H492" i="1"/>
  <c r="A492" i="1"/>
  <c r="K491" i="1"/>
  <c r="J491" i="1"/>
  <c r="I491" i="1"/>
  <c r="H491" i="1"/>
  <c r="A491" i="1"/>
  <c r="A490" i="1"/>
  <c r="H489" i="1"/>
  <c r="A489" i="1"/>
  <c r="H488" i="1"/>
  <c r="A488" i="1"/>
  <c r="H487" i="1"/>
  <c r="A487" i="1"/>
  <c r="H486" i="1"/>
  <c r="A486" i="1"/>
  <c r="I485" i="1"/>
  <c r="H485" i="1"/>
  <c r="A485" i="1"/>
  <c r="A484" i="1"/>
  <c r="H483" i="1"/>
  <c r="A483" i="1"/>
  <c r="A482" i="1"/>
  <c r="I481" i="1"/>
  <c r="H481" i="1"/>
  <c r="A481" i="1"/>
  <c r="H480" i="1"/>
  <c r="A480" i="1"/>
  <c r="A479" i="1"/>
  <c r="H478" i="1"/>
  <c r="A478" i="1"/>
  <c r="H477" i="1"/>
  <c r="A477" i="1"/>
  <c r="H476" i="1"/>
  <c r="A476" i="1"/>
  <c r="H475" i="1"/>
  <c r="A475" i="1"/>
  <c r="H474" i="1"/>
  <c r="A474" i="1"/>
  <c r="H473" i="1"/>
  <c r="A473" i="1"/>
  <c r="K472" i="1"/>
  <c r="J472" i="1"/>
  <c r="I472" i="1"/>
  <c r="H472" i="1"/>
  <c r="A472" i="1"/>
  <c r="H471" i="1"/>
  <c r="A471" i="1"/>
  <c r="H470" i="1"/>
  <c r="A470" i="1"/>
  <c r="I469" i="1"/>
  <c r="H469" i="1"/>
  <c r="A469" i="1"/>
  <c r="A468" i="1"/>
  <c r="I467" i="1"/>
  <c r="H467" i="1"/>
  <c r="A467" i="1"/>
  <c r="I466" i="1"/>
  <c r="H466" i="1"/>
  <c r="A466" i="1"/>
  <c r="I465" i="1"/>
  <c r="H465" i="1"/>
  <c r="A465" i="1"/>
  <c r="J464" i="1"/>
  <c r="I464" i="1"/>
  <c r="H464" i="1"/>
  <c r="A464" i="1"/>
  <c r="I463" i="1"/>
  <c r="H463" i="1"/>
  <c r="A463" i="1"/>
  <c r="H462" i="1"/>
  <c r="A462" i="1"/>
  <c r="H461" i="1"/>
  <c r="A461" i="1"/>
  <c r="H460" i="1"/>
  <c r="A460" i="1"/>
  <c r="H459" i="1"/>
  <c r="A459" i="1"/>
  <c r="H458" i="1"/>
  <c r="A458" i="1"/>
  <c r="J457" i="1"/>
  <c r="I457" i="1"/>
  <c r="H457" i="1"/>
  <c r="A457" i="1"/>
  <c r="H456" i="1"/>
  <c r="A456" i="1"/>
  <c r="H455" i="1"/>
  <c r="A455" i="1"/>
  <c r="H454" i="1"/>
  <c r="A454" i="1"/>
  <c r="H453" i="1"/>
  <c r="A453" i="1"/>
  <c r="H452" i="1"/>
  <c r="A452" i="1"/>
  <c r="K451" i="1"/>
  <c r="J451" i="1"/>
  <c r="I451" i="1"/>
  <c r="H451" i="1"/>
  <c r="A451" i="1"/>
  <c r="H450" i="1"/>
  <c r="A450" i="1"/>
  <c r="I449" i="1"/>
  <c r="H449" i="1"/>
  <c r="A449" i="1"/>
  <c r="H448" i="1"/>
  <c r="A448" i="1"/>
  <c r="H447" i="1"/>
  <c r="A447" i="1"/>
  <c r="H446" i="1"/>
  <c r="A446" i="1"/>
  <c r="H445" i="1"/>
  <c r="A445" i="1"/>
  <c r="H444" i="1"/>
  <c r="A444" i="1"/>
  <c r="H443" i="1"/>
  <c r="A443" i="1"/>
  <c r="J442" i="1"/>
  <c r="I442" i="1"/>
  <c r="H442" i="1"/>
  <c r="A442" i="1"/>
  <c r="H441" i="1"/>
  <c r="A441" i="1"/>
  <c r="H440" i="1"/>
  <c r="A440" i="1"/>
  <c r="H439" i="1"/>
  <c r="A439" i="1"/>
  <c r="H438" i="1"/>
  <c r="A438" i="1"/>
  <c r="H437" i="1"/>
  <c r="A437" i="1"/>
  <c r="J436" i="1"/>
  <c r="I436" i="1"/>
  <c r="H436" i="1"/>
  <c r="A436" i="1"/>
  <c r="H435" i="1"/>
  <c r="A435" i="1"/>
  <c r="H434" i="1"/>
  <c r="A434" i="1"/>
  <c r="H433" i="1"/>
  <c r="A433" i="1"/>
  <c r="H432" i="1"/>
  <c r="A432" i="1"/>
  <c r="A431" i="1"/>
  <c r="H430" i="1"/>
  <c r="A430" i="1"/>
  <c r="H429" i="1"/>
  <c r="A429" i="1"/>
  <c r="H428" i="1"/>
  <c r="A428" i="1"/>
  <c r="J427" i="1"/>
  <c r="I427" i="1"/>
  <c r="H427" i="1"/>
  <c r="A427" i="1"/>
  <c r="H426" i="1"/>
  <c r="A426" i="1"/>
  <c r="K425" i="1"/>
  <c r="J425" i="1"/>
  <c r="I425" i="1"/>
  <c r="H425" i="1"/>
  <c r="A425" i="1"/>
  <c r="J424" i="1"/>
  <c r="I424" i="1"/>
  <c r="H424" i="1"/>
  <c r="A424" i="1"/>
  <c r="A423" i="1"/>
  <c r="A422" i="1"/>
  <c r="K421" i="1"/>
  <c r="J421" i="1"/>
  <c r="I421" i="1"/>
  <c r="H421" i="1"/>
  <c r="A421" i="1"/>
  <c r="I420" i="1"/>
  <c r="H420" i="1"/>
  <c r="A420" i="1"/>
  <c r="H419" i="1"/>
  <c r="A419" i="1"/>
  <c r="J418" i="1"/>
  <c r="I418" i="1"/>
  <c r="H418" i="1"/>
  <c r="A418" i="1"/>
  <c r="A417" i="1"/>
  <c r="H416" i="1"/>
  <c r="A416" i="1"/>
  <c r="H415" i="1"/>
  <c r="A415" i="1"/>
  <c r="H414" i="1"/>
  <c r="A414" i="1"/>
  <c r="H413" i="1"/>
  <c r="A413" i="1"/>
  <c r="H412" i="1"/>
  <c r="A412" i="1"/>
  <c r="H411" i="1"/>
  <c r="A411" i="1"/>
  <c r="K410" i="1"/>
  <c r="J410" i="1"/>
  <c r="I410" i="1"/>
  <c r="H410" i="1"/>
  <c r="A410" i="1"/>
  <c r="H409" i="1"/>
  <c r="A409" i="1"/>
  <c r="H408" i="1"/>
  <c r="A408" i="1"/>
  <c r="H407" i="1"/>
  <c r="A407" i="1"/>
  <c r="A406" i="1"/>
  <c r="K405" i="1"/>
  <c r="J405" i="1"/>
  <c r="I405" i="1"/>
  <c r="H405" i="1"/>
  <c r="A405" i="1"/>
  <c r="H404" i="1"/>
  <c r="A404" i="1"/>
  <c r="H403" i="1"/>
  <c r="A403" i="1"/>
  <c r="H402" i="1"/>
  <c r="A402" i="1"/>
  <c r="H401" i="1"/>
  <c r="A401" i="1"/>
  <c r="A400" i="1"/>
  <c r="A399" i="1"/>
  <c r="H398" i="1"/>
  <c r="A398" i="1"/>
  <c r="H397" i="1"/>
  <c r="A397" i="1"/>
  <c r="A396" i="1"/>
  <c r="K395" i="1"/>
  <c r="J395" i="1"/>
  <c r="I395" i="1"/>
  <c r="H395" i="1"/>
  <c r="A395" i="1"/>
  <c r="H394" i="1"/>
  <c r="A394" i="1"/>
  <c r="A393" i="1"/>
  <c r="H392" i="1"/>
  <c r="A392" i="1"/>
  <c r="H391" i="1"/>
  <c r="A391" i="1"/>
  <c r="H390" i="1"/>
  <c r="A390" i="1"/>
  <c r="H389" i="1"/>
  <c r="A389" i="1"/>
  <c r="J388" i="1"/>
  <c r="I388" i="1"/>
  <c r="H388" i="1"/>
  <c r="A388" i="1"/>
  <c r="J387" i="1"/>
  <c r="I387" i="1"/>
  <c r="H387" i="1"/>
  <c r="A387" i="1"/>
  <c r="H386" i="1"/>
  <c r="A386" i="1"/>
  <c r="H385" i="1"/>
  <c r="A385" i="1"/>
  <c r="H384" i="1"/>
  <c r="A384" i="1"/>
  <c r="H383" i="1"/>
  <c r="A383" i="1"/>
  <c r="H382" i="1"/>
  <c r="A382" i="1"/>
  <c r="H381" i="1"/>
  <c r="A381" i="1"/>
  <c r="H380" i="1"/>
  <c r="A380" i="1"/>
  <c r="K379" i="1"/>
  <c r="J379" i="1"/>
  <c r="I379" i="1"/>
  <c r="H379" i="1"/>
  <c r="A379" i="1"/>
  <c r="H378" i="1"/>
  <c r="A378" i="1"/>
  <c r="H377" i="1"/>
  <c r="A377" i="1"/>
  <c r="H376" i="1"/>
  <c r="A376" i="1"/>
  <c r="H375" i="1"/>
  <c r="A375" i="1"/>
  <c r="H374" i="1"/>
  <c r="A374" i="1"/>
  <c r="H373" i="1"/>
  <c r="A373" i="1"/>
  <c r="H372" i="1"/>
  <c r="A372" i="1"/>
  <c r="H371" i="1"/>
  <c r="A371" i="1"/>
  <c r="A370" i="1"/>
  <c r="H369" i="1"/>
  <c r="A369" i="1"/>
  <c r="H368" i="1"/>
  <c r="A368" i="1"/>
  <c r="H367" i="1"/>
  <c r="A367" i="1"/>
  <c r="K366" i="1"/>
  <c r="J366" i="1"/>
  <c r="I366" i="1"/>
  <c r="H366" i="1"/>
  <c r="A366" i="1"/>
  <c r="H365" i="1"/>
  <c r="A365" i="1"/>
  <c r="H364" i="1"/>
  <c r="A364" i="1"/>
  <c r="I363" i="1"/>
  <c r="H363" i="1"/>
  <c r="A363" i="1"/>
  <c r="A362" i="1"/>
  <c r="I361" i="1"/>
  <c r="H361" i="1"/>
  <c r="A361" i="1"/>
  <c r="K360" i="1"/>
  <c r="J360" i="1"/>
  <c r="I360" i="1"/>
  <c r="H360" i="1"/>
  <c r="A360" i="1"/>
  <c r="K359" i="1"/>
  <c r="J359" i="1"/>
  <c r="I359" i="1"/>
  <c r="H359" i="1"/>
  <c r="A359" i="1"/>
  <c r="H358" i="1"/>
  <c r="A358" i="1"/>
  <c r="H357" i="1"/>
  <c r="A357" i="1"/>
  <c r="H356" i="1"/>
  <c r="A356" i="1"/>
  <c r="H355" i="1"/>
  <c r="A355" i="1"/>
  <c r="H354" i="1"/>
  <c r="A354" i="1"/>
  <c r="K353" i="1"/>
  <c r="J353" i="1"/>
  <c r="I353" i="1"/>
  <c r="H353" i="1"/>
  <c r="A353" i="1"/>
  <c r="K352" i="1"/>
  <c r="J352" i="1"/>
  <c r="I352" i="1"/>
  <c r="H352" i="1"/>
  <c r="A352" i="1"/>
  <c r="H351" i="1"/>
  <c r="A351" i="1"/>
  <c r="H350" i="1"/>
  <c r="A350" i="1"/>
  <c r="H349" i="1"/>
  <c r="A349" i="1"/>
  <c r="H348" i="1"/>
  <c r="A348" i="1"/>
  <c r="H347" i="1"/>
  <c r="A347" i="1"/>
  <c r="H346" i="1"/>
  <c r="A346" i="1"/>
  <c r="H345" i="1"/>
  <c r="A345" i="1"/>
  <c r="A344" i="1"/>
  <c r="A343" i="1"/>
  <c r="H342" i="1"/>
  <c r="A342" i="1"/>
  <c r="A341" i="1"/>
  <c r="I340" i="1"/>
  <c r="H340" i="1"/>
  <c r="A340" i="1"/>
  <c r="H339" i="1"/>
  <c r="A339" i="1"/>
  <c r="H338" i="1"/>
  <c r="A338" i="1"/>
  <c r="H337" i="1"/>
  <c r="A337" i="1"/>
  <c r="H336" i="1"/>
  <c r="A336" i="1"/>
  <c r="H335" i="1"/>
  <c r="A335" i="1"/>
  <c r="A334" i="1"/>
  <c r="H333" i="1"/>
  <c r="A333" i="1"/>
  <c r="H332" i="1"/>
  <c r="A332" i="1"/>
  <c r="H331" i="1"/>
  <c r="A331" i="1"/>
  <c r="A330" i="1"/>
  <c r="K329" i="1"/>
  <c r="J329" i="1"/>
  <c r="I329" i="1"/>
  <c r="H329" i="1"/>
  <c r="A329" i="1"/>
  <c r="H328" i="1"/>
  <c r="A328" i="1"/>
  <c r="H327" i="1"/>
  <c r="A327" i="1"/>
  <c r="H326" i="1"/>
  <c r="A326" i="1"/>
  <c r="H325" i="1"/>
  <c r="A325" i="1"/>
  <c r="H324" i="1"/>
  <c r="A324" i="1"/>
  <c r="H323" i="1"/>
  <c r="A323" i="1"/>
  <c r="H322" i="1"/>
  <c r="A322" i="1"/>
  <c r="H321" i="1"/>
  <c r="A321" i="1"/>
  <c r="H320" i="1"/>
  <c r="A320" i="1"/>
  <c r="H319" i="1"/>
  <c r="A319" i="1"/>
  <c r="H318" i="1"/>
  <c r="A318" i="1"/>
  <c r="H317" i="1"/>
  <c r="A317" i="1"/>
  <c r="H316" i="1"/>
  <c r="A316" i="1"/>
  <c r="I315" i="1"/>
  <c r="H315" i="1"/>
  <c r="A315" i="1"/>
  <c r="J314" i="1"/>
  <c r="I314" i="1"/>
  <c r="H314" i="1"/>
  <c r="A314" i="1"/>
  <c r="H313" i="1"/>
  <c r="A313" i="1"/>
  <c r="H312" i="1"/>
  <c r="A312" i="1"/>
  <c r="I311" i="1"/>
  <c r="H311" i="1"/>
  <c r="A311" i="1"/>
  <c r="H310" i="1"/>
  <c r="A310" i="1"/>
  <c r="H309" i="1"/>
  <c r="A309" i="1"/>
  <c r="K308" i="1"/>
  <c r="J308" i="1"/>
  <c r="I308" i="1"/>
  <c r="H308" i="1"/>
  <c r="A308" i="1"/>
  <c r="H307" i="1"/>
  <c r="A307" i="1"/>
  <c r="H306" i="1"/>
  <c r="A306" i="1"/>
  <c r="H305" i="1"/>
  <c r="A305" i="1"/>
  <c r="K304" i="1"/>
  <c r="J304" i="1"/>
  <c r="I304" i="1"/>
  <c r="H304" i="1"/>
  <c r="A304" i="1"/>
  <c r="K303" i="1"/>
  <c r="J303" i="1"/>
  <c r="I303" i="1"/>
  <c r="H303" i="1"/>
  <c r="A303" i="1"/>
  <c r="H302" i="1"/>
  <c r="A302" i="1"/>
  <c r="J301" i="1"/>
  <c r="I301" i="1"/>
  <c r="H301" i="1"/>
  <c r="A301" i="1"/>
  <c r="H300" i="1"/>
  <c r="A300" i="1"/>
  <c r="K299" i="1"/>
  <c r="J299" i="1"/>
  <c r="I299" i="1"/>
  <c r="H299" i="1"/>
  <c r="A299" i="1"/>
  <c r="K298" i="1"/>
  <c r="J298" i="1"/>
  <c r="I298" i="1"/>
  <c r="H298" i="1"/>
  <c r="A298" i="1"/>
  <c r="J297" i="1"/>
  <c r="I297" i="1"/>
  <c r="H297" i="1"/>
  <c r="A297" i="1"/>
  <c r="H296" i="1"/>
  <c r="A296" i="1"/>
  <c r="H295" i="1"/>
  <c r="A295" i="1"/>
  <c r="H294" i="1"/>
  <c r="A294" i="1"/>
  <c r="H293" i="1"/>
  <c r="A293" i="1"/>
  <c r="I292" i="1"/>
  <c r="H292" i="1"/>
  <c r="A292" i="1"/>
  <c r="I291" i="1"/>
  <c r="H291" i="1"/>
  <c r="A291" i="1"/>
  <c r="H290" i="1"/>
  <c r="A290" i="1"/>
  <c r="H289" i="1"/>
  <c r="A289" i="1"/>
  <c r="I288" i="1"/>
  <c r="H288" i="1"/>
  <c r="A288" i="1"/>
  <c r="H287" i="1"/>
  <c r="A287" i="1"/>
  <c r="H286" i="1"/>
  <c r="A286" i="1"/>
  <c r="H285" i="1"/>
  <c r="A285" i="1"/>
  <c r="A284" i="1"/>
  <c r="H283" i="1"/>
  <c r="A283" i="1"/>
  <c r="I282" i="1"/>
  <c r="H282" i="1"/>
  <c r="A282" i="1"/>
  <c r="H281" i="1"/>
  <c r="A281" i="1"/>
  <c r="K280" i="1"/>
  <c r="J280" i="1"/>
  <c r="I280" i="1"/>
  <c r="H280" i="1"/>
  <c r="A280" i="1"/>
  <c r="I279" i="1"/>
  <c r="H279" i="1"/>
  <c r="A279" i="1"/>
  <c r="H278" i="1"/>
  <c r="A278" i="1"/>
  <c r="A277" i="1"/>
  <c r="I276" i="1"/>
  <c r="H276" i="1"/>
  <c r="A276" i="1"/>
  <c r="H275" i="1"/>
  <c r="A275" i="1"/>
  <c r="K274" i="1"/>
  <c r="J274" i="1"/>
  <c r="I274" i="1"/>
  <c r="H274" i="1"/>
  <c r="A274" i="1"/>
  <c r="H273" i="1"/>
  <c r="A273" i="1"/>
  <c r="H272" i="1"/>
  <c r="A272" i="1"/>
  <c r="A271" i="1"/>
  <c r="A270" i="1"/>
  <c r="A269" i="1"/>
  <c r="I268" i="1"/>
  <c r="H268" i="1"/>
  <c r="A268" i="1"/>
  <c r="H267" i="1"/>
  <c r="A267" i="1"/>
  <c r="I266" i="1"/>
  <c r="H266" i="1"/>
  <c r="A266" i="1"/>
  <c r="H265" i="1"/>
  <c r="A265" i="1"/>
  <c r="H264" i="1"/>
  <c r="A264" i="1"/>
  <c r="H263" i="1"/>
  <c r="A263" i="1"/>
  <c r="H262" i="1"/>
  <c r="A262" i="1"/>
  <c r="H261" i="1"/>
  <c r="A261" i="1"/>
  <c r="H260" i="1"/>
  <c r="A260" i="1"/>
  <c r="J259" i="1"/>
  <c r="I259" i="1"/>
  <c r="H259" i="1"/>
  <c r="A259" i="1"/>
  <c r="H258" i="1"/>
  <c r="A258" i="1"/>
  <c r="H257" i="1"/>
  <c r="A257" i="1"/>
  <c r="H256" i="1"/>
  <c r="A256" i="1"/>
  <c r="H255" i="1"/>
  <c r="A255" i="1"/>
  <c r="H254" i="1"/>
  <c r="A254" i="1"/>
  <c r="H253" i="1"/>
  <c r="A253" i="1"/>
  <c r="I252" i="1"/>
  <c r="H252" i="1"/>
  <c r="A252" i="1"/>
  <c r="H251" i="1"/>
  <c r="A251" i="1"/>
  <c r="H250" i="1"/>
  <c r="A250" i="1"/>
  <c r="H249" i="1"/>
  <c r="A249" i="1"/>
  <c r="H248" i="1"/>
  <c r="A248" i="1"/>
  <c r="J247" i="1"/>
  <c r="I247" i="1"/>
  <c r="H247" i="1"/>
  <c r="A247" i="1"/>
  <c r="K246" i="1"/>
  <c r="J246" i="1"/>
  <c r="I246" i="1"/>
  <c r="H246" i="1"/>
  <c r="A246" i="1"/>
  <c r="A245" i="1"/>
  <c r="J244" i="1"/>
  <c r="I244" i="1"/>
  <c r="H244" i="1"/>
  <c r="A244" i="1"/>
  <c r="H243" i="1"/>
  <c r="A243" i="1"/>
  <c r="A242" i="1"/>
  <c r="H241" i="1"/>
  <c r="A241" i="1"/>
  <c r="H240" i="1"/>
  <c r="A240" i="1"/>
  <c r="H239" i="1"/>
  <c r="A239" i="1"/>
  <c r="H238" i="1"/>
  <c r="A238" i="1"/>
  <c r="A237" i="1"/>
  <c r="H236" i="1"/>
  <c r="A236" i="1"/>
  <c r="H235" i="1"/>
  <c r="A235" i="1"/>
  <c r="H234" i="1"/>
  <c r="A234" i="1"/>
  <c r="H233" i="1"/>
  <c r="A233" i="1"/>
  <c r="H232" i="1"/>
  <c r="A232" i="1"/>
  <c r="I231" i="1"/>
  <c r="H231" i="1"/>
  <c r="A231" i="1"/>
  <c r="H230" i="1"/>
  <c r="A230" i="1"/>
  <c r="H229" i="1"/>
  <c r="A229" i="1"/>
  <c r="J228" i="1"/>
  <c r="I228" i="1"/>
  <c r="H228" i="1"/>
  <c r="A228" i="1"/>
  <c r="H227" i="1"/>
  <c r="A227" i="1"/>
  <c r="H226" i="1"/>
  <c r="A226" i="1"/>
  <c r="H225" i="1"/>
  <c r="A225" i="1"/>
  <c r="H224" i="1"/>
  <c r="A224" i="1"/>
  <c r="H223" i="1"/>
  <c r="A223" i="1"/>
  <c r="A222" i="1"/>
  <c r="H221" i="1"/>
  <c r="A221" i="1"/>
  <c r="H220" i="1"/>
  <c r="A220" i="1"/>
  <c r="H219" i="1"/>
  <c r="A219" i="1"/>
  <c r="J218" i="1"/>
  <c r="I218" i="1"/>
  <c r="H218" i="1"/>
  <c r="A218" i="1"/>
  <c r="H217" i="1"/>
  <c r="A217" i="1"/>
  <c r="H216" i="1"/>
  <c r="A216" i="1"/>
  <c r="H215" i="1"/>
  <c r="A215" i="1"/>
  <c r="H214" i="1"/>
  <c r="A214" i="1"/>
  <c r="H213" i="1"/>
  <c r="A213" i="1"/>
  <c r="H212" i="1"/>
  <c r="A212" i="1"/>
  <c r="H211" i="1"/>
  <c r="A211" i="1"/>
  <c r="H210" i="1"/>
  <c r="A210" i="1"/>
  <c r="H209" i="1"/>
  <c r="A209" i="1"/>
  <c r="H208" i="1"/>
  <c r="A208" i="1"/>
  <c r="J207" i="1"/>
  <c r="I207" i="1"/>
  <c r="H207" i="1"/>
  <c r="A207" i="1"/>
  <c r="A206" i="1"/>
  <c r="H205" i="1"/>
  <c r="A205" i="1"/>
  <c r="H204" i="1"/>
  <c r="A204" i="1"/>
  <c r="H203" i="1"/>
  <c r="A203" i="1"/>
  <c r="A202" i="1"/>
  <c r="A201" i="1"/>
  <c r="H200" i="1"/>
  <c r="A200" i="1"/>
  <c r="H199" i="1"/>
  <c r="A199" i="1"/>
  <c r="H198" i="1"/>
  <c r="A198" i="1"/>
  <c r="H197" i="1"/>
  <c r="A197" i="1"/>
  <c r="H196" i="1"/>
  <c r="A196" i="1"/>
  <c r="K195" i="1"/>
  <c r="J195" i="1"/>
  <c r="I195" i="1"/>
  <c r="H195" i="1"/>
  <c r="A195" i="1"/>
  <c r="H194" i="1"/>
  <c r="A194" i="1"/>
  <c r="H193" i="1"/>
  <c r="A193" i="1"/>
  <c r="A192" i="1"/>
  <c r="A191" i="1"/>
  <c r="A190" i="1"/>
  <c r="H189" i="1"/>
  <c r="A189" i="1"/>
  <c r="H188" i="1"/>
  <c r="A188" i="1"/>
  <c r="K187" i="1"/>
  <c r="J187" i="1"/>
  <c r="I187" i="1"/>
  <c r="H187" i="1"/>
  <c r="A187" i="1"/>
  <c r="K186" i="1"/>
  <c r="J186" i="1"/>
  <c r="I186" i="1"/>
  <c r="H186" i="1"/>
  <c r="A186" i="1"/>
  <c r="H185" i="1"/>
  <c r="A185" i="1"/>
  <c r="H184" i="1"/>
  <c r="A184" i="1"/>
  <c r="H183" i="1"/>
  <c r="A183" i="1"/>
  <c r="A182" i="1"/>
  <c r="H181" i="1"/>
  <c r="A181" i="1"/>
  <c r="A180" i="1"/>
  <c r="H179" i="1"/>
  <c r="A179" i="1"/>
  <c r="I178" i="1"/>
  <c r="H178" i="1"/>
  <c r="A178" i="1"/>
  <c r="H177" i="1"/>
  <c r="A177" i="1"/>
  <c r="H176" i="1"/>
  <c r="A176" i="1"/>
  <c r="H175" i="1"/>
  <c r="A175" i="1"/>
  <c r="H174" i="1"/>
  <c r="A174" i="1"/>
  <c r="K173" i="1"/>
  <c r="J173" i="1"/>
  <c r="I173" i="1"/>
  <c r="H173" i="1"/>
  <c r="A173" i="1"/>
  <c r="A172" i="1"/>
  <c r="A171" i="1"/>
  <c r="H170" i="1"/>
  <c r="A170" i="1"/>
  <c r="H169" i="1"/>
  <c r="A169" i="1"/>
  <c r="H168" i="1"/>
  <c r="A168" i="1"/>
  <c r="K167" i="1"/>
  <c r="J167" i="1"/>
  <c r="I167" i="1"/>
  <c r="H167" i="1"/>
  <c r="A167" i="1"/>
  <c r="H166" i="1"/>
  <c r="A166" i="1"/>
  <c r="H165" i="1"/>
  <c r="A165" i="1"/>
  <c r="A164" i="1"/>
  <c r="H163" i="1"/>
  <c r="A163" i="1"/>
  <c r="H162" i="1"/>
  <c r="A162" i="1"/>
  <c r="H161" i="1"/>
  <c r="A161" i="1"/>
  <c r="H160" i="1"/>
  <c r="A160" i="1"/>
  <c r="H159" i="1"/>
  <c r="A159" i="1"/>
  <c r="H158" i="1"/>
  <c r="A158" i="1"/>
  <c r="H157" i="1"/>
  <c r="A157" i="1"/>
  <c r="H156" i="1"/>
  <c r="A156" i="1"/>
  <c r="H155" i="1"/>
  <c r="A155" i="1"/>
  <c r="H154" i="1"/>
  <c r="A154" i="1"/>
  <c r="I153" i="1"/>
  <c r="H153" i="1"/>
  <c r="A153" i="1"/>
  <c r="H152" i="1"/>
  <c r="A152" i="1"/>
  <c r="H151" i="1"/>
  <c r="A151" i="1"/>
  <c r="A150" i="1"/>
  <c r="K149" i="1"/>
  <c r="J149" i="1"/>
  <c r="I149" i="1"/>
  <c r="H149" i="1"/>
  <c r="A149" i="1"/>
  <c r="A148" i="1"/>
  <c r="H147" i="1"/>
  <c r="A147" i="1"/>
  <c r="H146" i="1"/>
  <c r="A146" i="1"/>
  <c r="H145" i="1"/>
  <c r="A145" i="1"/>
  <c r="H144" i="1"/>
  <c r="A144" i="1"/>
  <c r="H143" i="1"/>
  <c r="A143" i="1"/>
  <c r="H142" i="1"/>
  <c r="A142" i="1"/>
  <c r="I141" i="1"/>
  <c r="H141" i="1"/>
  <c r="A141" i="1"/>
  <c r="H140" i="1"/>
  <c r="A140" i="1"/>
  <c r="H139" i="1"/>
  <c r="A139" i="1"/>
  <c r="H138" i="1"/>
  <c r="A138" i="1"/>
  <c r="H137" i="1"/>
  <c r="A137" i="1"/>
  <c r="H136" i="1"/>
  <c r="A136" i="1"/>
  <c r="H135" i="1"/>
  <c r="A135" i="1"/>
  <c r="H134" i="1"/>
  <c r="A134" i="1"/>
  <c r="H133" i="1"/>
  <c r="A133" i="1"/>
  <c r="H132" i="1"/>
  <c r="A132" i="1"/>
  <c r="H131" i="1"/>
  <c r="A131" i="1"/>
  <c r="I130" i="1"/>
  <c r="H130" i="1"/>
  <c r="A130" i="1"/>
  <c r="K129" i="1"/>
  <c r="J129" i="1"/>
  <c r="I129" i="1"/>
  <c r="H129" i="1"/>
  <c r="A129" i="1"/>
  <c r="I128" i="1"/>
  <c r="H128" i="1"/>
  <c r="A128" i="1"/>
  <c r="A127" i="1"/>
  <c r="H126" i="1"/>
  <c r="A126" i="1"/>
  <c r="A125" i="1"/>
  <c r="H124" i="1"/>
  <c r="A124" i="1"/>
  <c r="H123" i="1"/>
  <c r="A123" i="1"/>
  <c r="H122" i="1"/>
  <c r="A122" i="1"/>
  <c r="A121" i="1"/>
  <c r="H120" i="1"/>
  <c r="A120" i="1"/>
  <c r="K119" i="1"/>
  <c r="J119" i="1"/>
  <c r="I119" i="1"/>
  <c r="H119" i="1"/>
  <c r="A119" i="1"/>
  <c r="H118" i="1"/>
  <c r="A118" i="1"/>
  <c r="J117" i="1"/>
  <c r="I117" i="1"/>
  <c r="H117" i="1"/>
  <c r="A117" i="1"/>
  <c r="I116" i="1"/>
  <c r="H116" i="1"/>
  <c r="A116" i="1"/>
  <c r="I115" i="1"/>
  <c r="H115" i="1"/>
  <c r="A115" i="1"/>
  <c r="J114" i="1"/>
  <c r="I114" i="1"/>
  <c r="H114" i="1"/>
  <c r="A114" i="1"/>
  <c r="H113" i="1"/>
  <c r="A113" i="1"/>
  <c r="H112" i="1"/>
  <c r="A112" i="1"/>
  <c r="H111" i="1"/>
  <c r="A111" i="1"/>
  <c r="I110" i="1"/>
  <c r="H110" i="1"/>
  <c r="A110" i="1"/>
  <c r="I109" i="1"/>
  <c r="H109" i="1"/>
  <c r="A109" i="1"/>
  <c r="H108" i="1"/>
  <c r="A108" i="1"/>
  <c r="H107" i="1"/>
  <c r="A107" i="1"/>
  <c r="H106" i="1"/>
  <c r="A106" i="1"/>
  <c r="H105" i="1"/>
  <c r="A105" i="1"/>
  <c r="H104" i="1"/>
  <c r="A104" i="1"/>
  <c r="H103" i="1"/>
  <c r="A103" i="1"/>
  <c r="H102" i="1"/>
  <c r="A102" i="1"/>
  <c r="I101" i="1"/>
  <c r="H101" i="1"/>
  <c r="A101" i="1"/>
  <c r="I100" i="1"/>
  <c r="H100" i="1"/>
  <c r="A100" i="1"/>
  <c r="I99" i="1"/>
  <c r="H99" i="1"/>
  <c r="A99" i="1"/>
  <c r="I98" i="1"/>
  <c r="H98" i="1"/>
  <c r="A98" i="1"/>
  <c r="H97" i="1"/>
  <c r="A97" i="1"/>
  <c r="H96" i="1"/>
  <c r="A96" i="1"/>
  <c r="H95" i="1"/>
  <c r="A95" i="1"/>
  <c r="H94" i="1"/>
  <c r="A94" i="1"/>
  <c r="H93" i="1"/>
  <c r="A93" i="1"/>
  <c r="K92" i="1"/>
  <c r="J92" i="1"/>
  <c r="I92" i="1"/>
  <c r="H92" i="1"/>
  <c r="A92" i="1"/>
  <c r="H91" i="1"/>
  <c r="A91" i="1"/>
  <c r="I90" i="1"/>
  <c r="H90" i="1"/>
  <c r="A90" i="1"/>
  <c r="I89" i="1"/>
  <c r="H89" i="1"/>
  <c r="A89" i="1"/>
  <c r="H88" i="1"/>
  <c r="A88" i="1"/>
  <c r="I87" i="1"/>
  <c r="H87" i="1"/>
  <c r="A87" i="1"/>
  <c r="H86" i="1"/>
  <c r="A86" i="1"/>
  <c r="H85" i="1"/>
  <c r="A85" i="1"/>
  <c r="H84" i="1"/>
  <c r="A84" i="1"/>
  <c r="H83" i="1"/>
  <c r="A83" i="1"/>
  <c r="H82" i="1"/>
  <c r="A82" i="1"/>
  <c r="I81" i="1"/>
  <c r="H81" i="1"/>
  <c r="A81" i="1"/>
  <c r="I80" i="1"/>
  <c r="H80" i="1"/>
  <c r="A80" i="1"/>
  <c r="H79" i="1"/>
  <c r="A79" i="1"/>
  <c r="H78" i="1"/>
  <c r="A78" i="1"/>
  <c r="H77" i="1"/>
  <c r="A77" i="1"/>
  <c r="H76" i="1"/>
  <c r="A76" i="1"/>
  <c r="H75" i="1"/>
  <c r="A75" i="1"/>
  <c r="H74" i="1"/>
  <c r="A74" i="1"/>
  <c r="H73" i="1"/>
  <c r="A73" i="1"/>
  <c r="H72" i="1"/>
  <c r="A72" i="1"/>
  <c r="H71" i="1"/>
  <c r="A71" i="1"/>
  <c r="H70" i="1"/>
  <c r="A70" i="1"/>
  <c r="I69" i="1"/>
  <c r="H69" i="1"/>
  <c r="A69" i="1"/>
  <c r="H68" i="1"/>
  <c r="A68" i="1"/>
  <c r="H67" i="1"/>
  <c r="A67" i="1"/>
  <c r="H66" i="1"/>
  <c r="A66" i="1"/>
  <c r="H65" i="1"/>
  <c r="A65" i="1"/>
  <c r="H64" i="1"/>
  <c r="A64" i="1"/>
  <c r="H63" i="1"/>
  <c r="A63" i="1"/>
  <c r="H62" i="1"/>
  <c r="A62" i="1"/>
  <c r="H61" i="1"/>
  <c r="A61" i="1"/>
  <c r="I60" i="1"/>
  <c r="H60" i="1"/>
  <c r="A60" i="1"/>
  <c r="H59" i="1"/>
  <c r="A59" i="1"/>
  <c r="H58" i="1"/>
  <c r="A58" i="1"/>
  <c r="K57" i="1"/>
  <c r="J57" i="1"/>
  <c r="I57" i="1"/>
  <c r="H57" i="1"/>
  <c r="A57" i="1"/>
  <c r="I56" i="1"/>
  <c r="H56" i="1"/>
  <c r="A56" i="1"/>
  <c r="A55" i="1"/>
  <c r="A54" i="1"/>
  <c r="I53" i="1"/>
  <c r="H53" i="1"/>
  <c r="A53" i="1"/>
  <c r="H52" i="1"/>
  <c r="A52" i="1"/>
  <c r="H51" i="1"/>
  <c r="A51" i="1"/>
  <c r="H50" i="1"/>
  <c r="A50" i="1"/>
  <c r="H49" i="1"/>
  <c r="A49" i="1"/>
  <c r="H48" i="1"/>
  <c r="A48" i="1"/>
  <c r="H47" i="1"/>
  <c r="A47" i="1"/>
  <c r="H46" i="1"/>
  <c r="A46" i="1"/>
  <c r="H45" i="1"/>
  <c r="A45" i="1"/>
  <c r="I44" i="1"/>
  <c r="H44" i="1"/>
  <c r="A44" i="1"/>
  <c r="H43" i="1"/>
  <c r="A43" i="1"/>
  <c r="K42" i="1"/>
  <c r="J42" i="1"/>
  <c r="I42" i="1"/>
  <c r="H42" i="1"/>
  <c r="A42" i="1"/>
  <c r="K41" i="1"/>
  <c r="J41" i="1"/>
  <c r="I41" i="1"/>
  <c r="H41" i="1"/>
  <c r="A41" i="1"/>
  <c r="K40" i="1"/>
  <c r="J40" i="1"/>
  <c r="I40" i="1"/>
  <c r="H40" i="1"/>
  <c r="A40" i="1"/>
  <c r="H39" i="1"/>
  <c r="A39" i="1"/>
  <c r="A38" i="1"/>
  <c r="A37" i="1"/>
  <c r="A36" i="1"/>
  <c r="A35" i="1"/>
  <c r="I34" i="1"/>
  <c r="H34" i="1"/>
  <c r="A34" i="1"/>
  <c r="H33" i="1"/>
  <c r="A33" i="1"/>
  <c r="H32" i="1"/>
  <c r="A32" i="1"/>
  <c r="I31" i="1"/>
  <c r="H31" i="1"/>
  <c r="A31" i="1"/>
  <c r="H30" i="1"/>
  <c r="A30" i="1"/>
  <c r="H29" i="1"/>
  <c r="A29" i="1"/>
  <c r="A28" i="1"/>
  <c r="H27" i="1"/>
  <c r="A27" i="1"/>
  <c r="K26" i="1"/>
  <c r="J26" i="1"/>
  <c r="I26" i="1"/>
  <c r="H26" i="1"/>
  <c r="A26" i="1"/>
  <c r="A25" i="1"/>
  <c r="H24" i="1"/>
  <c r="A24" i="1"/>
  <c r="H23" i="1"/>
  <c r="A23" i="1"/>
  <c r="H22" i="1"/>
  <c r="A22" i="1"/>
  <c r="H21" i="1"/>
  <c r="A21" i="1"/>
  <c r="H20" i="1"/>
  <c r="A20" i="1"/>
  <c r="H19" i="1"/>
  <c r="A19" i="1"/>
  <c r="I18" i="1"/>
  <c r="H18" i="1"/>
  <c r="A18" i="1"/>
  <c r="A17" i="1"/>
  <c r="H16" i="1"/>
  <c r="A16" i="1"/>
  <c r="H15" i="1"/>
  <c r="A15" i="1"/>
  <c r="H14" i="1"/>
  <c r="A14" i="1"/>
  <c r="I13" i="1"/>
  <c r="H13" i="1"/>
  <c r="A13" i="1"/>
  <c r="H12" i="1"/>
  <c r="A12" i="1"/>
  <c r="H11" i="1"/>
  <c r="A11" i="1"/>
  <c r="I10" i="1"/>
  <c r="H10" i="1"/>
  <c r="A10" i="1"/>
  <c r="A9" i="1"/>
  <c r="I8" i="1"/>
  <c r="H8" i="1"/>
  <c r="A8" i="1"/>
  <c r="H7" i="1"/>
  <c r="A7" i="1"/>
  <c r="H6" i="1"/>
  <c r="A6" i="1"/>
  <c r="A5" i="1"/>
  <c r="H4" i="1"/>
  <c r="A4" i="1"/>
  <c r="H3" i="1"/>
  <c r="A3" i="1"/>
  <c r="H2" i="1"/>
  <c r="A2" i="1"/>
</calcChain>
</file>

<file path=xl/sharedStrings.xml><?xml version="1.0" encoding="utf-8"?>
<sst xmlns="http://schemas.openxmlformats.org/spreadsheetml/2006/main" count="1688" uniqueCount="618">
  <si>
    <t>id</t>
  </si>
  <si>
    <t>screen_name</t>
  </si>
  <si>
    <t>created_at</t>
  </si>
  <si>
    <t>fav</t>
  </si>
  <si>
    <t>rt</t>
  </si>
  <si>
    <t>RTed</t>
  </si>
  <si>
    <t>text</t>
  </si>
  <si>
    <t>media1</t>
  </si>
  <si>
    <t>media2</t>
  </si>
  <si>
    <t>media3</t>
  </si>
  <si>
    <t>media4</t>
  </si>
  <si>
    <t>compound</t>
  </si>
  <si>
    <t>neg</t>
  </si>
  <si>
    <t>neu</t>
  </si>
  <si>
    <t>pos</t>
  </si>
  <si>
    <t>QatarEmb_MVD</t>
  </si>
  <si>
    <t>MofaQatar_AR</t>
  </si>
  <si>
    <t>MOFAQatar_ES</t>
  </si>
  <si>
    <t>MofaQatar_EN</t>
  </si>
  <si>
    <t>Dr_Al_Khulaifi</t>
  </si>
  <si>
    <t>MBA_AlThani_</t>
  </si>
  <si>
    <t>majedalansari</t>
  </si>
  <si>
    <t>TamimBinHamad</t>
  </si>
  <si>
    <t>AmiriDiwan</t>
  </si>
  <si>
    <t>GCOQatar</t>
  </si>
  <si>
    <t>qatar_fund</t>
  </si>
  <si>
    <t>Lolwah_Alkhater</t>
  </si>
  <si>
    <t>QatarTelevision</t>
  </si>
  <si>
    <t>MofaQatar_FR</t>
  </si>
  <si>
    <t>QatarMission_Ge</t>
  </si>
  <si>
    <t>QatarPR_Geneva</t>
  </si>
  <si>
    <t>MOI_QatarEn</t>
  </si>
  <si>
    <t>MOI_Qatar</t>
  </si>
  <si>
    <t>Qatar condena enérgicamente los planes del gobierno israelí para desarrollar asentamientos
#MOFAQatar https://t.co/Gbmuhl7epL</t>
  </si>
  <si>
    <t>Statement : Qatar Condemns Israeli Government's Plans on Developing Settlements
#MOFAQatar https://t.co/nPhJRc4NBY</t>
  </si>
  <si>
    <t>بيان : قطر تدين بشدة خطط الحكومة الإسرائيلية لتطوير الاستيطان
#الخارجية_القطرية https://t.co/rW3QOiASCU</t>
  </si>
  <si>
    <t>سمو الأمير المفدى يتلقى اتصالاً هاتفياً من دولة السيد شهباز شريف رئيس الوزراء في جمهورية باكستان الإسلامية، أعرب خلاله عن تهنئته لسموه بمناسبة نجاح تنظيم بطولة كأس العالم FIFA قطر 2022. https://t.co/UQn5XOiuHH</t>
  </si>
  <si>
    <t>بيان| قطر تعرب عن قلقها البالغ لحظر عمل الأفغانيات في المنظمات غير الحكومية
#الخارجية_القطرية https://t.co/NpGZIlqLsD</t>
  </si>
  <si>
    <t>alraya_n</t>
  </si>
  <si>
    <t>نائب رئيس مجلس الوزراء وزير الخارجية @MBA_AlThani_ يتلقى اتصالاً هاتفياً من مستشار الأمن القومي الأمريكي.
#جريدة_الراية #قطر | 
@MofaQatar_AR https://t.co/AnaRttPZHD</t>
  </si>
  <si>
    <t>Deputy Prime Minister and Minister of Foreign Affairs @MBA_AlThani_ Receives Telephone Call From US National Security Advisor
#MOFAQatar https://t.co/QZn9fhdfJw</t>
  </si>
  <si>
    <t>سمو الأمير المفدى يتلقى مزيداً من التهاني من أصحاب الجلالة والفخامة والسمو قادة ورؤساء الدول والحكومات الشقيقة والصديقة، بمناسبة نجاح تنظيم بطولة كأس العالم FIFA قطر 2022. https://t.co/7CTzuaX8wh</t>
  </si>
  <si>
    <t>Deputy Prime Minister and Minister of Foreign Affairs @MBA_AlThani_ Meets High Representative of EU for Foreign Affairs
#MOFAQatar https://t.co/a36l4fcuty</t>
  </si>
  <si>
    <t>Statement | Qatar Expresses Deep Concern, Disappointment over Decision to Suspend Study of Girls, Women in Afghanistan's Universities
#MOFAQatar https://t.co/pE65ghWLbu</t>
  </si>
  <si>
    <t>Qatar expresa su profunda preocupación y decepción por la decisión de suspender los estudios de niñas y mujeres en las universidades del Afganistán
#MOFAQatar https://t.co/nfoCjZ0zzQ</t>
  </si>
  <si>
    <t>سمو الأمير المفدى يمنح سعادة تشو جيان سفير جمهورية الصين الشعبية، وسام الوجبة تقديراً لدوره في المساهمة في تعزيز العلاقات الثنائية بين البلدين، وذلك خلال استقبال سموه له في مكتبه بقصر لوسيل بمناسبة انتهاء فترة عمله في البلاد. https://t.co/VLxzdaTr3U https://t.co/EYMUQSa55z</t>
  </si>
  <si>
    <t>انتخاب دولة قطر عضواً باللجنة التنظيمية للجنة بناء السلام
#الخارجية_القطرية https://t.co/1tIwYbdq5W</t>
  </si>
  <si>
    <t>Met HE @JosepBorrellF in Amman to discuss cooperation,regional issues &amp;amp; investigations of corruption in the EU Parliament.We stressed the need to respect judicial process and not pre-empt results of investigations.I affirmed our rejection of misleading media leaks targeting Qatar https://t.co/KczDqYKVWj</t>
  </si>
  <si>
    <t>التقيت اليوم بسعادة @JosepBorrellF في عمان حيث ناقشنا العلاقات الثنائية والتطورات الاقليمية، وتحقيقات الفساد في البرلمان الأوروبي، وأكدنا على ضرورة احترام اجراءات القضاء وعدم استباق نتائج التحقيقات، وأكدت له موقفنا الرافض للتسريبات الإعلامية المضللة التي تزج باسم قطر في المسألة. https://t.co/hhPZZ2aehn</t>
  </si>
  <si>
    <t>La Embajada del Estado de Qatar en Montevideo celebró, en el Hotel Sofitel, la clausura y transmisión del partido final de la Copa Mundial de la FIFA Qatar 2022, con la presencia de Embajadores Árabes y varias personalidades árabes e islámicas en Uruguay.</t>
  </si>
  <si>
    <t>احتفلت سفارة دولة قطر في مونتفيديو بختام وبث المبارة النهائية لكأس العالم فيفا قطر 2022، وذلك في فندق سوفيتيل، وبحضور عدد من السفراء العرب وبعض الشخصيات العربية والإسلامية في الأوروغواي. https://t.co/Cak0IH3S7h</t>
  </si>
  <si>
    <t>#Our_Unity_Source_of_Our_Strength 
#Qatar_National_Day https://t.co/ZUmWFxRXzy</t>
  </si>
  <si>
    <t>#Our_Unity_Source_of_Our_Strength 
#Qatar_National_Day https://t.co/WkBfu16Jds</t>
  </si>
  <si>
    <t>En una entrevista con la VOA, @majedalansari Portavoz del Ministerio de Relaciones Exteriores:  “Qatar ha pagado más de 350 millones de dólares por trabajadores lesionaos o muertos y eso refleja el compromiso de nuestro país ”
#MOFAQatar https://t.co/T84ExFle8j</t>
  </si>
  <si>
    <t>En una entrevista con la VOA, @majedalansari Portavoz del Ministerio de Relaciones Exteriores: “el deporte es una herramienta para alcanzar paz y unidad el mundo de hoy”
#MOFAQatar https://t.co/eoUFR7hvxG</t>
  </si>
  <si>
    <t>En una entrevista con la VOA, @majedalansari Portavoz del Ministerio de Relaciones Exteriores: “la información que tenemos hasta ahora viene de los medios y los fiscales oficiales no mencionaron el nombre de Qatar”.
#MOFAQatar https://t.co/Akmsm6UNrn</t>
  </si>
  <si>
    <t>Qatar condena enérgicamente un ataque en Irak
#MOFAQatar https://t.co/edSDK6Qkmm</t>
  </si>
  <si>
    <t>سمو الأمير المفدى يتلقى التهاني من أصحاب الجلالة والفخامة والسمو قادة ورؤساء الدول الشقيقة والصديقة، بمناسبة اليوم الوطني للدولة. https://t.co/ESuxCTPSQy</t>
  </si>
  <si>
    <t>سمو الأمير المفدى يشارك في عرضة هل قطر، التي أقيمت في الساحة الخارجية بقصر لوسيل، احتفالا باليوم الوطني للدولة. https://t.co/AaolcUJi1t https://t.co/cvzHgxRZDO</t>
  </si>
  <si>
    <t>#اليوم_الوطني_القطري 
#وحدتنا_مصدر_قوتنا https://t.co/jlAGigXYcL</t>
  </si>
  <si>
    <t>نبارك لشعبنا والمقيمين على هذه الأرض الطيبة بمناسبة يومنا الوطني، الذي يصادف هذا العام أجواء احتفالية مع ضيوف قطر من شتى أنحاء العالم في ختام بطولة كروية عالمية واستثنائية. كل عام وقطر في عز ورفعة، وأدام الله على بلدنا الأمن والأمان والاستقرار.</t>
  </si>
  <si>
    <t>بمناسبة #اليوم_الوطني_القطري نرفع أسمى آيات التهنئة والتبريكات لحضرة صاحب السمو الشيخ تميم بن حمد آل ثاني أمير البلاد المفدى وللشعب القطري الكريم، ونؤكد أن #وحدتنا_مصدر_قوتنا والأساس الصلب الذي بنيت عليه ركائز سياستنا الخارجية القائمة على مد أيادي الخير أينما استطعنا. https://t.co/1yykaVlyPE</t>
  </si>
  <si>
    <t>يأتي #اليوم_الوطني_القطري لهذا العام تتويجاً لنهضة مباركة ومسيرة حافلة بالانجازات على كافة الأصعدة في ظل قيادتنا الرشيدة، التي اتخذت من الوحدة العربية شعاراً وهدفاً سامياً. سائلاً المولى عز وجل أن يديم علينا وعلى كافة الأقطار العربية الأمن والأمان والازدهار. https://t.co/8VqBX7vYq7</t>
  </si>
  <si>
    <t>في يومنا الوطني هذا العام يحتفل معنا العالم هنا في قطر بإنجاز وطني لا مثيل له، أبرز دور بلادنا الفاعل في الساحة العالمية، وهوية شعبنا المضياف المعتز بقيمه وأهمية التعارف والتواصل بين شعوب العالم، لتنطلق قطر من هذه اللحظة الاستثنائية إلى فضاء أرحب متسلحة بسمعتها كشريك دولي موثوق. https://t.co/6QnY4o2QTs</t>
  </si>
  <si>
    <t>#وحدتنا_مصدر_قوتنا 
#اليوم_الوطني_القطري https://t.co/x4mmrYNjSv</t>
  </si>
  <si>
    <t>QatarEmbSeoul</t>
  </si>
  <si>
    <t>احتفال سفارة دولة قطر لدى جمهورية كوريا، باليوم الوطني للدولة 🇶🇦 
주한 #카타르 대사관의 카타르 국경일 행사 개최 https://t.co/VrsOdA5Agf</t>
  </si>
  <si>
    <t>سمو الأمير المفدى يشهد حفل ختام بطولة كأس العالم FIFA قطر 2022، في استاد لوسيل. https://t.co/SZgiBalnHK https://t.co/gGYRuUNGW7</t>
  </si>
  <si>
    <t>أبارك لمنتخب الأرجنتين فوزهم بكأس العالم قطر 2022، وللمنتخب الفرنسي وصافة البطولة، وأشكر كل المنتخبات على لعبهم الرائع، والجماهير التي شجعتهم بحماس. ومع الختام نكون أوفينا بوعدنا بتنظيم بطولة استثنائية من بلاد العرب، أتاحت الفرصة لشعوب العالم لتتعرف على ثراء ثقافتنا وأصالة قيمنا.</t>
  </si>
  <si>
    <t>مع انتهاء بطولة كأس العالم FIFA قطر 2022 أتقدم بالشكر لكل من ساهم من جماهير ومتطوعين وأفراد ومؤسسات ووزارات في إنجاح البطولة وإظهارها ودولة قطر والعالم العربي بصورة مشرفة لملايين من المشاهدين حول العالم.</t>
  </si>
  <si>
    <t>تنتهي بطولة #كأس_العالم_قطر_2022 اليوم، ولكن الرؤية لا تنتهي ولا تقف عند هذا الحد. إن رمزية تزامن #اليوم_الوطني_القطري مع اختتام البطولة تكمن في قدرة قطر على تحويل الأحلام إلى واقع والتحديات إلى فرص.</t>
  </si>
  <si>
    <t>سمو الأمير المفدى يتلقى اتصالًا هاتفيًا من أخيه فخامة الرئيس عبدالمجيد تبون رئيس الجمهورية الجزائرية الديمقراطية الشعبية الشقيقة، أعرب خلاله عن تهنئته لسمو الأمير بمناسبة اليوم الوطني للدولة، وبمناسبة نجاح بطولة كأس العالم FIFA قطر 2022. https://t.co/YgwL2JHSYs</t>
  </si>
  <si>
    <t>إثنا عشر عاماً مرت، عبر طريق ملؤه التحديات، وقف على جانبيه المتربصون، لتكتسي قطر البارحة بثوب الفخر والمجد مع إسدال الستار على أعظم بطولات كأس العالم، ويتحقق الحلم.
لحظة تاريخية لبلادنا والمنطقة، وقفت خلفها قيادة حالمة وشعب لا يعرف المستحيل.
وللعالم نقول، هذه ليست إلا البداية… https://t.co/uRZv5Ua9G4</t>
  </si>
  <si>
    <t>La Embajada del Estado de Qatar en Uruguay 🇺🇾 celebró el Día Nacional del Estado con la presencia de Representantes del Gobierno Uruguayo, Funcionarios de los Ministerios,Embajadores y Jefes de Misiones Diplomáticas, en el Hotel Sofitel en Montevideo
#QND2022 🇶🇦
@loliponcedeleon https://t.co/OEOQzG0E0f</t>
  </si>
  <si>
    <t>احتفلت سفارة دولة قطر لدى جمهورية الأوروغواي الشرقية باليوم الوطني للدولة، بحضور ممثلي الحكومة الأوروغوانية ومسؤولي الوزارات والسفراء وممثلي البعثات والمنظمات الدبلوماسية، وذلك في فندق سوفيتيل بالعاصمة مونتفيديو 
#وحدتنا_مصدر_قوتنا
#اليوم_الوطني_القطري https://t.co/YnykctpVHa</t>
  </si>
  <si>
    <t>Logo del Día Nacional del Estado de Qatar 2022
"Nuestra unidad es nuestra fuerza"
#QatarNationalDay 
#QND2022 
#Qatar https://t.co/1S5BZdcjVh</t>
  </si>
  <si>
    <t>https://t.co/AZAiwIyrKW</t>
  </si>
  <si>
    <t>Viceprimer Ministro y Ministro de Relaciones Exteriores @MBA_AlThani_  se reúne con Ministra egipcia de Planificación y Desarrollo Económico
#MOFAQatar https://t.co/Cmfm2dspqT</t>
  </si>
  <si>
    <t>📽️نائب رئيس مجلس الوزراء وزير الخارجية @MBA_AlThani_  يجتمع مع وزير العلاقات الخارجية في الباراغواي
#الخارجية_القطرية https://t.co/K5O0Bwiy5R</t>
  </si>
  <si>
    <t>سررت بلقاء سعادة السيد بيتر زيجارتو، وزير الخارجية والتجارة في #هنغاريا، وبحوار مثمر حول سبل تعزيز العلاقات الثنائية بين بلدينا الصديقين ودعم تبادل الخبرات والتعاون بيننا في شتى المجالات. https://t.co/JOPbJTV2OP</t>
  </si>
  <si>
    <t>Viceprimer Ministro y Ministro de Relaciones Exteriores se reúne con Ministro de Relaciones Exteriores de paraguay
#MOFAQatar https://t.co/MVUAyeiirR</t>
  </si>
  <si>
    <t>I met today with HE Julio Cesar Arriola, Minister of Foreign Affairs of the Republic of #Paraguay, to discuss ways to develop bilateral relations between us in all fields, we also exchanged views on a number of issues of common interest. https://t.co/9bUgVuzfAL</t>
  </si>
  <si>
    <t>📽️نائب رئيس مجلس الوزراء وزير الخارجية @MBA_AlThani_  يجتمع مع وزير الخارجية والتجارة الهنغاري
#الخارجية_القطرية https://t.co/705uRYJlpN</t>
  </si>
  <si>
    <t>Deputy Prime Minister and Minister of Foreign Affairs @MBA_AlThani_  Meets Minister of Foreign Affairs of Paraguay
#MOFAQatar https://t.co/xJsTO0jvvR</t>
  </si>
  <si>
    <t>Viceprimer Ministro y Ministro de Relaciones Exteriores @MBA_AlThani_  se reúne con Ministro de Asuntos Exteriores y comercio de hungría
#MOFAQatar https://t.co/E2ofzkS5dI</t>
  </si>
  <si>
    <t>نائب رئيس مجلس الوزراء وزير الخارجية @MBA_AlThani_  يجتمع مع وزير العلاقات الخارجية في الباراغواي
#الخارجية_القطرية https://t.co/C8GWfb9HWq</t>
  </si>
  <si>
    <t>سمو الأمير المفدى يلتقي مع جلالة السلطان عبدالله رعاية الدين المصطفى بالله شاه ملك ماليزيا، الذي يزور البلاد لحضور جانب من مباريات بطولة كأس العالم FIFA قطر 2022 ، وذلك في استاد لوسيل. https://t.co/JZ204CPqNn https://t.co/YRi82gSCgJ</t>
  </si>
  <si>
    <t>سمو الأمير المفدى يصدر قرارين بتعيين سفيرين لدى جمهورية طاجيكستان، وجمهورية كولومبيا. https://t.co/lMniEKFMn0</t>
  </si>
  <si>
    <t>El Encargado de Negocios a.i. Sr. Ahmad Ibrahim Al Mohannadi, participó en representación de la Embajada del Estado de Qatar en Montevideo, en la Ceremonia de Clausura de Cursos de la Escuela Militar de Aeronáutica 13/12/2022.</t>
  </si>
  <si>
    <t>شارك السيد أحمد إبراهيم المهندي – القائم بالأعمال بالإنابة ممثلا لسفارة دولة قطر بمونتفيديو، في مراسم انتهاء العام الدراسي للمدرسة العسكرية للملاحة الجوية في جمهورية الأوروغواي الشرقية 13/12/2022. https://t.co/6UgOBAdcAZ</t>
  </si>
  <si>
    <t>Viceprimer Ministro y Ministro de Relaciones Exteriores participa en el evento "El poder de la innovación en un mundo post-COVID-19"
#MOFAQatar https://t.co/iqiWvPm5BL</t>
  </si>
  <si>
    <t>En una entrevista con The Washington Post, Viceprimer Ministro y Ministro de Relaciones Exteriores @MBA_AlThani_ :
"La Copa Mundial de la FIFA Qatar 2022 es el torneo más inclusivo"
#MOFAQatar https://t.co/X4ECgCjwyI</t>
  </si>
  <si>
    <t>In an interview with The Washington Post, Deputy Prime Minister and Minister of Foreign Affairs @MBA_AlThani_ :
"The FIFA World Cup Qatar 2022 is the most inclusive World Cup"
#MOFAQatar https://t.co/mrB04OO0gT</t>
  </si>
  <si>
    <t>Qatar's Mission Headquarters Opened in Nigeria
#MOFAQatar https://t.co/oelOmHpWPp</t>
  </si>
  <si>
    <t>Pleased to meet HE @grlicradman Minister of Foreign &amp;amp; European Affairs of #Croatia, alongside his participation in the #WorldCup activities, to discuss strengthening our relations in various fields, wishing success to the teams qualified for the semi-finals of the tournament. https://t.co/nYFNMaCEba</t>
  </si>
  <si>
    <t>Deputy Prime Minister and Minister of Foreign Affairs @MBA_AlThani_  Meets Croatian Minister of Foreign and European Affairs
#MOFAQatar https://t.co/EvcW3v0Ji3</t>
  </si>
  <si>
    <t>Secretary-General of Ministry of Foreign Affairs Meets Cypriot Counterpart
#MOFAQatar https://t.co/WLXSvAnyhg</t>
  </si>
  <si>
    <t>Doha Named Arab Tourism Capital for 2023
🔗To learn more : https://t.co/t7T93l8vLp
#MOFAQatar https://t.co/mZ1rdq9Oc9</t>
  </si>
  <si>
    <t>Qatar Participates in 'Solidarity with Ukrainian People' Conference in Paris
#MOFAQatar https://t.co/iykHFPkC3j</t>
  </si>
  <si>
    <t>نائب رئيس مجلس الوزراء وزير الخارجية @MBA_AlThani_ في حديث لـ صحيفة واشنطن بوست: 
" بطولة كأس العالم FIFA قطر 2022 هي الأكثر شمولاً " 
#الخارجية_القطرية https://t.co/lH2USBfPDA</t>
  </si>
  <si>
    <t>اختيار الدوحة عاصمة للسياحة العربية للعام 2023
🔗 لقراءة المزيد : https://t.co/io1xposJv5
#الخارجية_القطرية https://t.co/xNLZRp60x6</t>
  </si>
  <si>
    <t>الأمين العام لوزارة الخارجية يجتمع مع نظيره القبرصي
#الخارجية_القطرية https://t.co/kw20eKOyj8</t>
  </si>
  <si>
    <t>نائب رئيس مجلس الوزراء وزير الخارجية @MBA_AlThani_  يجتمع مع حاكم ولاية أوكلاهوما الأمريكية
#الخارجية_القطرية https://t.co/MrkCkq3rmS</t>
  </si>
  <si>
    <t>دولة قطر تشارك بمؤتمر "متضامنون مع الشعب الأوكراني" في باريس
🔗 لقراءة المزيد : https://t.co/VuMmhuPrH1
#الخارجية_القطرية https://t.co/FH6nPnIr9x</t>
  </si>
  <si>
    <t>📽️نائب رئيس مجلس الوزراء وزير الخارجية @MBA_AlThani_  يجتمع مع حاكم ولاية أوكلاهوما الأمريكية
#الخارجية_القطرية https://t.co/urPItNDb6C</t>
  </si>
  <si>
    <t>Pleased to meet HE @GovStitt the Governor of the state of Oklahoma in the United States of America, to discuss ways to enhance joint work between us in various fields. Looking forward to strengthening cooperation between us to serve the aspirations of our two friendly people. https://t.co/cZSFbmqRkq</t>
  </si>
  <si>
    <t>🎥| نائب رئيس مجلس الوزراء وزير الخارجية @MBA_AlThani_ يجتمع مع وزير الخارجية والشؤون الأوروبية الكرواتي
#الخارجية_القطرية https://t.co/EXYUpBbIKT</t>
  </si>
  <si>
    <t>Deputy Prime Minister and Minister of Foreign Affairs @MBA_AlThani_  Meets Governor of US State of Oklahoma
#MOFAQatar https://t.co/fNgGe8rmZT</t>
  </si>
  <si>
    <t>سررت بلقاء سعادة السيد @GovStitt حاكم ولاية أوكلاهوما بالولايات المتحدة الأمريكية، لنقاش سبل تعزيز العمل المشترك بيننا في شتى المجالات. متطلع لتعزيز التعاون بيننا لخدمة طموحات شعبينا الصديقين. https://t.co/ztSAnCL5nF</t>
  </si>
  <si>
    <t>نائب رئيس مجلس الوزراء وزير الخارجية @MBA_AlThani_ يجتمع مع وزير الخارجية والشؤون الأوروبية الكرواتي
#الخارجية_القطرية https://t.co/J7F8oWxbkz</t>
  </si>
  <si>
    <t>سعدت بالترحيب بسعادة السيد @grlicradman وزير الخارجية والشؤون الأوروبية في جمهورية #كرواتيا، على هامش مشاركته في فعاليات #كأس_العالم_قطر_2022 ، لنقاش سبل تعزيز العلاقات الثنائية بيننا في شتى المجالات، متمنياً التوفيق لجميع المنتخبات المتأهلة لنصف النهائي للبطولة. https://t.co/QiTsB28O5q</t>
  </si>
  <si>
    <t>Viceprimer Ministro y Ministro de Relaciones Exteriores se reúne con el Ministro de Asuntos Exteriores y Europeos de Croacia
#MOFAQatar https://t.co/ENESNKOBNU</t>
  </si>
  <si>
    <t>Día Internacional contra la Corrupción
#MOFAQatar https://t.co/yu0TL13dAd</t>
  </si>
  <si>
    <t>Asistente del Ministro de Relaciones Exteriores se reúne con los enviados de Australia y Canadá en Afganistán y con la enviada especial de los Estados Unidos para Asuntos de las mujeres afganas y los derechos humanos
#MOFAQatar https://t.co/ezqFMwgMJ8</t>
  </si>
  <si>
    <t>Asistente del Ministro de Relaciones Exteriores se reúne con el Enviado Especial del Secretario General de la OIC y Viceministro de Relaciones Exteriores de Azerbaiyán
#MOFAQatar https://t.co/6h6qq5Gy0r</t>
  </si>
  <si>
    <t>Discurso del H.E. Dr. Turki Abdulla Zaid Al-Mahmoud Director del Departamento de Derechos Humanos por la ocasión del Día Internacional de los Derechos Humanos
#HumanRightsDay
#MOFAQatar https://t.co/6gdQ3aRAJe</t>
  </si>
  <si>
    <t>Al-Kuwari: La experiencia acumulada de los equipos anfitriones de los huéspedes del Estado  es motivo de orgullo para el Ministerio de Relaciones Exteriores 
#MOFAQatar 
#Qatar2022 https://t.co/QyT3SP4n86</t>
  </si>
  <si>
    <t>En un discurso ante la Conferencia Internacional para la Educación de las Mujeres Afganas
Asistente del Ministro de Relaciones Exteriores @Lolwah_Alkhater : El Estado de Qatar está comprometido con el desarrollo y la prosperidad en Afganistán
#MOFAQatar https://t.co/183yFPH3rJ</t>
  </si>
  <si>
    <t>Viceprimer Ministro y Ministro de Relaciones Exteriores se reúne con Copresidente de la Fundación Bill y Melinda Gates
#MOFAQatar https://t.co/9r4seYkO8U</t>
  </si>
  <si>
    <t>📽️Deputy Prime Minister and Minister of Foreign Affairs @MBA_AlThani_  speech in "Power of Innovation in a Post-COVID-19 World" Event
#MOFAQatar https://t.co/K1OVHNKd9g</t>
  </si>
  <si>
    <t>Deputy Prime Minister and Minister of Foreign Affairs @MBA_AlThani_  Participates in "Power of Innovation in a Post-COVID-19 World" Event
🔗To learn more : https://t.co/EIW3wVhebQ
#MOFAQatar https://t.co/z7mruXcl9c</t>
  </si>
  <si>
    <t>Deputy Prime Minister and Minister of Foreign Affairs @MBA_AlThani_  Meets Co-Chair of Bill &amp;amp; Melinda Gates Foundation
#MOFAQatar https://t.co/LQzuGAGMYm</t>
  </si>
  <si>
    <t>Participated in “The Power of Innovation in the Post-Covid World” with @BillGates, Co-chair of the Bill &amp;amp; Melinda Gates Foundation, which highlighted lessons learned from the pandemic, &amp;amp; the importance of investing in innovative healthcare to address cross-border health crises. https://t.co/xKlyjxip96</t>
  </si>
  <si>
    <t>THE BALI MESSAGE OF THE INTERNATIONAL CONFERENCE ON AFGHAN WOMEN’S EDUCATION
#MOFAQatar https://t.co/8CErPUQFeU</t>
  </si>
  <si>
    <t>In a Statement at the International Conference on Afghan Women’s Education
Assistant Foreign Minister @Lolwah_Alkhater : The State of Qatar is committed to the development and prosperity in Afghanistan
#MOFAQatar https://t.co/coZ5490tog</t>
  </si>
  <si>
    <t>Qatar, Indonesia Organize International Conference on Afghan Women's Education
🔗To learn more: https://t.co/wy3MuHERu0
#MOFAQatar https://t.co/GEbNqXjskP</t>
  </si>
  <si>
    <t>Al-Kuwari: The cumulative experience gained by the working teams who oversee hosting the State's guests constitutes a source of pride for the Ministry of Foreign Affairs 
#MOFAQatar 
#Qatar2022 https://t.co/3abmDBnb5z</t>
  </si>
  <si>
    <t>PCOC Executive Director: Qatar Keen on Providing Exceptional Experience for World Cup Guests
🔗To learn more : https://t.co/3TlxwS4yC0
#MOFAQatar 
#Qatar2022 https://t.co/P7ZFZgekIE</t>
  </si>
  <si>
    <t>Minister of State for Foreign Affairs Meets UK Minister of State for Middle East Affairs
#MOFAQatar https://t.co/wl4h2XHaCp</t>
  </si>
  <si>
    <t>Remarks by H.E. Dr. Turki Abdulla Zaid Al-Mahmoud 
Director of Human Rights Department on the occasion of #HumanRightsDay 
#MOFAQatar https://t.co/FPEEnDM5hw</t>
  </si>
  <si>
    <t>Assistant Foreign Minister @Lolwah_Alkhater  Meets Envoys of Australia, Canada to Afghanistan and US Special Envoy for Afghan Women and Human Rights
#MOFAQatar https://t.co/UiE6cmFuZp</t>
  </si>
  <si>
    <t>سعدت بالمشاركة في حفل افتتاح فعالية "قوة الابتكار في عالم ما بعد كوفيد" مع @BillGates، الرئيس المشارك لمؤسسة بيل وميليندا غيتس، والذي سلط الضوء على الدروس المستفادة من جائحة كورونا، وأبرز أهمية الاستثمار في الرعاية الصحية المبتكرة لمعالجة الأزمات الصحية العابرة للحدود. https://t.co/vyjgdn5sAH</t>
  </si>
  <si>
    <t>نائب رئيس مجلس الوزراء وزير الخارجية @MBA_AlThani_  يشارك في فعالية “قوة الابتكار في عالم ما بعد كوفيد 19 “
🔗لقراءة المزيد : https://t.co/1TMh328Off
#الخارجية_القطرية https://t.co/QafTGETI07</t>
  </si>
  <si>
    <t>نائب رئيس مجلس الوزراء وزير الخارجية @MBA_AlThani_  يجتمع مع الرئيس المشارك لمؤسسة بيل وميليندا غيتس
#الخارجية_القطرية https://t.co/ByUCEooL94</t>
  </si>
  <si>
    <t>البيان الختامي للمؤتمر الدولي لتعليم المرأة الأفغانية
#الخارجية_القطرية https://t.co/X8idVw89ie</t>
  </si>
  <si>
    <t>في كلمة أمام المؤتمر الدولي لتعليم المرأة الأفغانية
مساعد وزير الخارجية @Lolwah_Alkhater : دولة قطر ملتزمة بالتنمية والازدهار في أفغانستان
#الخارجية_القطرية https://t.co/Cpcrl0QomP</t>
  </si>
  <si>
    <t>الكواري: الخبرات التراكمية للفرق القائمة على استضافة ضيوف الدولة مصدر اعتزاز لوزارة الخارجية 
#الخارجية_القطرية
#قطر2022 https://t.co/7ajTARiTW0</t>
  </si>
  <si>
    <t>المدير التنفيذي للجنة الدائمة لتنظيم المؤتمرات : قطر حرصت على تقديم تجربة استثنائية لضيوف المونديال
🔗لقراءة المزيد : https://t.co/IMfUrAqidm
#الخارجية_القطرية
#قطر2022 https://t.co/XkahrSgZf6</t>
  </si>
  <si>
    <t>من كلمة سعادة د. تركي بن عبدالله زيد آل محمود مدير إدارة حقوق الإنسان، بمناسبة ⁧#يوم_حقوق_الإنسان
#الخارجية_القطرية https://t.co/ehBpdPUpnM</t>
  </si>
  <si>
    <t>سمو الأمير المفدى يصل مدينة الرياض، للمشاركة في اجتماع مجلس التعاون لدول الخليج العربية الـ43 على مستوى القمة، وقمة الرياض الخليجية الصينية للتعاون والتنمية، وقمة الرياض العربية الصينية للتعاون والتنمية. https://t.co/VU7iW0djwZ https://t.co/Uel6DyrIue</t>
  </si>
  <si>
    <t>سمو الأمير المفدى يشارك في قمة مجلس التعاون لدول الخليج العربية الـ43، التي عقدت في مركز الملك عبدالعزيز الدولي للمؤتمرات بمدينة الرياض. https://t.co/UtiIrUk1ie https://t.co/pUsY5FWNCt</t>
  </si>
  <si>
    <t>سمو الأمير المفدى يشارك في قمة الرياض الخليجية الصينية للتعاون والتنمية، وذلك في مركز الملك عبدالعزيز الدولي للمؤتمرات بمدينة الرياض. https://t.co/UMcXAiAqbd https://t.co/Ub2PVZ41yy</t>
  </si>
  <si>
    <t>أشكر أخي خادم الحرمين الشريفين وسمو ولي عهده الأمير محمد بن سلمان على حفاوة الاستقبال وكرم الضيافة، وأهنئهم على نجاح قمم الرياض الثلاث التي جمعت العرب مع أصدقائهم الصينيين لتعزيز العلاقات التاريخية بين الجانبين بما يحقق مصلحتهما المشتركة ويدعم الأمن والسلام في منطقتنا والعالم. https://t.co/PUZiHs3GbV</t>
  </si>
  <si>
    <t>مساعد وزير الخارجية @Lolwah_Alkhater  تجتمع مع مبعوثي أستراليا وكندا لأفغانستان والمبعوث الخاص الأمريكي لشؤون المرأة الأفغانية وحقوق الإنسان
#الخارجية_القطرية https://t.co/e3aajzHhLH</t>
  </si>
  <si>
    <t>Qatar Affirms Keenness to Provide Various Types of Support to UN to Fulfill its Tasks and Mandate
🔗 To learn more: https://t.co/VwKTkkF3Xe
#MOFAQatar https://t.co/r2mylNMWWD</t>
  </si>
  <si>
    <t>قطر تؤكد مواصلة سياستها المُستندة لروح التعاون والمبادرة وتقديم المساعدات الإنمائية والإغاثية 
🔗لقراءة المزيد : https://t.co/pQos5k19vv
#الخارجية_القطرية https://t.co/Dfs33e23Zz</t>
  </si>
  <si>
    <t>Qatar Affirms Keenness to Support UN Efforts to Assist Refugees, Displaced
🔗 To learn more: https://t.co/vkuOb2kShA
#MOFAQatar https://t.co/b5EGsD8asm</t>
  </si>
  <si>
    <t>almayassahamad</t>
  </si>
  <si>
    <t>صباح مشرق بزيارتنا لأطفال مركز دريمة مع وزيرة التنمية الاجتماعية والأسرة سعادة السيدة مريم المسند، ولينا إنفانتينو، ولاعبي فيفا الرائعين. 
أهنئ المشاركين في هذه المبادرة الملهمة لمساعدة الأطفال. https://t.co/Wyx8TmOzBf</t>
  </si>
  <si>
    <t>الأمم المتحدة تختار قطر وإيرلندا لتيسير مفاوضات الإعلان السياسي لمؤتمر قمة أهداف التنمية المستدامة
🔗لقراءة المزيد : https://t.co/Qb00DpIB6z
#الخارجية_القطرية https://t.co/93gXLHbyFA</t>
  </si>
  <si>
    <t>UN Chooses Qatar, Ireland to Facilitate Consultations on SDG Summit's Political Declaration
🔗To learn more : https://t.co/opd13haAAg
#MOFAQatar https://t.co/6gwJT22Q7z</t>
  </si>
  <si>
    <t>Deputy Prime Minister and Minister of Foreign Affairs @MBA_AlThani_ Receives Phone Call from Irish Foreign and Defense Minister
#MOFAQatar https://t.co/W57djI5fkM</t>
  </si>
  <si>
    <t>نفخر بهذا الإنجاز لأول منتخب عربي يتأهل لربع النهائي في تاريخ كأس العالم، #أسود_الأطلس أسعدوا جماهيرنا العربية في أول كأس عالم على أرض عربية في قطر.
كل التوفيق لهم و #ديما_مغرب 
🇲🇦 https://t.co/9VAm4WO7A4</t>
  </si>
  <si>
    <t>دولة قطر تشارك في اجتماع المجلس الوزاري التحضيري الـ 154 للمجلس الأعلى لمجلس التعاون لدول الخليج العربية
#الخارجية_القطرية 
@MBA_AlThani_ https://t.co/H1q4Vb7kd6</t>
  </si>
  <si>
    <t>Estado de Qatar acoge con beneplácito la firma del acuerdo marco político en Sudán
#MOFAQatar https://t.co/zzaEPQ6md3</t>
  </si>
  <si>
    <t>Felicito al Reino de #España por el día de la Constitución, deseándole mayor progreso y prosperidad. Esperamos continuar desarrollando nuestra distinguida relación para servir a los intereses de nuestros pueblos amigos y lograr la paz y estabilidad regional e internacional.</t>
  </si>
  <si>
    <t>دولة قطر تؤكد حرصها على تقديم مختلف أنواع الدعم لمنظمة الأمم المتحدة للوفاء بمهامها وولايتها
🔗لقراءة المزيد: https://t.co/aVQZ8zncVP
#الخارجية_القطرية https://t.co/xfA0L3w772</t>
  </si>
  <si>
    <t>دولة قطر تؤكد حرصها على دعم جهود الأمم المتحدة ووكالاتها لمساعدة اللاجئين والنازحين
🔗لقراءة المزيد: https://t.co/D4D9zUxGtn
#الخارجية_القطرية https://t.co/2Zb1CmN2uj</t>
  </si>
  <si>
    <t>فيديو - استقبال سمو الأمير المفدى لرئيس دولة الإمارات العربية المتحدة الشقيقة. https://t.co/n1mmMQdiDT</t>
  </si>
  <si>
    <t>أتقدم بأطيب التهاني لمملكة #إسبانيا الصديقة حكومةً وشعباً بمناسبة ذكرى يوم الدستور متمنياً لهم المزيد من التقدم والازدهار. نتطلع لتطوير علاقتنا المتميزة بما يخدم مصالح شعبينا الصديقين ويحقق السلام والاستقرار الاقليمي والدولي.</t>
  </si>
  <si>
    <t>بيان | دولة قطر ترحّب بالتوقيع على الاتفاق السياسي الإطاري في السودان
#الخارجية_القطرية https://t.co/iOiojdyfZk</t>
  </si>
  <si>
    <t>سمو الأمير المفدى يتقدم مودعي أخيه صاحب السمو الشيخ محمد بن زايد آل نهيان رئيس دولة الإمارات العربية المتحدة الشقيقة، لدى مغادرته مطار حمد الدولي بعد زيارة رسمية للبلاد. #قطر #الإمارات https://t.co/9cawkoZV5y</t>
  </si>
  <si>
    <t>أرحب بأخي سمو الشيخ محمد بن زايد آل نهيان في الدوحة الذي اتاحت لنا زيارته التباحث حول سبل تعزيز العلاقات الأخوية بين بلدينا، وتبادل وجهات النظر حول القضايا الإقليمية والدولية ذات الاهتمام المشترك وفي مقدمتها سبل دعم الأمن والاستقرار في المنطقة. https://t.co/Lvifh22ojv</t>
  </si>
  <si>
    <t>سمو الأمير المفدى وأخوه صاحب السمو الشيخ محمد بن زايد آل نهيان رئيس دولة الإمارات العربية المتحدة الشقيقة يعقدان جلسة مباحثات رسمية في الديوان الأميري، بحثا خلالها تعزيز العلاقات الأخوية والعمل الخليجي المشترك. #قطر #الإمارات https://t.co/Vvj42lbe1v https://t.co/WA7sw6Zncu</t>
  </si>
  <si>
    <t>دولة قطر تشجب وتستنكر محاولات تسييس أو "عنصرة" كرة القدم والرياضة
🔗 لقراءة المزيد: https://t.co/kKn2AObXjf
#الخارجية_القطرية https://t.co/ux9HJ10T7r</t>
  </si>
  <si>
    <t>Estado de Qatar y UNRWA...Cooperación continua
#SolidarityWithPalestinianPeople
#MOFAQatar https://t.co/C952zpib98</t>
  </si>
  <si>
    <t>A lo largo de los años, el Estado de Qatar ha apoyado la resistencia del hermano pueblo palestino, frente a la ocupación israelí,en diverse sectores, con el fin de reducir el agravamiento de la situación humanitaria y las difíciles condiciones de vida en los territorios ocupados. https://t.co/YdkzP8ztNX</t>
  </si>
  <si>
    <t>El proyecto del Estado de Qatar, “La Ciudad de Rawabi”, donde viven más de 20 mil personas, es un proyecto integrado que brinda a los residentes y visitantes de la ciudad todas sus necesidades.
#SolidarityWithPalestinianPeople
#MOFAQatar https://t.co/txYmNJpOFR</t>
  </si>
  <si>
    <t>discurso de Su Excelencia el embajador/Mohammed Ismail Al-Emadi, Presidente del Comité de Qatar para la Reconstrucción de Gaza, en #SolidarityWithPalestinianPeople
#MOFAQatar https://t.co/Gy5atx14Mm</t>
  </si>
  <si>
    <t>Portavoz del Ministerio de Relaciones Exteriores @majedalansari : La decisión de la Comisión de Libertades del Parlamento Europeo elimina los obstáculos para completar los procedimientos para eximir a los ciudadanos de Qatar del visado "Schengen".
#MOFAQatar https://t.co/aQTRbyvJoM</t>
  </si>
  <si>
    <t>Estado de Qatar condena el intento de asesinato del embajador de Pakistán en Kabul
#MOFAQatar https://t.co/aofg1JaESH</t>
  </si>
  <si>
    <t>Qatar Participates in Official Ceremony of International Day of Solidarity with Palestinian People
#MOFAQatar https://t.co/WM9XqlIt6o</t>
  </si>
  <si>
    <t>Committee on Civil Liberties in European Parliament Approves to Exempt Qatari Citizens from Schengen Visa
#MOFAQatar https://t.co/GrF4UD2dvD</t>
  </si>
  <si>
    <t>Spokesperson for Ministry of Foreign Affairs @majedalansari to QNA: LIBE’s Ratification in European Parliament Overcomes Obstacles of Exempting Qatar’s Citizens from Schengen Visa
To learn more: https://t.co/N20KGkl0Y9
#MOFAQatar https://t.co/4ALKs1U6IY</t>
  </si>
  <si>
    <t>Spokesperson for the Ministry of Foreign Affairs @majedalansari : The approval of the Committee on Freedoms in the European Parliament removes obstacles to completing the procedures for exempting Qatari citizens from the "Schengen" visa 
#MOFAQatar https://t.co/pPMPVss2ur</t>
  </si>
  <si>
    <t>Qatar Condemns and Denounces Football's Politicization, Racialization Attempts
🔗 To learn more: https://t.co/XMVW0OgMBX
#MOFAQatar https://t.co/BiWLtQiJRL</t>
  </si>
  <si>
    <t>Statement | Qatar Condemns Attempt to Assassinate Pakistan's Ambassador in Kabul
#MOFAQatar https://t.co/V7Gx57zwt9</t>
  </si>
  <si>
    <t>Statement : Qatar Strongly Condemns Attack in Mogadishu
#MOFAQatar https://t.co/AzUPgQDi4p</t>
  </si>
  <si>
    <t>Qatar Elected for Membership of Executive Council of OPCW
#MOFAQatar https://t.co/p00jDVyXA9</t>
  </si>
  <si>
    <t>Remarks by HE Ambassador Mohammed Al Emadi, Chairman of Qatar Committee for Reconstruction of Gaza in the International Day of #SolidarityWithPalestinianPeople commemorated by the United Nations yearly. 
#MOFAQatar https://t.co/ENrlV9NvyU</t>
  </si>
  <si>
    <t>The State of Qatar and @UNRWA: Continuous Cooperation  
#SolidarityWithPalestinianPeople
#MOFAQatar https://t.co/zpwIUszHIu</t>
  </si>
  <si>
    <t>Over the years, Qatar has been supporting the steadfastness of the brotherly Palestinian people in the face of the Israeli occupation, by supporting in various sectors to limit the deterioration of the difficult living conditions in the occupied territories.
#MOFAQatar https://t.co/11edLAgH5y</t>
  </si>
  <si>
    <t>Felicitaciones a nuestro Campeón Mundial @NassersFan por su triunfo en la Carrera @ExtremeELive</t>
  </si>
  <si>
    <t>نهنئ بطلنا العالمي @NassersFan بفوزه في جولة رالي الاوروغواي @ExtremeELive https://t.co/pGZV04YM1Z</t>
  </si>
  <si>
    <t>Felicitaciones a nuestro Campeón Mundial @NassersFan por su triunfo en la Carrera @ExtremeELive Uruguay</t>
  </si>
  <si>
    <t>Estado de Qatar anuncia su contribución de  20 millones de dólares en apoyo a un programa humanitario para ayudar a los países africanos
#MOFAQatar https://t.co/gHBnSmE8TP</t>
  </si>
  <si>
    <t>The State of Qatar announces its contribution of $20 million in support of a humanitarian programme to help African countries
#MOFAQatar https://t.co/k9qSA8lJbZ</t>
  </si>
  <si>
    <t>Qatar Contributes $20 Million for Humanitarian Program to Help African Countries
🔗To learn more: https://t.co/qdh4h0ih2A
#MOFAQatar 
@MBA_AlThani_ https://t.co/nwXt76Vu0Z</t>
  </si>
  <si>
    <t>H.E.  @MBA_AlThani_ we welcome Ukraine's initiative to launch the “Grain from Ukraine” humanitarian program as an initiative to help African countries obtain Ukrainian food exports. We are pleased to announce Qatar's contribution to the programme with an amount of $20 million. https://t.co/1n62vG8iRl</t>
  </si>
  <si>
    <t>H.E. @MBA_AlThani_ : The escalation of challenges facing global food security and the stability of energy supplies for millions of ppl call for unprecedented international attention,continuous cooperation and a clear arrangement of priorities with the humanitarian aspect on top. https://t.co/RjdZlMx80A</t>
  </si>
  <si>
    <t>Spokesperson for Ministry of Foreign Affairs @majedalansari : Qatar at Forefront of Countries Seeking to Achieve Food Security Globally
🔗To learn more: https://t.co/wZkq90MqWf
#MOFAQatar https://t.co/flL6Tk9dsE</t>
  </si>
  <si>
    <t>Qatar Participates in 9th United Nations Alliance of Civilizations Global Forum in Morocco
🔗To learn more: https://t.co/VXj9VUdHCd
#MOFAQatar https://t.co/F3DYgVcSF3</t>
  </si>
  <si>
    <t>U.S. Secretary of State @SecBlinken: The cooperation between the United States and Qatar is deeper than ever
#MOFAQatar https://t.co/xhTjwGEd5x</t>
  </si>
  <si>
    <t>Deputy Prime Minister and Minister of Foreign Affairs @MBA_AlThani_: Qatar considers relations with the United States as one of its most important strategic partnerships.
#MOFAQatar https://t.co/vAsmSeHkKQ</t>
  </si>
  <si>
    <t>As part of the strategic dialogue between the two countries in its fifth session
Qatar and the United States sign a Letter of Intent on the legacy of the World Cup (2022 - 2026)
#MOFAQatar https://t.co/rC54xPFlxT</t>
  </si>
  <si>
    <t>Viceprimer Ministro y Ministro de Relaciones Exteriores @MBA_AlThani_ : Qatar considera las relaciones con los Estados Unidos una de sus asociaciones estratégicas más importantes
 #MOFAQatar https://t.co/tSW6JqMZRL</t>
  </si>
  <si>
    <t>Secretario de Estado de los Estados Unidos @SecBlinken : La cooperación entre los Estados Unidos y Qatar es más profunda que nunca
#MOFAQatar https://t.co/7AzE6z0jvk</t>
  </si>
  <si>
    <t>Qatar y Estados Unidos firman una carta de intenciones sobre el legado de la Copa del Mundo (2022 - 2026)
#MOFAQatar 
@MBA_AlThani_ https://t.co/93IgNesuDp</t>
  </si>
  <si>
    <t>Recepción del Campeón Mundial Qatarí Nasser bin Saleh Al Atiyyah, quien participará en la última ronda de la Carrera Mundial Extreme E, deseamos el éxito para nuestro Campeón.</t>
  </si>
  <si>
    <t>استقبال البطل العالمي القطري ناصر بن صالح العطية المشارك بالجولة الاخيرة من سباق بطوله العالم للمحركات الكهربائية، كل التوفيق لبطلنا. https://t.co/TAJIW13KFR</t>
  </si>
  <si>
    <t>Gran apoyo árabe a Qatar por organizar el Mundial y condena de las campañas maliciosas
#MOFAQatar 
#Qatar2022 https://t.co/nvXTgfbFav</t>
  </si>
  <si>
    <t>QNAEnglish</t>
  </si>
  <si>
    <t>HH Sheikha Moza bint Nasser: The time has come .. Welcome to the FIFA World Cup Qatar 2022. #QNA #World_Cup_Qatar_2022 
#QATAR2022 
#FIFAWorldCup https://t.co/gk1VMTG1Dh</t>
  </si>
  <si>
    <t>Qatar Asserts Modern Technology's Unprecedented Usefulness in Countering Terrorism, Its Financing
🔗To learn more: https://t.co/wCuyDvU6go
#MOFAQatar https://t.co/mmVCsxMFAA</t>
  </si>
  <si>
    <t>In a matter of minutes, the world will be able to witness the scale of what #Qatar has achieved and learn about the efforts made throughout this monumental journey.
#VisiontoReality
#NowisAll https://t.co/EWClE0fOxc</t>
  </si>
  <si>
    <t>HH the Amir Sheikh Tamim bin Hamad Al-Thani’s speech at the opening ceremony of the FIFA World Cup Qatar 2022. #QNA
#World_Cup_Qatar_2022 
#QATAR2022 
#FIFAWorldCup https://t.co/7jk1D34liR</t>
  </si>
  <si>
    <t>embpalestinauru</t>
  </si>
  <si>
    <t>Felicitaciones a nuestro país hermano Qatar por un trabajo increíble en la inauguración de la Copa del Mundo. 
Como árabes no podríamos estar más orgullosos. 
Toda la suerte a nuestros hermanos y hermanas de Qatar 
🇶🇦🇵🇸 https://t.co/O3XBxpw8fy</t>
  </si>
  <si>
    <t>La Embajada del Estado de Qatar en Uruguay inaugura el Rincon Árabe en Hotel Sofitel Montevideo, en ocasión de la Apertura del Campeonato Mundial de Futbol FIFA QATAR 2022</t>
  </si>
  <si>
    <t>تفتتح سفارة دولة قطر  في الأوروغواي المجلس العربي بفندق سوفيتيل مونتفيديو بمناسبة افتتاح بطولة كأس العالم لكرة القدم فيفا قطر ٢٠٢٢ https://t.co/DrvbOUYZaD</t>
  </si>
  <si>
    <t>Qatar celebra la extensión del trato de exportación de granos a través del Mar Negro
#MOFAQatar https://t.co/Gijdqf29FF</t>
  </si>
  <si>
    <t>Su Excelencia el Jeque Meshal bin Hamad Al Thani, 
Embajador del Estado de Qatar en los Estados Unidos de América escribe a CNN:
La Copa Mundial es una gran oportunidad para mitigar las ideas erróneas y los prejuicios contra Qatar y la cultura árabe e islámica
#MOFAQatar https://t.co/PKlpZNOkL2</t>
  </si>
  <si>
    <t>Qatar Stresses Importance of Consolidating Efforts to make Middle East Free of Weapons of Mass Destruction
🔗To learn more: https://t.co/nvYkGiYrjd
#MOFAQatar https://t.co/H51qlQkB7F</t>
  </si>
  <si>
    <t>The Secretary General of the Gulf Cooperation Council: The hosting of the World Cup in Qatar is a new achievement for the Gulf countries
#MOFAQatar 
#Qatar2022 https://t.co/4lJMGtgn2h</t>
  </si>
  <si>
    <t>Qatar Participates in GCC Tourism Ministers Meeting in AlUla
🔗 To learn more : https://t.co/ZczckUdUPv
#MOFAQatar https://t.co/zqdsOAYMrY</t>
  </si>
  <si>
    <t>#QNA_Video |
#WorldCupQatar2022
Doha Sports Stadium... Documented Qatari football's history and embraced legends of international football. #QNA
#QATAR2022
#QNA_Sport https://t.co/tE672HNPmc</t>
  </si>
  <si>
    <t>El Encargado de Negocios a.i Sr. Ahmad Al Mohannadi mantuvo un encuentro con el  Senador @JuanSartoriUY en la Sede de la Embajada en Montevideo. 16/11/2022.</t>
  </si>
  <si>
    <t>التقى القائم بالأعمال بالإنابة السيد أحمد المهندي بعضو مجلس الشيوخ في برلمان الأوروغواي السيد خوان سارتوري، وذلك في مقر السفارة بمونتفيديو. 16/11/2022 https://t.co/X82hnLsyGE</t>
  </si>
  <si>
    <t>El Encargado de Negocios a.i Sr. Ahmad Al Mohannadi mantuvo un encuentro con el  Senador @JuanSartoriUY en la Sede de la Embajada en Montevideo, 16/11/2022.</t>
  </si>
  <si>
    <t>Statement | Qatar welcomes the extension of the agreement on grain exports through the Black Sea
#MOFAQatar https://t.co/atWAWNaj62</t>
  </si>
  <si>
    <t>Ministro de Relaciones Exteriores @MBA_AlThani_ en una entrevista con el periódico Frankfurter:Qatar siempre ha estado abierto a la crítica constructiva de su legislación y hemos abierto nuestras puertas a las ONG y las organizaciones internacionales de derechos humanos. https://t.co/8Pwghx8IA9</t>
  </si>
  <si>
    <t>El Grupo Árabe de la " UNESCO" elogia los esfuerzos de Qatar para albergar la Copa Mundial
@QatarAtUNESCO
#MOFAQatar
#Qatar2022 https://t.co/UGZMhALPd7</t>
  </si>
  <si>
    <t>Qatar afirma su apoyo al Programa Global de la ONU para Combatir las Amenazas Terroristas contra Objetivos Vulnerables
#MOFAQatar https://t.co/k3QUS2eJug</t>
  </si>
  <si>
    <t>Las embajadas de Qatar continúan organizando diversos eventos para promocionar la Copa Mundial de la FIFA Qatar 2022
#MOFAQatar https://t.co/VCP1oxoC6P</t>
  </si>
  <si>
    <t>Secretario General del Consejo de Cooperación del Golfo: La celebración de la Copa Mundial en Qatar es un nuevo logro del Golfo
#MOFAQatar
#Qatar2022 https://t.co/xCorDZku3x</t>
  </si>
  <si>
    <t>https://t.co/mWZ8SAVlx0</t>
  </si>
  <si>
    <t>Cualquier persona que desee visitar el Estado de Qatar entre el 1 de noviembre y el 23 de diciembre de 2022, debe obtener la tarjeta aprobada Hayya antes de ingresar, a través de la plataforma Hayya o la aplicación Hayya to Qatar 2022:  
https://t.co/W3SQXvTNo7</t>
  </si>
  <si>
    <t>يتعين على أي شخص يرغب في زيارة دولة قطر في الفترة ما بين 01 نوفمبر و 23 ديسمبر 2022م الحصول على بطاقة هيّا المعتمدة قبل الدخول، يإمكان الزوار التقدم للحصول على بطاقة هيّا من خلال منصة هيّا أو تطبيق Hayya to Qatar 2022، لمزيد من المعلومات اضغط هنا:  
https://t.co/GSQP00TZOR</t>
  </si>
  <si>
    <t>Parte del evento del Liceo N•2 de Solymar en Uruguay con la colaboración de la Embajada del Estado de Qatar en Montevideo.</t>
  </si>
  <si>
    <t>جانب من احتفالية المدرسة رقم  (2) في مدينة سوليمار بالأوروغواي بالتعاون مع سفارة دولة قطر في مونتفيديو. https://t.co/msXFTIi7Of</t>
  </si>
  <si>
    <t>Ibrahim Khalfan, @roadto2022’s Local Ambassador, affirms that the people of #Qatar welcome all visitors and hope fans enjoy the 2022 FIFA World Cup.
#VisiontoReality
#NowisAll https://t.co/RezXrV5nQF</t>
  </si>
  <si>
    <t>#WorldCupQatar2022
Doha Port witnesses the naming ceremony of the ship "MSC World Europa", which will provide 5-star hospitality to #WorldCup fans. #QNA #QATAR2022 https://t.co/9nZtSrIVhG</t>
  </si>
  <si>
    <t>Wael Gomaa, @roadto2022’s Local Ambassador, expresses his delight that the State of #Qatar will host this global event, ensuring that everyone will witness this tournament on Arab land.
#VisiontoReality
#NowisAll https://t.co/FGnYTZFurB</t>
  </si>
  <si>
    <t>Ahmed Khalil, Local Ambassador for @roadto2022, discusses #Qatar's readiness to host the FIFA World Cup Qatar 2022 and the significance of the tournament for all Arabs.
#VisiontoReality
#NowisAll https://t.co/GZKISqiut9</t>
  </si>
  <si>
    <t>QatarNewsAgency</t>
  </si>
  <si>
    <t>#مونديال_قطر_2022 ..
وصول ثاني الفنادق العائمة السفينة إم إس سي بويسيا إلى #ميناء_الدوحة
#قنا ##كأس_العالم_2022 
#قطر2022 https://t.co/Dc0AUKeGs1</t>
  </si>
  <si>
    <t>السفير المحلي ل @roadto2022 أحمد خليل يتحدث عن جاهزية دولة قطر لاستضافة حدث مونديال FIFA قطر 2022 ويؤكد أن البطولة ستكون لكل العرب.
#حلمنا_واقع
#عالوعد https://t.co/wcHjvtxFjQ</t>
  </si>
  <si>
    <t>Qatar condena enérgicamente la explosión en Estambul
#MOFAQatar https://t.co/HrDZQgafIH</t>
  </si>
  <si>
    <t>سمو الأمير المفدى يجري اتصالًا هاتفيًا مع أخيه فخامة الرئيس رجب طيب أردوغان رئيس الجمهورية التركية الشقيقة، أعرب فيه عن خالص تعازيه ومواساته في ضحايا الانفجار الذي وقع في مدينة إسطنبول، متمنيًا سموه الشفاء العاجل للمصابين. https://t.co/RFiggv0JAu</t>
  </si>
  <si>
    <t>بوصولك إلى دولة قطر حاضنة الحدث الرياضي؛ بطولة كأس العالم FIFA قطر 2022™، فأنت على موعد مع تجربة فريدة، حماسية وآمنة، في دولة من أكثر الدول أمانا، وستجد رجال الأمن في خدمتك #الداخلية_قطر #قطر_2022 https://t.co/yhy8n1oK07</t>
  </si>
  <si>
    <t>دولة قطر تشارك في الدورة الـ 121 للمجلس الدائم للفرنكوفونية
#الخارجية_القطرية https://t.co/CrdyS2RRQn</t>
  </si>
  <si>
    <t>Acaba de llegar al Estado de Qatar, el punto de encuentro de los eventos deportivos internacionales. Está en uno de los países más seguros según los indicadores de paz a nivel mundial. 
Bienvenido a Qatar: protección y seguridad.
#MOIQatar #Qatar2022 https://t.co/LmSv5Qs85f</t>
  </si>
  <si>
    <t>افتتح معالي الشيخ خالد بن خليفة بن عبدالعزيز آل ثاني، رئيس مجلس الوزراء ووزير الداخلية التوسعة الجديدة لمطار حمد الدولي وتفقد الأجهزة التي ستسهم في تسهيل إجراءات المسافرين، وكما تفقد بعض المرافق الخاصة بهذه التوسعة والتي ستُمكن المطار من استقبال ١٨ مليون زائر إضافي سنوياً. https://t.co/95wtpOYKnU</t>
  </si>
  <si>
    <t>Parte del evento del Colegio Willow en Uruguay con la colaboración de la Embajada del Estado de Qatar en Montevideo.</t>
  </si>
  <si>
    <t>جانب من احتفالية مدرسة ويلو في الأوروغواي بالتعاون مع سفارة دولة قطر في مونتفيديو. https://t.co/b5JFFjDAqI</t>
  </si>
  <si>
    <t>As a culmination of years of Qatari ambition and development, November witnesses the inauguration of significant and influential projects in the lead up to the FIFA World Cup #Qatar 2022.
#LusailBoulevard https://t.co/2TVE2s5AQM</t>
  </si>
  <si>
    <t>During #UNMediaSeminar on Peace in the Middle East #Qatar emphasized that int’l community’s failure to conduct an indpdent, transparent &amp;amp; int’l invstigtion into killing of #ShereenAbuAkleh would enable perpetrators to escape punishment &amp;amp; repeat their crimes also worldwide https://t.co/4V4cqOlWUF</t>
  </si>
  <si>
    <t>Qatar Stresses Importance of Protecting Journalists Worldwide
🔗To learn more: https://t.co/rodvdLYTht
#MOFAQatar https://t.co/BNRH9LfIJj</t>
  </si>
  <si>
    <t>دولة قطر تشدد على ضرورة حماية الصحفيين حول العالم
🔗لقراءة المزيد: https://t.co/xXWxl2K2w1
#الخارجية_القطرية https://t.co/77C1M6YAy4</t>
  </si>
  <si>
    <t>الوفد الدائم لدولة قطر ينظم جلسة إحاطة تفاعلية حول برنامج مركز الدوحة الدولي للرؤى السلوكية لمكافحة الإرهاب
🔗لقراءة المزيد: https://t.co/25dqr97apq
#الخارجية_القطرية https://t.co/9GJyhCY7Eb</t>
  </si>
  <si>
    <t>جانب من احتفالية مدرسة مونتسيرّات في الأوروغواي بالتعاون مع سفارة دولة قطر في مونتفيديو.
Parte del evento del Colegio Montserrat en Uruguay con la colaboración de la Embajada del Estado de Qatar en Montevideo. https://t.co/uxfwUVsWQC</t>
  </si>
  <si>
    <t>فيديو - مشاركة سمو الأمير المفدى في القمة العربية الـ31. https://t.co/u78175LZWC</t>
  </si>
  <si>
    <t>Statement | Qatar Strongly Condemns Attempted Assassination of Former Pakistani Prime Minister
#MOFAQatar https://t.co/q4zsu18O8k</t>
  </si>
  <si>
    <t>Qatar condena enérgicamente el intento de asesinato del Ex Primer Ministro Pakistaní
#MOFAQatar https://t.co/3G3HbsdnyT</t>
  </si>
  <si>
    <t>بيان| قطر تدين بشدة محاولة اغتيال رئيس الوزراء الباكستاني السابق
#الخارجية_القطرية https://t.co/HjWpKMYbxy</t>
  </si>
  <si>
    <t>جانب من احتفالية مدرسة فلوريستا في الأوروغواي بالتعاون مع سفارة دولة قطر في مونتفيديو.
Parte del evento del Liceo de La Floresta en Uruguay con la colaboración de la Embajada del Estado de Qatar en Montevideo. https://t.co/2myWRufD51</t>
  </si>
  <si>
    <t>Qatar acoge con beneplácito regreso de Rusia al acuerdo de exportación de granos
#MOFAQatar https://t.co/ZSkWNkrNn6</t>
  </si>
  <si>
    <t>Qatar acoge con beneplácito el acuerdo del Gobierno de Etiopía y del Frente de Liberación de Tigray de poner fin a las hostilidades
#MOFAQatar https://t.co/flwoT3PQ5V</t>
  </si>
  <si>
    <t>Los Líderes árabes anuncian su apoyo a Qatar para albergar la Copa Mundial
#MOFAQatar https://t.co/AaFH5H8hxL</t>
  </si>
  <si>
    <t>embargenqatar</t>
  </si>
  <si>
    <t>Junto con @CancilleriaARG 🇦🇷seguimos actualizando la Guía. Ya se encuentra lista para su descarga V3 (mismo link).
https://t.co/LVne37DN5P
Incorporamos todas las novedades informadas por @roadto2022es @Roadto2022Go @fifaworldcup_es @MOPHQatar @MOI_QatarEn @MOFAQatar_ES 🇶🇦 https://t.co/PRgqYnw6lJ</t>
  </si>
  <si>
    <t>The spokesperson of the Ministry of Foreign Affairs @majedalansari, in a statement to "QNA": The participation of His Highness, the Amir in the Arab Summit in Algeria reflects the full support of the State of Qatar for joint Arab action
#MOFAQatar https://t.co/kCQckA7d8M</t>
  </si>
  <si>
    <t>Foreign Minister's Special Envoy Meets Indian Ambassador
#MOFAQatar https://t.co/P4ZUzJGkry</t>
  </si>
  <si>
    <t>Statement | Qatar Welcomes Russia's Rejoining Grain Export Deal
#MOFAQatar https://t.co/u1XAfKNjz4</t>
  </si>
  <si>
    <t>Statement | Qatar Welcomes Ethiopian Government, Tigray People's Liberation Front Agreement on Cessation of Hostilities
#MOFAQatar https://t.co/cUd1pmWQCc</t>
  </si>
  <si>
    <t>Arab leaders announce their support for Qatar to host the World Cup
#MOFAQatar https://t.co/fpNOqklwfq</t>
  </si>
  <si>
    <t>QFFD sent 4 tons of Oxygen Concentrators and 164 kgs of Remdesivir injections to address the COVID-19 pandemic in Nepal.
This aid is expected to play a pivotal role in promoting the healthcare system and will contribute to combating COVID-19’s widespread in Nepal. https://t.co/ZoFTvBYjQX</t>
  </si>
  <si>
    <t>Spokesperson for Ministry of Foreign Affairs @majedalansari : HH the Amir's Participation in Arab Summit Reflects Qatar's Full Support to Joint Arab Action
🔗To learn more: https://t.co/s8VPnga9UV
#MOFAQatar https://t.co/x0BkrXQjKd</t>
  </si>
  <si>
    <t>Qatar Affirms Importance of Sporting Events in Enhancing Sustainable Development
🔗To learn more: https://t.co/8QJXBUDTfM
#MOFAQatar https://t.co/AhP4ycTlsk</t>
  </si>
  <si>
    <t>Qatar Participates in Arab-Hellenic Economic Forum
#MOFAQatar https://t.co/ICzn2W6gVl</t>
  </si>
  <si>
    <t>Assistant Foreign Minister for Regional Affairs @Dr_Al_Khulaifi Meets Special Representative of the UN Secretary-General for Libya
#MOFAQatar https://t.co/eggLAcML6h</t>
  </si>
  <si>
    <t>Special Envoy of Minister of Foreign Affairs Meets US Ambassador
#MOFAQatar https://t.co/olBSncShma</t>
  </si>
  <si>
    <t>QFFD sent 4.7 tons of urgent medical aid to the Democratic Socialist Republic of Sri Lanka. This aid comes to support the health sector and to contribute to alleviating the burden in the health sector in Sri Lanka @QatarEmb_COL https://t.co/L8M5zoLEPh</t>
  </si>
  <si>
    <t>Assistant Foreign Minister @Lolwah_Alkhater Meets Australian Ambassador
#MOFAQatar https://t.co/CZFq1Q7vZy</t>
  </si>
  <si>
    <t>MOLQTR</t>
  </si>
  <si>
    <t>ILO monitors Qatar's Labour reforms .. 
#molqtr
  @ilo @ILOQatar https://t.co/ntQA7IOBNO</t>
  </si>
  <si>
    <t>On the anniversary of its Revolution Day, #Algeria is hosting the 31st Arab Summit, where Arab leaders will meet once again in affirmation of joint Arab efforts. Sincerest wishes for progress, prosperity &amp;amp; success to all Arabs &amp;amp; to our brothers in Algeria in hosting this summit.</t>
  </si>
  <si>
    <t>The State of Qatar Reiterates that Best Settlement for Palestinian Issues is a Two-State Solution
🔗To learn more: https://t.co/NyZ76X39AQ
#MOFAQatar https://t.co/o6FVIz9htF</t>
  </si>
  <si>
    <t>Assistant Foreign Minister for Regional Affairs @Dr_Al_Khulaifi Meets Russian Envoy to Middle East Peace Process
#MOFAQatar https://t.co/kER4jE0yLj</t>
  </si>
  <si>
    <t>دولة قطر تجدد التأكيد على أن حل الدولتين هو الحل الأمثل لتسوية القضية الفلسطينية
🔗 لقراءة المزيد: https://t.co/ldYonsWpfg
#الخارجية_القطرية https://t.co/koboXEpCLf</t>
  </si>
  <si>
    <t>QatarEmbAlgeria</t>
  </si>
  <si>
    <t>سمو الأمير يغادر أرض الوطن متوجهاً "بحفظ الله ورعايته" إلى مدينة #الجزائر بالجمهورية الجزائرية الديمقراطية الشعبية الشقيقة. https://t.co/VSqmtCI7Cq</t>
  </si>
  <si>
    <t>تستضيف #الجزائر في ذكرى يوم ثورتها، الدورة العادية ال31 للقمة العربية والتي سيجتمع فيها قادة العرب من جديد تأكيداً على تعزيز العمل العربي المشترك. أطيب التمنيات بالتقدم والازدهار والتوفيق في استضافة القمة لأشقائنا في الجزائر وللعرب جميعاً.</t>
  </si>
  <si>
    <t>منظمة العمل الدولية ترصد إصلاحات قطر العمالية .. 
#وزارة_العمل 
@ilo @ILOQatar https://t.co/s8aQg5Z5B6</t>
  </si>
  <si>
    <t>سمو الأمير المفدى يصل الجزائر للمشاركة في القمة العربية الـ31، وفي مقدمة مستقبلي سموه، أخوه فخامة الرئيس عبدالمجيد تبون رئيس الجمهورية الجزائرية الديمقراطية الشعبية الشقيقة. https://t.co/bP5CVTqfeT https://t.co/vXQVbVZMz6</t>
  </si>
  <si>
    <t>سمو الأمير المفدى يهنئ فخامة السيد لويس إيناسيو لولا دا سيلفا بمناسبة انتخابه رئيسا لجمهورية البرازيل الاتحادية، متمنيا له التوفيق وللعلاقات بين البلدين المزيد من التطور والنماء. https://t.co/EFnwAnSd6M</t>
  </si>
  <si>
    <t>سمو الأمير المفدى وأخوه فخامة الرئيس الجزائري يشهدان إطلاق مشروع المستشفى "الجزائري القطري الألماني"، وافتتاح مشروع مصنع الحديد والصلب للشركة الجزائرية القطرية للصلب، وذلك في المركز الدولي للمؤتمرات "عبداللطيف رحال" في الجزائر. https://t.co/BL35nXyrHm https://t.co/e0PAPO5OaO</t>
  </si>
  <si>
    <t>سمو الأمير المفدى يشارك مع إخوانه أصحاب الفخامة والسمو في الجلسة الافتتاحية للقمة العربية الـ31 بالمركز الدولي للمؤتمرات “عبداللطيف رحال” في الجزائر. https://t.co/Ffpl9MDPD4 https://t.co/dsBnc4qWlc</t>
  </si>
  <si>
    <t>سمو الأمير المفدى يلتقي أخاه فخامة الرئيس الدكتور عبداللطيف رشيد رئيس جمهورية العراق الشقيقة، وذلك على هامش انعقاد القمة العربية الـ31، في المركز الدولي للمؤتمرات “عبداللطيف رحال” في الجزائر. https://t.co/pJ361Sh6yw https://t.co/c7HVFnvOEK</t>
  </si>
  <si>
    <t>سمو الأمير المفدى يلتقي دولة السيد نجيب ميقاتي رئيس الحكومة بالجمهورية اللبنانية الشقيقة، وذلك على هامش انعقاد القمة العربية الـ31 بالمركز الدولي للمؤتمرات “عبداللطيف رحال” في الجزائر. https://t.co/CwyLD9Y6RM https://t.co/deFNgNHBwf</t>
  </si>
  <si>
    <t>سمو الأمير المفدى يلتقي أخاه فخامة الفريق أول ركن عبدالفتاح البرهان رئيس مجلس السيادة الانتقالي بجمهورية السودان الشقيقة، وذلك على هامش انعقاد القمة العربية الـ31، بالمركز الدولي للمؤتمرات “عبداللطيف رحال” في الجزائر. https://t.co/RuFbqpkTrW https://t.co/fskW7e81aq</t>
  </si>
  <si>
    <t>أرسل صندوق قطر للتنمية ٤.٧ طن من المساعدات الطبية العاجلة إلى جمهورية سريلانكا الديمقراطية الاشتراكية . تأتي هذه المساعدات لتستثمر في القطاع الصحي حيث انها ستلعب دوراً محورياً في تعزيز الصحة وستساهم في تخفيف العبء على القطاع الطبي @QatarEmb_COL https://t.co/GXCg02PZ75</t>
  </si>
  <si>
    <t>أهنئ أخي الرئيس @TebbouneAmadjid على نجاح القمة العربية الـ31، وأشكر أشقاءنا في الجزائر على حسن التنظيم وكرم الضيافة، متمنياً أن تدفع مخرجات القمة العمل العربي المشترك إلى آفاق أرحب تلبي طموحات شعوبنا العربية في التنمية والازدهار، وتدعم الأمن والسلام في المنطقة. https://t.co/1CMMxy6IM7</t>
  </si>
  <si>
    <t>المبعوث الخاص لوزير الخارجية يجتمع مع السفير الأمريكي
#الخارجية_القطرية https://t.co/oTb0gR7A3H</t>
  </si>
  <si>
    <t>مساعد وزير الخارجية للشؤون الإقليمية @Dr_Al_Khulaifi  يجتمع مع الممثل الخاص للأمين العام للأمم المتحدة في ليبيا 
#الخارجية_القطرية https://t.co/uNbIzF7yuK</t>
  </si>
  <si>
    <t>دولة قطر تشارك في المنتدى الاقتصادي اليوناني – العربي 
#الخارجية_القطرية https://t.co/HmCHc05uSi</t>
  </si>
  <si>
    <t>المتحدث الرسمي لوزارة الخارجية @majedalansari في تصريح  لـ " قنا " : 
مشاركة سمو الأمير في القمة العربية بالجزائر تعكس دعم دولة قطر الكامل للعمل العربي المشترك
#الخارجية_القطرية https://t.co/NaZolee0iK</t>
  </si>
  <si>
    <t>المتحدث الرسمي لوزارة الخارجية @majedalansari : مشاركة سمو الأمير في القمة العربية بالجزائر تعكس دعم دولة قطر الكامل للعمل العربي المشترك
🔗 لقراءة المزيد: https://t.co/0qUdm2QoRw
#الخارجية_القطرية https://t.co/tsZ6FQXjNY</t>
  </si>
  <si>
    <t>دولة قطر تؤكد أن الأحداث الرياضية الكبرى تسهم في تسريع وتيرة التنمية المستدامة
🔗لقراءة المزيد: https://t.co/GMSP9Ew2GC
#الخارجية_القطرية https://t.co/MEsi3eKgqF</t>
  </si>
  <si>
    <t>أرسل صندوق قطر للتنمية 4 طن من مكثفات الأكسجين و 164 كجم من ادوية ريمديسفير (Remdesivir) إلى النيبال للتصدي لجائحة كوفيد-19.
ومن المتوقع أن تلعب هذه المساعدات دوراً رئيسيا في تعزيز نظام الرعاية الصحية وستساهم في تخفيف الصعوبات المتعلقة بانتشار فيروس كوفيد -19 في النيبال https://t.co/iq49y0g0Vq</t>
  </si>
  <si>
    <t>القادة العرب يعلنون مساندتهم لقطر في استضافة كأس العالم
#الخارجية_القطرية https://t.co/Mf82yMXiYX</t>
  </si>
  <si>
    <t>بيان : دولة قطر ترحّب بعودة روسيا لاتفاق صادرات الحبوب
#الخارجية_القطرية https://t.co/T5GWuRnEDF</t>
  </si>
  <si>
    <t>بيان : دولة قطر ترحّب باتفاق الحكومة الإثيوبية وجبهة تحرير تيغراي على وقف الأعمال العدائية
#الخارجية_القطرية https://t.co/eHP1JqQUMW</t>
  </si>
  <si>
    <t>roadto2022es</t>
  </si>
  <si>
    <t>FALTAN
SOLO
20 
DÍAS.
#Qatar2022 🏆 https://t.co/2dcZGTSnIg</t>
  </si>
  <si>
    <t>Parte de la exposición "Safar", organizada por el Museo de Arte Islámico @MIAQatar en asociación con el Ministerio de Relaciones Exteriores para resaltar las experiencias de los refugiados afganos después de su evacuación el año pasado. 
#MOFAQatar https://t.co/aHa1hmxguA</t>
  </si>
  <si>
    <t>Qatar condena enérgicamente la Explosión en Mogadiscio
#MOFAQatar https://t.co/6fV1S0UHTr</t>
  </si>
  <si>
    <t>Ministerio de Relaciones Exteriores convoca al embajador alemán y entrega una nota de protesta sobre los declaraciones de la ministra del Interior sobre la organización de la Copa Mundial por parte de Qatar
#MOFAQatar https://t.co/6ZU0xPEiat</t>
  </si>
  <si>
    <t>Ministerio de Relaciones Exteriores convoca al embajador alemán y en-trega una nota de protesta sobre los declaraciones de la ministra del Inte-rior sobre la organización de la Copa Mundial por parte de Qatar
#MOFAQatar https://t.co/Cy9gzJ1eNN</t>
  </si>
  <si>
    <t>Foreign Ministry Summons the German Ambassador
#MOFAQatar https://t.co/W0vQMkW9kB</t>
  </si>
  <si>
    <t>Remarks made by the German Minister of Interior on Qatar's hosting of the World Cup are unacceptable and provocative of the people of Qatar.
 It is unacceptable for politicians to try to score points for domestic consumption at the expense of relations with other countries. https://t.co/sfvCiungSu</t>
  </si>
  <si>
    <t>I congratulate the brothers in the Republic of #Türkiye on their Republic Day, wishing them further stability &amp;amp; security. The strategic partnership between our two countries is in continuous progress at the highest levels, &amp;amp; we look forward to its ongoing development.</t>
  </si>
  <si>
    <t>Türkiye Cumhuriyeti'ndeki kardeşlerimizin Cumhuriyet Bayramı'nın yıl dönümünü kutlar, Cenab-ı Hakk'tan güvenlik ve istikrar nimetini daim kılmasını dilerim. İki ülke arasındaki stratejik ortaklık, en üst düzeyde devamlı ilerlemektedir ve bunu güçlendirmeyi arzuluyoruz.</t>
  </si>
  <si>
    <t>GCCSG</t>
  </si>
  <si>
    <t>GCC Secretary General Condemns the Statements of the Minister of Interior of the Federal Republic of #Germany Regarding Qatar's Hosting of the #World_Cup 
https://t.co/ZHAECVasAI
#GCC
#Qatar https://t.co/VEyiukHiPK</t>
  </si>
  <si>
    <t>Statement : Qatar Strongly Condemns Bombing in Mogadishu
#MOFAQatar https://t.co/XWtw9S56Cp</t>
  </si>
  <si>
    <t>FIFA World Cup Qatar 2022: SC Launches First International Consular Services Centre
🔗 To learn more: https://t.co/95gkWcYU8E
#MOFAQatar https://t.co/BFnavELcsA</t>
  </si>
  <si>
    <t>Part of "Safar" exhibition, organised by the Museum of Islamic Art @MIAQatar in partnership with the Ministry of Foreign Affairs to highlight the experiences of Afghan refugees after their evacuation last year. The exhibition is on view until Jan. 24 at the MIA Park.
#MOFAQatar https://t.co/o9CIpg6lmF</t>
  </si>
  <si>
    <t>وزارة الخارجية تستدعي السفير الألماني وتسلمه مذكرة احتجاج بشأن تصريحات وزيرة الداخلية حول استضافة قطر لكأس العالم
#الخارجية_القطرية https://t.co/pq4ohxOFLS</t>
  </si>
  <si>
    <t>"تصريحات وزيرة الداخلية الألمانية بحق استضافة دولة قطر لكأس العالم مرفوضة ومستهجنة ومستفزة للشعب القطري.
 ليس مقبولاً تسجيل الساسة مواقف للاستهلاك المحلي على حساب علاقات بلدانهم مع الدول الأخرى." https://t.co/fdzDH5Or0w</t>
  </si>
  <si>
    <t>الأمين العام لمجلس التعاون يستنكر تصريحات وزيرة داخلية جمهورية #ألمانيا الاتحادية بشأن استضافة دولة #قطر لبطولة #كأس_العالم
 https://t.co/4wTawqUReo
#مجلس_التعاون https://t.co/c2kAdYqdNZ</t>
  </si>
  <si>
    <t>قطر تشارك في اجتماع لجنة مكافحة الارهاب التابعة لمجلس الأمن حول مكافحة استخدام التكنولوجيات الجديدة والناشئة للأغراض الإرهابية بنيودلهي
🔗لقراءة المزيد : https://t.co/AcP1QlAT5V
#الخارجية_القطرية https://t.co/E32ufU6Fb3</t>
  </si>
  <si>
    <t>اللجنة العليا للمشاريع والإرث تفتتح أول مركز للخدمات القنصلية في تاريخ كأس العالم
🔗لقراءة المزيد : https://t.co/K37fIbyDWI
#الخارجية_القطرية https://t.co/EPi6aelnPS</t>
  </si>
  <si>
    <t>🎥 | اللجنة العليا للمشاريع والإرث تفتتح أول مركز للخدمات القنصلية في تاريخ كأس العالم
#الخارجية_القطرية https://t.co/v4oIHUcFSW</t>
  </si>
  <si>
    <t>نائب رئيس مجلس الوزراء وزير الخارجية @MBA_AlThani_ يجتمع مع مساعد وزير الخارجية الأمريكي لشؤون الإدارة 
#الخارجية_القطرية https://t.co/RklH0yFLjw</t>
  </si>
  <si>
    <t>🎥 | نائب رئيس مجلس الوزراء وزير الخارجية @MBA_AlThani_ يجتمع مع مساعد وزير الخارجية الأمريكي لشؤون الإدارة 
#الخارجية_القطرية https://t.co/HCzf6Rxwto</t>
  </si>
  <si>
    <t>سمو الأمير المفدى يترأس وفد دولة قطر للمشاركة في القمة العربية الـ31، والتي ستعقد يوم غد الثلاثاء، بمدينة الجزائر عاصمة الجمهورية الجزائرية الديمقراطية الشعبية الشقيقة. https://t.co/7Yg3jitTR7</t>
  </si>
  <si>
    <t>Un recorrido por el Estadio Internacional Khalifa 🚁🤩
Será uno de los 8 escenarios de #Qatar2022 🏟️ https://t.co/2N9CgtjMOA</t>
  </si>
  <si>
    <t>جانب من معرض "سفر"، الذي ينظمه متحف الفن الإسلامي @MIAQatar بالشراكة مع وزارة الخارجية لتسليط الضوء على تجارب اللاجئين الأفغان بعد إجلائهم العام الماضي، ويستمر حتى 24 يناير المقبل بحديقة متحف الفن الإسلامي.
#الخارجية_القطرية https://t.co/Apx4q9hwPU</t>
  </si>
  <si>
    <t>📽️نائب رئيس مجلس الوزراء وزير الخارجية @MBA_AlThani_
يجتمع مع نائب رئيس البرلمان الأوروبي
#الخارجية_القطرية https://t.co/9w4mqQdeMh</t>
  </si>
  <si>
    <t>Deputy Prime Minister and Minister of Foreign Affairs @MBA_AlThani_  Meets Vice-President of European Parliament
#MOFAQatar https://t.co/qdXk1brtdM</t>
  </si>
  <si>
    <t>مساعد وزير الخارجية للشؤون الإقليمية @Dr_Al_Khulaifi يجتمع مع المبعوث الروسي لعملية السلام في الشرق الأوسط
#الخارجية_القطرية https://t.co/AdezJPQoJi</t>
  </si>
  <si>
    <t>سررت اليوم باستقبال سعادة السيدة @EvaKaili، نائبة رئيس البرلمان الأوروبي، حيث تباحثنا في سبل تعزيز وتطوير العلاقات الثنائية بين دولة #قطر والاتحاد الأوروبي. أكدت خلال الاجتماع على متانة علاقاتنا مع مؤسسات الاتحاد بمختلف أذرعها وتطلعنا إلى تعزيزها في كافة المجالات. https://t.co/57pffwkNd7</t>
  </si>
  <si>
    <t>Deputy Prime Minister and Minister of Foreign Affairs @MBA_AlThani_ Meets US Undersecretary of State for Management
#MOFAQatar https://t.co/uKHKNvJfWx</t>
  </si>
  <si>
    <t>نائب رئيس مجلس الوزراء وزير الخارجية @MBA_AlThani_  يجتمع مع نائب رئيس البرلمان الأوروبي
#الخارجية_القطرية https://t.co/PoVkAQiClP</t>
  </si>
  <si>
    <t>Pleased to meet HE @EvaKaili, Vice President of the European Parliament, to discuss ways to enhance &amp;amp; develop our relations. I affirmed during the meeting the strength of our relations with the union’s various branches &amp;amp; our aspirations for further development in all fields. https://t.co/BDJOI8z28P</t>
  </si>
  <si>
    <t>Inauguración de la nueva sede de la Misión del Estado de Qatar ante UE y (OTAN) en Bruselas
#MOFAQatar https://t.co/peRV6ARieA</t>
  </si>
  <si>
    <t>Qatar Calls for Non-use of Energy as Weapon in Conflicts
🔗To learn more : https://t.co/Pju9qVg4nm
#MOFAQatar https://t.co/kTtDJNstBT</t>
  </si>
  <si>
    <t>Assistant Foreign Minister @Lolwah_Alkhater  Meets Finland's Minister of Development Cooperation
#MOFAQatar https://t.co/GNallghyGW</t>
  </si>
  <si>
    <t>Deputy Prime Minister and Minister of Foreign Affairs @MBA_AlThani_  Meets Czech Foreign Minister
#MOFAQatar https://t.co/j7tTi7EciS</t>
  </si>
  <si>
    <t>https://t.co/ylOewQxkSU</t>
  </si>
  <si>
    <t>Minister of State for Foreign Affairs Inaugurates New Headquarters of Qatar's Mission to European Union and NATO in Brussels
🔗 To learn more: https://t.co/WLYVzpC8F8
#MOFAQatar https://t.co/oPbTMbeoiS</t>
  </si>
  <si>
    <t>التقيت اليوم بسعادة السيد @JanLipavsky ، وزير الخارجية بجمهورية التشيك، خضنا حواراً مثمراً حول تعزيز العلاقات الثنائية بين بلدينا في شتى المجالات، وخاصة الاقتصادية والتجارية والاستثمارية. كما تطرقنا في اجتماعنا الى عدد من القضايا الدولية ذات الاهتمام المشترك. https://t.co/Xrba9To09d</t>
  </si>
  <si>
    <t>نائب رئيس مجلس الوزراء وزير الخارجية @MBA_AlThani_  يجتمع مع وزير الخارجية التشيكي
#الخارجية_القطرية https://t.co/NRvjvPELUz</t>
  </si>
  <si>
    <t>📽️نائب رئيس مجلس الوزراء وزير الخارجية @MBA_AlThani_  يجتمع مع وزير الخارجية التشيكي
#الخارجية_القطرية https://t.co/zD0MKBqPGo</t>
  </si>
  <si>
    <t>https://t.co/sp8lNfuyNZ</t>
  </si>
  <si>
    <t>وزير الدولة للشؤون الخارجية يفتتح المقر الجديد لبعثة دولة قطر لدى الاتحاد الأوروبي و(الناتو) في بروكسل
🔗 لقراءة المزيد : https://t.co/F4u8g7anYB
#الخارجية_القطرية https://t.co/JZ8tv5bclT</t>
  </si>
  <si>
    <t>افتتاح المقر الجديد لبعثة دولة قطر لدى الاتحاد الأوروبي و(الناتو) في بروكسل 
#الخارجية_القطرية https://t.co/RmhDqZFlxR</t>
  </si>
  <si>
    <t>I met today with HE @JanLipavsky, Foreign Minister of the Czech Republic, to discuss ways to develop our bilateral relations in various fields, especially in economy, trade, &amp;amp; investment. We also discussed a number of international issues of common interest. https://t.co/0vTQZNho0E</t>
  </si>
  <si>
    <t>En declaraciones a “QNA”Portavoz oficial del Ministerio de Relaciones Exteriores @majedalansari: El discurso del Emir ante el Consejo de la Shura es un plan de acción integrado para continuar la marcha de los logros
 #discurso_SuAlteza_Consejo_de_Shura
#Shura_Council
#MOFAQatar https://t.co/vR7fv1IuSf</t>
  </si>
  <si>
    <t>سمو الأمير المفدى يؤدي صلاة الاستسقاء مع جموع المصلين بمصلى الوجبة. https://t.co/6mM4eEe84w https://t.co/eXzS9NUQg7</t>
  </si>
  <si>
    <t>¡Estas son las 6 árbitros que estarán en #Qatar2022! Será la primera Copa del Mundo que tendrá a mujeres en su equipo de árbitros. 🏆🙌
📲 @Dohabibis https://t.co/pf5Btzvthk</t>
  </si>
  <si>
    <t>No solo queremos hacer historia, queremos ser los mejores. 
𝗬 𝗵𝗮𝗰𝗲𝗿𝗹𝗼 𝗷𝘂𝗻𝘁𝗼𝘀.
🔜 #Qatar2022 https://t.co/8AwHT65dOh</t>
  </si>
  <si>
    <t>Assistant Foreign Minister for Regional Affairs @Dr_Al_Khulaifi Meets with Iran's Deputy Foreign Minister for Political Affairs
#MOFAQatar https://t.co/MDOLM6X21u</t>
  </si>
  <si>
    <t>Assistant Foreign Minister for Regional Affairs @Dr_Al_Khulaifi Meets Iranian Deputy Foreign Minister
#MOFAQatar https://t.co/j8BJqQyTrF</t>
  </si>
  <si>
    <t>Statement | Qatar Strongly Condemns Attacks in Iran
#MOFAQatar https://t.co/mU0P4XDDeq</t>
  </si>
  <si>
    <t>سفارات قطر تواصل تنظيم فعاليات متنوعة للترويج لبطولة كأس العالم FIFA قطر 2022
🔗 لقراءة المزيد : https://t.co/IqMAvMRnmj
#الخارجية_القطرية https://t.co/Hyzh8FAQ8c</t>
  </si>
  <si>
    <t>مساعد وزير الخارجية للشؤون الإقليمية @Dr_Al_Khulaifi يجتمع مع نائب وزير الخارجية للشؤون السياسية الإيراني
#الخارجية_القطرية https://t.co/B6fffgCJ6O</t>
  </si>
  <si>
    <t>مساعد وزير الخارجية للشؤون الإقليمية @Dr_Al_Khulaifi يجتمع مع نائب وزير الخارجية للشؤون الاقتصادية الإيراني
#الخارجية_القطرية https://t.co/byHR1feuii</t>
  </si>
  <si>
    <t>بيان| قطر تدين بشدة هجوماً في إيران
#الخارجية_القطرية https://t.co/7xGUhqEwia</t>
  </si>
  <si>
    <t>مدير إدارة حقوق الإنسان بوزارة الخارجية يجتمع مع مسؤول حقوق الإنسان بالخارجية الأفغانية
#الخارجية_القطرية https://t.co/FGHTvZcFrm</t>
  </si>
  <si>
    <t>قطر تدعو إلى عدم استخدام الطاقة كسلاح في النزاعات 
🔗لقراءة المزيد : https://t.co/7HM8xRjVcl
#الخارجية_القطرية https://t.co/FGiFOQa3oy</t>
  </si>
  <si>
    <t>En discurso de Su Alteza ante el Consejo de la Shura
Su Alteza El Emir @TamimBinHamad: Qatar es un socio confiable en el apoyo  a la paz y la estabilidad
 #discurso_SuAlteza_Consejo_de_Shura
#Shura_Council
#MOFAQatar https://t.co/XOYIZva9Pz</t>
  </si>
  <si>
    <t>سمو الأمير المفدى رئيس المجلس الأعلى للشؤون الاقتصادية والاستثمار، يترأس الاجتماع الثالث للمجلس لعام 2022 والذي عقد بالديوان الأميري. https://t.co/9PInbXQYgT https://t.co/TTGq8hQWPJ</t>
  </si>
  <si>
    <t>HH the Amir Sheikh @TamimBinHamad states that the comprehensive development of the country is the ultimate goal that the state is working to achieve. This came during his inauguration of the second session of the first legislative term of the Shura Council’s 51st annual session. https://t.co/kpqDwiAYr3</t>
  </si>
  <si>
    <t>أكد سموه في خطابه في #مجلس_الشورى على كون بطولة كأس العالم ٢٠٢٢ مناسبة وطنية وإنسانية كبرى، يرى فيها العالم الوجه الحضاري لدولة قطر والامكانيات المبهرة في التنظيم وحسن الضيافة. نتطلع إلى استضافة العالم بعد أسابيع قليلة. https://t.co/v2dk3eUyj2</t>
  </si>
  <si>
    <t>أكد حضرة صاحب السمو الشيخ تميم بن حمد آل ثاني أمير البلاد المفدى، أن التنمية الشاملة للبلاد هي الهدف الأسمى الذي تعمل الدولة على تحقيقه، جاء ذلك خلال افتتاح سموه لدور الانعقاد الثاني من الفصل التشريعي الأول للدورة السنوية ال 51 لمجلس الشورى. https://t.co/sVL5UaXAAJ</t>
  </si>
  <si>
    <t>أكد خطاب حضرة صاحب السمو الأمير في #مجلس_الشورى اليوم حرص دولة #قطر على انتهاج سياسة خارجية متوازنة، تضمن مصالحنا الوطنية واستقرار محيطنا الإقليمي، ودعم الشعوب الشقيقة والصديقة في تطلعاتها نحو التنمية والاستقرار والازدهار. https://t.co/1XLVuDGuJO</t>
  </si>
  <si>
    <t>سمو الأمير المفدى يزور معرض مجلس الشورى الذي يقام بالتزامن مع مرور 50 عاما على تأسيس المجلس، وبمناسبة افتتاح دور الانعقاد العادي الثاني من الفصل التشريعي الأول، الموافق لدور الانعقاد السنوي الـ51 للمجلس، وذلك بمقر المجلس. https://t.co/1paK6RzwJf https://t.co/DRirQk8YQ9</t>
  </si>
  <si>
    <t>HH stressed in his speech at the #Shura_Council that the 2022 World Cup is a major national &amp;amp; humanitarian occasion for the world to see Qatari society &amp;amp; its impressive capabilities in the areas of organization &amp;amp; hospitality. Looking forward to hosting the world in a few weeks. https://t.co/EauRxzExbC</t>
  </si>
  <si>
    <t>HH's speech at the #Shura_Council affirms that our foreign policy's dedication to the values of Qatari society, Arab &amp;amp; Islamic culture &amp;amp; commitment to dialogue &amp;amp; diplomacy - within the context of current global changes - has established Qatar as a reliable peacemaking partner. https://t.co/Iz0eGP1Xr6</t>
  </si>
  <si>
    <t>سمو الأمير المفدى يفتتح دور الانعقاد العادي الثاني من الفصل التشريعي الأول، الموافق لدور الانعقاد السنوي الـ51 لمجلس الشورى، بمقر المجلس، ويلقي خطابا بهذه المناسبة. https://t.co/ao6gbFHz74 https://t.co/WjihvQemG8</t>
  </si>
  <si>
    <t>Today, we celebrate with the international community the founding of the @UN. This year brought unprecedented global challenges, to remind us that the optimal way to confront such challenges is through preserving the international order &amp;amp; strengthening multilateral action. #UNDay</t>
  </si>
  <si>
    <t>El Estado de Qatar y UNRWA.. Cooperación continua
#MOFAQatar
#UNDay https://t.co/38fscpgDjM</t>
  </si>
  <si>
    <t>أبرز ما جاء في خطاب سمو الأمير المفدى في افتتاح دور الانعقاد السنوي الـ51 لمجلس الشورى. https://t.co/xmM4AAySnx</t>
  </si>
  <si>
    <t>يؤكد خطاب سمو الأمير المفدى أمام #مجلس_الشورى بأن ثبات سياستنا الخارجية على مبادئنا وقيمنا، التي نستمدها من مجتمعنا القطري وثقافتنا العربية والإسلامية، في ظل المتغيرات العالمية، والتزامنا بالحوار والدبلوماسية جعلوا من قطر علامة فارقة في صناعة السلام وشريك دولي يعتد به. https://t.co/TZsJZ34HCx</t>
  </si>
  <si>
    <t>سمو الأمير المفدى يلقي خطابا في افتتاح دور الانعقاد الثاني من الفصل التشريعي الأول، الموافق لدور الانعقاد السنوي الـ51 لمجلس الشورى، الساعة التاسعة من صباح اليوم. لمشاهدة البث: https://t.co/NJ8wH1O19b</t>
  </si>
  <si>
    <t>Qatar y las Naciones Unidas
#MOFAQatar
#UNDay https://t.co/fqNi0zcWMR</t>
  </si>
  <si>
    <t>في خطاب سموه أمام مجلس الشورى
سمو الأمير @TamimBinHamad : قطر شريك يعتد به في صناعة السلام ودعم الاستقرار
#مجلس_الشورى 
#الخارجية_القطرية https://t.co/R9V64Rnnqg</t>
  </si>
  <si>
    <t>تناول النطق السامي مواقفنا الدولية المتوازنة، مؤكداً سموه أن دولة #قطر لن تألو جهداً في الوقوف إلى جانب الأشقاء ودعمهم بكافة السبل والإمكانيات الممكنة على الأصعدة السياسية والدبلوماسية والتنموية، درءاً للنزاعات وتحقيقاً للأمن والاستقرار. 
#مجلس_الشورى https://t.co/Y6DBJWXQ3g</t>
  </si>
  <si>
    <t>كأس العالم ٢٠٢٢ هو كأس كل العرب وبحول الله وقوته سيرى العالم خلال أقل من شهر إمكانيات دولة قطر التنظيمية وسيرى هوية راسخة الجذور تمتد فروعها لتظلل الجميع ترحابا، ولا ينقص ذلك من أصالتها شيئا وهي التي تستند على الإرث الحضاري العربي الإسلامي العريق.
فمرحبا بالجميع في دوحة الجميع🇶🇦 https://t.co/urrFK9uOID</t>
  </si>
  <si>
    <t>أبرزت اليوم في خطاب الشورى منجزات بلادنا الاقتصادية، وخططنا التنموية التي سيساهم إحكام التنظيم الحكومي وأنظمة العدالة في تحقيقها، كما نوهت بنهجنا في السياسة الخارجية القائم على تحقيق المصالح والسلام الدولي. وتظل استضافتنا لكأس العالم عنوانا يكتشف العالم من خلاله قطر والعرب. https://t.co/j90iEP8oHw</t>
  </si>
  <si>
    <t>سمو الأمير المفدى يلتقي سعادة السيد حسن بن عبدالله الغانم رئيس مجلس الشورى وأصحاب السعادة الأعضاء بمناسبة افتتاح دور الانعقاد العادي الثاني من الفصل التشريعي الأول، الموافق لدور الانعقاد السنوي الـ51 للمجلس، وذلك بمقر المجلس. https://t.co/YNm0uaXlVU https://t.co/RAspp87MsK</t>
  </si>
  <si>
    <t>نشارك المجتمع الدولي اليوم الاحتفال بذكرى تأسيس @UNarabic ، تأتي هذه المناسبة هذا العام في ظل تحديات عالمية غير مسبوقة لتذكرنا بأهمية الحفاظ على النظام الدولي وتعزيز العمل متعدد الأطراف كسبيل أمثل لمواجهة هذه التحديات. #UNDay</t>
  </si>
  <si>
    <t>قطر والأمم المتحدة 
#الخارجية_القطرية 
#يوم_الأمم_المتحدة https://t.co/R0Y8yXmpub</t>
  </si>
  <si>
    <t>🎥| Speech of His Excellency Deputy Prime Minister and Minister of Foreign Affairs  @MBA_AlThani_ at the opening ceremony of the "Safar" exhibition
🔗 https://t.co/FJ9xZs9in6
#MOFAQatar</t>
  </si>
  <si>
    <t>🎥 | كلمة سعادة نائب رئيس مجلس الوزراء وزير الخارجية@MBA_AlThani_ في حفل افتتاح معرض " سَفر"
🔗 https://t.co/w1UZ0MAvtl
#الخارجية_القطرية</t>
  </si>
  <si>
    <t>The State of Qatar and UNRWA: Continuous Cooperation
#MOFAQatar 
#UNDay https://t.co/3GG0vfYkTf</t>
  </si>
  <si>
    <t>دولة قطر والأونروا.. تعاون مستمر
#الخارجية_القطرية 
#يوم_الأمم_المتحدة https://t.co/ghejoHzycu</t>
  </si>
  <si>
    <t>Qatar and the United Nations.. Fruitful partnerships
#MOFAQatar 
#UNDay https://t.co/S1XKfzZtJX</t>
  </si>
  <si>
    <t>من خطاب سمو الأمير المفدى في الجلسة الافتتاحية للجمعية العامة للأمم المتحدة الـ 77
#الخارجية_القطرية 
#يوم_الأمم_المتحدة https://t.co/fwTLRe1dff</t>
  </si>
  <si>
    <t>قطر والأمم المتحدة.. شراكات مثمرة
#الخارجية_القطرية 
#يوم_الأمم_المتحدة https://t.co/5I7Nl0o6d1</t>
  </si>
  <si>
    <t>H.E @MBA_AlThani_ : This great work, represented in the "Safar" exhibition, confirms the firm commitment of the State of Qatar to bilateral and multilateral work, especially in the humanitarian field at the global level.
#MOFAQatar https://t.co/UYR2L19ZIo</t>
  </si>
  <si>
    <t>📽️نائب رئيس مجلس الوزراء وزير الخارجية @MBA_AlThani_  يفتتح معرض "سَفر " لتسليط الضوء على تجارب اللاجئين الأفغان
#الخارجية_القطرية https://t.co/b5Bu7fhiEF</t>
  </si>
  <si>
    <t>جانب من افتتاح سعادة نائب رئيس مجلس الوزراء وزير الخارجية @MBA_AlThani_  معرض "سَفر " لتسليط الضوء على تجارب اللاجئين الأفغان
#الخارجية_القطرية https://t.co/Ll1js7bWK0</t>
  </si>
  <si>
    <t>نائب رئيس مجلس الوزراء وزير الخارجية @MBA_AlThani_  يفتتح معرض "سَفر " لتسليط الضوء على تجارب اللاجئين الأفغان 
🔗لقراءة المزيد : https://t.co/7x3H6Udjro
#الخارجية_القطرية https://t.co/kkK3roWxYu</t>
  </si>
  <si>
    <t>سعادة الشيخ @MBA_AlThani_ في حفل افتتاح معرض سفر: لا يخفى عليكم الدور الذي بذلته دولة قطر لإنجاح أكبر عملية إجلاء في تاريخ البشرية، إن هذا العمل الكبير الذي يجسده معرض سفر؛ يؤكد التزام دولة قطر الراسخ بالعمل الثنائي ومتعدد الأطراف خصوصاً في المجال الإنساني على مستوى العالم https://t.co/EVv0aH8IEQ</t>
  </si>
  <si>
    <t>H.E @MBA_AlThani_ : we reiterate the State of Qatar's commitment to its humanitarian responsibilities towards our brothers in Afghanistan, and our constant keenness and firm position on supporting the Afghan people and their right to live in dignity.
#MOFAQatar https://t.co/c1dOq3kRTi</t>
  </si>
  <si>
    <t>سمو الأمير المفدى يستقبل السيد جيمي دايمون رئيس مجلس الإدارة والرئيس التنفيذي لبنك جي بي مورغان تشيس آند كو  والوفد المرافق، للسلام على سموه بمناسبة زيارته للبلاد، وذلك بمكتبه في الديوان الأميري. https://t.co/TNZhPN32ya https://t.co/WjkhXUkvNS</t>
  </si>
  <si>
    <t>Qatar condena enérgicamente la explosión en Kismayo, Somalia
#MOFAQatar https://t.co/uBKalAQgZl</t>
  </si>
  <si>
    <t>سعادة نائب رئيس مجلس الوزراء وزير الخارجية @MBA_AlThani_ في حفل افتتاح معرض سفر: نجدد التأكيد على التزام دولة قطر بمسؤولياتها الإنسانية تجاه أشقائنا في أفغانستان، وحرصنا الدائم وموقفنا الثابت من دعم الشعب الأفغاني وحقه في العيش بكرامة، وتحقيق المصالحة والتعايش بين جميع أطيافه. https://t.co/LV2KxSIChP</t>
  </si>
  <si>
    <t>Part of Deputy Prime Minister and Minister of Foreign Affairs @MBA_AlThani_  inauguration of Exhibition Highlighting Experiences of Afghan Refugees
#MOFAQatar https://t.co/ZPbmRYMCtC</t>
  </si>
  <si>
    <t>Deputy Prime Minister and Minister of Foreign Affairs @MBA_AlThani_  Unveils Exhibition Highlighting Experiences of Afghan Refugees
🔗To learn more : https://t.co/6BBr21Ta8P
#MOFAQatar https://t.co/YmTnXFE0R4</t>
  </si>
  <si>
    <t>سعدت بحضور حفل افتتاح معرض "سَفر" الذي يقام بالتعاون بين @MofaQatar_AR و @Qatar_Museums ليسلط الضوء على تجارب إجلاء أشقائنا الأفغان في عام 2021. نتقدم بخالص الشكر والتقدير لشركائنا على جهودهم في هذا النجاح، ونتمنى للشعب الأفغاني تحقيق آماله المشروعة للتقدم والازدهار. https://t.co/dONPyrLhjZ</t>
  </si>
  <si>
    <t>سمو الأمير المفدى يفتتح صباح يوم غد الثلاثاء دور الانعقاد العادي الثاني من الفصل التشريعي الأول، الموافق لدور الانعقاد السنوي الـ51 لمجلس الشورى. https://t.co/ofkNDgV10F</t>
  </si>
  <si>
    <t>Pleased to attend the opening of #Safar, co-organized by @MofaQatar_EN &amp;amp; @Qatar_Museums, to shed light on the evacuations of the Afghan people in 2021. We thank our partners for their efforts in this success &amp;amp; hope the Afghan people realize their desire for progress &amp;amp; prosperity. https://t.co/lWzXBAWH7D</t>
  </si>
  <si>
    <t>roadto2022</t>
  </si>
  <si>
    <t>باقي ٣٠ يوماً 🔥🔥
استمتعوا بجولة في استادات مونديال #قطر2022 الثمانية https://t.co/gNobGIh7wj</t>
  </si>
  <si>
    <t>HH the Amir Inaugurates Lekhwiya Camp Building, Witnesses Readiness of Tournament's Security Force, Launches the Start of Watan Exercise. #QNA https://t.co/ofzW9jlrop</t>
  </si>
  <si>
    <t>30 يوما قبل انطلاق #كأس_العالم FIFA  #قطر2022  .. الدوحة تتزين استعدادا لاستقبال ضيوف المونديال
#قنا
#عالوعد https://t.co/Cege5DWhIs</t>
  </si>
  <si>
    <t>حضرة صاحب السمو الشيخ تميم بن حمد آل ثاني أمير البلاد المفدى : أشعر بالفخر والسعادة من الآن، حتى اللحظة التي سيرى العالم بأننا في قطر كما وعدنا، سنقدم نسخة مونديالية استثنائية في وطننا العربي 
#تلفزيون_قطر https://t.co/USgdNcqGVd</t>
  </si>
  <si>
    <t>📽️نائب رئيس مجلس الوزراء وزير الخارجية @MBA_AlThani_  يجتمع مع مساعد وزير الخارجية الأمريكي لشؤون الشرق الأدنى
#الخارجية_القطرية https://t.co/CFKyjpd7vH</t>
  </si>
  <si>
    <t>Pleased to meet HE @SafiraLeaf, the U.S. Assistant Secretary of State for Near Eastern Affairs, to discuss the continuous development of our strategic bilateral relations. We also had the opportunity to discuss &amp;amp; exchange views on the latest regional &amp;amp; international developments. https://t.co/Zo6OMqyKvZ</t>
  </si>
  <si>
    <t>EL Encargado de Negocios a.i Sr. Ahmad Al Mohannadi mantuvo una reunión con la Directora de Unidad de Asuntos Internacionales del @MGAPUruguay Lic. @ALupinacciOlaso, y Representantes de la empresa DEL NORTE, en la Sede de la Embajada en Montevideo. 18/10/2022.</t>
  </si>
  <si>
    <t>اجتمع القائم بالأعمال بالإنابة السيد أحمد إبراهيم المهندي بمديرة قسم الشؤون الدولية بوزارة الزراعة والثروة الحيوانية والسمكية السيدة أدريانا لوبيناتشي وممثلين عن شركة DEL NORTE في الأوروغواي، وذلك في مقر السفارة بمونتفيديو 18/10/2022 https://t.co/7FXfDVmyRA</t>
  </si>
  <si>
    <t>El Comandante en Jefe de @Fuerza_aerea_uy General del Aire Luis H. De León  mantuvo una reunión con el Encargado de Negocios a.i Sr. Ahmad Al Mohannadi, en el Comando General de la Fuerza Aérea. 18/10/2022. https://t.co/YCE9skBVCH</t>
  </si>
  <si>
    <t>التقى القائد العام للقوات الجوية الأوروغوانية الجنرال لويس هيبر دي ليون بالقائم بالأعمال بالإنابة السيد أحمد إبراهيم المهندي، وذلك في مقر القيادة العامة للقوات الجوية الأوروغوانية، 18/10/2022 https://t.co/yiwODRfSqf</t>
  </si>
  <si>
    <t>Comandante en Jefe de @Fuerza_aerea_uy 
 se reúne con el Encargado de Negocios de Qatar
#MOFA_QATAR https://t.co/rmjCw3AOKN</t>
  </si>
  <si>
    <t>Assistant Foreign Minister for Regional Affairs @Dr_Al_Khulaifi Meets with US Deputy Assistant Secretary of State for Near Eastern Affairs
#MOFAQatar https://t.co/55KyRe2ZMo</t>
  </si>
  <si>
    <t>Qatar Affirms Great Achievements in Implementing Right to Education
🔗 To learn more: https://t.co/6KtdafEsul
#MOFAQatar https://t.co/JBRpvyJCDw</t>
  </si>
  <si>
    <t>Delighted to meet HE @SafiraLeaf in Doha. We discussed the strong bilateral relationship &amp;amp; strategic partnership between our two countries 🇶🇦 🇺🇸 and our ongoing close coordination on numerous files on both bilateral and regional levels. https://t.co/jUiYPPv0Pv</t>
  </si>
  <si>
    <t>Assistant Foreign Minister for Regional Affairs @Dr_Al_Khulaifi Meets With US Assistant Secretary of State for Near Eastern Affairs
#MOFAQatar https://t.co/0Z3QtjVlj6</t>
  </si>
  <si>
    <t>نائب رئيس مجلس الوزراء وزير الخارجية @MBA_AlThani_  يجتمع مع مساعد وزير الخارجية الأمريكي لشؤون الشرق الأدنى
#الخارجية_القطرية https://t.co/qDzEJN0PTR</t>
  </si>
  <si>
    <t>دولة قطر تؤكد أنها حققت إنجازات كبيرة في مجال إعمال الحق في التعليم
🔗 لقراءة المزيد: https://t.co/RkyVss6ZuL
#الخارجية_القطرية https://t.co/84vv18kyoa</t>
  </si>
  <si>
    <t>مساعد وزير الخارجية للشؤون الإقليمية @Dr_Al_Khulaifi يجتمع مع نائب مساعد وزير الخارجية الأمريكي لشؤون الشرق الأدنى
#الخارجية_القطرية https://t.co/ov6P3AbWG5</t>
  </si>
  <si>
    <t>سعدت اليوم بلقاء سعادة @SafiraLeaf في الدوحة، حيث استعرضنا سبل تعزيز العلاقة والشراكة القوية التي تحظى بها الدولة 🇶🇦 مع الولايات المتحدة الأمريكية 🇺🇸 في مختلف المجالات، كما تطرقنا إلى آخر التطورات على المستويين الثنائي والإقليمي. https://t.co/uuMfJsh5Rn</t>
  </si>
  <si>
    <t>مساعد وزير الخارجية للشؤون الإقليمية @Dr_Al_Khulaifi يجتمع مع مساعد وزير الخارجية الأمريكي لشؤون الشرق الأدنى
#الخارجية_القطرية https://t.co/C0w0TIPwoQ</t>
  </si>
  <si>
    <t>التقى القائم بالأعمال بالإنابة السيد أحمد إبراهيم المهندي بالأمين الوطني للرياضة السيد سيباستيان باوزا، وذلك بمقر الأمانة 18/10
El Encargado de Negocios a.i Sr. Ahmad Al Mohannadi mantuvo un encuentro con el Secretario de @UyDeporte Sr. @Sebabauza61 y el Gerente @gerlorente https://t.co/OQ3H8SE5NG</t>
  </si>
  <si>
    <t>التقى القائم بالأعمال بالإنابة السيد أحمد إبراهيم المهندي برئيس اللجنة الأولومبية الأوروغوانية د.خوليو ماغوليوني، وذلك في مقر اللجنة. 2022/10/12
El Encargado de Negocios a.i Sr. Ahmad Al Mohannadi mantuvo un encuentro con Presidente de @PrensaCOU  Dr. Julio Maglione, 12/10/2022 https://t.co/LgmfvMeclz</t>
  </si>
  <si>
    <t>التقى القائم بالأعمال بالإنابة السيد أحمد إبراهيم المهندي برئيس متحف كرة القدم السيد ريكاردو لومبرادو، وذلك في ملعب سنتناريو. ٢٠٢٢/10/11
El Encargado de Negocios a.i Sr. Ahmad Al Mohannadi mantuvo un encuentro con Presidente del Museo de Fútbol Cr. Ricardo Lombardo, 11/10/2022. https://t.co/edcpxaFTii</t>
  </si>
  <si>
    <t>سمو الأمير المفدى يزور مدرسة الخرسعة الابتدائية الإعدادية للبنين. https://t.co/e9r6WL8Gnq https://t.co/fdGTziWxh7</t>
  </si>
  <si>
    <t>Tajikistan President Meets Foreign Minister's Special Envoy
#MOFAQatar https://t.co/AsjApiUICh</t>
  </si>
  <si>
    <t>Statement | Qatar Welcomes Australia's Reversing of Decision Recognizing Jerusalem as Capital of Israel
#MOFAQatar https://t.co/UfcMwkelAL</t>
  </si>
  <si>
    <t>Qatar Stresses Importance of Ensuring Palestinian People Enjoy Their Full Rights, Sovereignty over Occupied Lands
🔗To learn more: https://t.co/7fGBzDNsql
#MOFAQatar https://t.co/dN7Kr73foT</t>
  </si>
  <si>
    <t>بيان| قطر ترحب بتراجع أستراليا عن الاعتراف بالقدس عاصمة لإسرائيل
#الخارجية_القطرية https://t.co/RvWZlDBTwP</t>
  </si>
  <si>
    <t>دولة قطر تجدد الدعوة إلي ضرورة تمتع الشعب الفلسطيني بكامل حقوقه وسيادته على الأرض الفلسطينية المحتلة
🔗لقراءة المزيد: https://t.co/cTJIa9WFN7
#الخارجية_القطرية https://t.co/jenvApFG5R</t>
  </si>
  <si>
    <t>سمو الأمير المفدى يجري اتصالاً هاتفياً مع أخيه فخامة الرئيس الدكتور عبداللطيف رشيد رئيس جمهورية العراق الشقيقة، هنأه خلاله بانتخابه رئيسًا لجمهورية العراق، متمنيًا لفخامته التوفيق والسداد. https://t.co/mfttdlYdg9</t>
  </si>
  <si>
    <t>سمو الأمير المفدى يستقبل السيد باتريك بويانيه رئيس مجلس الإدارة والرئيس التنفيذي لشركة توتال الفرنسية والوفد المرافق، وذلك على هامش حفل افتتاح محطة الخرسعة للطاقة الشمسية. https://t.co/YwF6kmp4AM https://t.co/wetb3If468</t>
  </si>
  <si>
    <t>سمو الأمير المفدى يفتتح محطة الخرسعة للطاقة الشمسية في منطقة الخرسعة. https://t.co/KiMm14qMLS https://t.co/gXc6n5Ip58</t>
  </si>
  <si>
    <t>أهنئ أخي معالي الشيخ سالم عبدالله الجابر الصباح على تعيينه وزيراً للخارجية في #الكويت الشقيقة، متمنياً له التوفيق والنجاح في مهامه، وللعلاقات الأخوية بين بلدينا الشقيقين المزيد من التطور، وللشعبين الشقيقين دوام الإزدهار والرخاء.</t>
  </si>
  <si>
    <t>¡No olvides de registrar tu Hayya Card para explorar Qatar! 🪪
#Qatar2022 https://t.co/UzHWxLsQL0</t>
  </si>
  <si>
    <t>También puedes seguir la conferencia de prensa de la organización de la Copa Mundial de la FIFA Qatar 2022 en nuestro canal de YouTube 👇
https://t.co/2Zw0QFyP2E https://t.co/y8CLWZe5eN</t>
  </si>
  <si>
    <t>🏆 A falta de un mes para #Qatar2022, la organización de la @FIFAWorldCup_es realiza una conferencia de prensa para compartir las últimas actualizaciones sobre el torneo. 
#NowIsAll https://t.co/TXHR5LCVOC</t>
  </si>
  <si>
    <t>El Estado de Qatar cree en el papel vital de #UNRWA y afirma su apoyo permanente al pueblo palestino hermano hasta que recupere todos sus derechos legítimos. 
#MOFAQatar 
@qatar_fund https://t.co/zUBLVMc0Ey</t>
  </si>
  <si>
    <t>Durante una conferencia de prensa conjunta con el Ministro de Relaciones Exteriores de Turquía Viceprimer Ministro y Ministro de Relaciones Exteriores @MBA_AlThani_ : El derecho internacional es indivisible, como se aplica a Ucrania, se aplica a la ocupación en Palestina https://t.co/8KE5t5c3e3</t>
  </si>
  <si>
    <t>Infographic | During a joint press conference with the Turkish Foreign Minister
Deputy Prime Minister and Minister of Foreign Affairs @MBA_AlThani_ : International law is indivisible. As it applies to Ukraine, it also applies to the occupation in Palestine
#MOFAQatar https://t.co/g4REdTHZU0</t>
  </si>
  <si>
    <t>Qatar Participates in High-Level Conference on "International and Regional Border Security to Counter Terrorism and Prevent the Movement of Terrorists"
🔗To learn more : https://t.co/6tDdftrVrD
#MOFAQatar https://t.co/XCfSA1XjIg</t>
  </si>
  <si>
    <t>Assistant Foreign Minister @Lolwah_Alkhater  Meets UNRWA Delegation
#MOFAQatar https://t.co/gNmJXhdOtI</t>
  </si>
  <si>
    <t>Qatar's Embassy Participates in Farewell Ceremony for "Pandas" Gifted by China to Qatar
🔗To learn more : https://t.co/1cnLWxmnMs
#MOFAQatar https://t.co/D1qRPGJloc</t>
  </si>
  <si>
    <t>The State of Qatar believes in the vital role of #UNRWA, and affirms its permanent support for the brotherly Palestinian people until they regain all of their legitimate rights.
#MOFAQatar 
@qatar_fund https://t.co/JdRRehArkE</t>
  </si>
  <si>
    <t>Qatar Stresses Need for International Cooperation to Meet Development Challenges for Countries in Special Situations
🔗To learn more: https://t.co/IvOrSLd3Zp
#MOFAQatar https://t.co/ZtGXF9HbET</t>
  </si>
  <si>
    <t>Qatar Expresses Support for UN Efforts to Solve Moroccan Sahara Problem by Peaceful Means
🔗To learn more: https://t.co/Ofh6c39ONJ
#MOFAQatar https://t.co/VeNG9kBnDI</t>
  </si>
  <si>
    <t>Lors d'une conférence de presse conjointe avec le ministre Turc des Affaires étrangères 
Le vice-Premier ministre et ministre des Affaires étrangères : Le droit international est indivisible, il doit s'appliquer à l'occupation en Palestine et en Ukraine de la même manière https://t.co/mndfnRpCAW</t>
  </si>
  <si>
    <t>Deputy Prime Minister and Minister of Foreign Affairs @MBA_AlThani_ : Qatar, Turkey Agree to Keep Enhancing Bilateral Relations
🔗To learn more: https://t.co/OqgMbbw537
#MOFAQatar https://t.co/YZu0eFm9OM</t>
  </si>
  <si>
    <t>🎥| Ministerial Meeting of Qatari-Turkish Supreme Strategic Committee Takes Place in Istanbul
🇶🇦🇹🇷
#MOFAQatar 
@MBA_AlThani_ 
@MevlutCavusoglu https://t.co/8ols9qjUBk</t>
  </si>
  <si>
    <t>H.E @MBA_AlThani_ : We stress the firm position of Qatar regarding respect for the sovereignty of states and the indivisible international law. As it applies to Ukraine, it also applies to the occupation in Palestine and other issues.
#MOFAQatar https://t.co/BOGqwn7Jc0</t>
  </si>
  <si>
    <t>Ministry of Foreign Affairs Spokesperson @majedalansari Highlights to QNA Qatar and Turkey's Coordination to De-Escalate Tensions around the World
🔗To learn more: https://t.co/pbqHfZdyZ8
#MOFAQatar https://t.co/cBoX2RAlEO</t>
  </si>
  <si>
    <t>Deputy PM &amp;amp; Minister of Foreign Affairs @MBA_AlThani_ : Qatar and Turkey welcome Declaration of Algeria signed by various Palestinian factions. We hope these positive steps and results will contribute 2 ending the state of division that greatly affected the Palestinian cause. https://t.co/PXdwG7IzsU</t>
  </si>
  <si>
    <t>H.E @MBA_AlThani_ : The results of today’s talks were productive. We agreed 2 enhance bilateral relations &amp;amp; work on constant development, in economic, investment &amp;amp; commercial fields,  &amp;amp; 2 enhance cultural &amp;amp; humanitarian relations between our peoples
🇶🇦🇹🇷
#MoFaQatar https://t.co/4rpoXifXgz</t>
  </si>
  <si>
    <t>H.E @MBA_AlThani_ : We commend Turkey’s role in stabilizing food markets &amp;amp; diplomatic efforts to solve Russia-Ukraine crisis. We affirm Qatar’s position regarding this crisis, reject violation of state sovereignty &amp;amp; support diplomatic efforts to end the war ASAP
#MOFAQatar https://t.co/xhLlQz5Ebu</t>
  </si>
  <si>
    <t>🎥| المؤتمر الصحفي المشترك لسعادة نائب رئيس مجلس الوزراء وزير الخارجية مع نظيره التركي
🔗 https://t.co/aJcDJpIJrf
#الخارجية_القطرية</t>
  </si>
  <si>
    <t>سمو الأمير المفدى يلتقي أخاه فخامة الرئيس رجب طيب أردوغان رئيس الجمهورية التركية الشقيقة، في قصر "دولما بهتشه" في إسطنبول. #قطر #تركيا https://t.co/fw4Js20muj https://t.co/12PzQJISEP</t>
  </si>
  <si>
    <t>دولة قطر تعرب عن دعمها لجهود الأمم المتحدة لحل مشكلة الصحراء المغربية بالوسائل السلمية
🔗لقراءة المزيد؛ https://t.co/uQTYGy0JQ2
#الخارجية_القطرية https://t.co/Yy5G06SaaT</t>
  </si>
  <si>
    <t>سمو الأمير المفدى وأخوه فخامة الرئيس رجب طيب أردوغان رئيس الجمهورية التركية الشقيقة يترأسان اجتماع الدورة الثامنة للجنة الاستراتيجية العليا القطرية التركية، في قصر "دولما بهتشه" في إسطنبول. #قطر #تركيا https://t.co/NoeIqwXpeq https://t.co/4o3SNzMsR6</t>
  </si>
  <si>
    <t>سمو الأمير المفدى وأخوه فخامة الرئيس رجب طيب أردوغان رئيس الجمهورية التركية الشقيقة يشهدان التوقيع على عدد من الاتفاقيات ومذكرات التفاهم بين البلدين، وذلك في قصر "دولما بهتشه" في إسطنبول. #قطر #تركيا https://t.co/s6NACKAo78 https://t.co/ltXrPV7APd</t>
  </si>
  <si>
    <t>سمو الأمير المفدى يصدر قرارات بتعيين سفراء جدد في كل من جمهورية جيبوتي، وتركمانستان، وجمهورية الصومال الفيدرالية، وجمهورية الدومينيكان. https://t.co/Ygk24adVS0</t>
  </si>
  <si>
    <t>تؤمن دولة قطر بالدور الحيوي لمنظمة #الأونروا لإغاثة وتشغيل اللاجئين الفلسطينين، وتؤكد وقوفها الدائم بجانب الشعب الفلسطيني الشقيق حتى يسترد كافة حقوقه المشروعة.
#الخارجية_القطرية 
@qatar_fund https://t.co/yPJC9R9wZo</t>
  </si>
  <si>
    <t>افتتحنا اليوم محطة الخرسعة للطاقة الشمسية، الأولى من نوعها في البلاد، والتي ستُسهم في توليد ما يعادل عُشر الطاقة المستخدمة في الشبكة الوطنية للكهرباء في أوقات الذروة من مصدرٍ مستدام وصديقٍ للبيئة، وضمن خططنا نحو تقليل انبعاثات الكربون وآثار التغيّر المُناخي. https://t.co/soAgQ4dpqn</t>
  </si>
  <si>
    <t>سفارة دولة قطر تشارك في حفل توديع باندا مهداة من الصين لقطر
🔗لقراءة المزيد : https://t.co/RFIZZPMHt5
#الخارجية_القطرية https://t.co/waTJ7gWvmG</t>
  </si>
  <si>
    <t>قطر تشارك بمؤتمر رفيع حول التعاون في أمن وإدارة الحدود الدولية والإقليمية لمكافحة الإرهاب ومنع حركة الإرهابيين
🔗لقراءة المزيد : https://t.co/xtmRHGTO1F
#الخارجية_القطرية https://t.co/xoQBCIPb4l</t>
  </si>
  <si>
    <t>مساعد وزير الخارجية @Lolwah_Alkhater  تجتمع مع سفراء الكويت والسودان ورواندا
#الخارجية_القطرية https://t.co/thJ6Zhtr0c</t>
  </si>
  <si>
    <t>مساعد وزير الخارجية @Lolwah_Alkhater  تجتمع مع وفد من (الأونروا)
#الخارجية_القطرية https://t.co/Kguq9Pq2f8</t>
  </si>
  <si>
    <t>إنفوجراف| خلال مؤتمر صحفي مشترك مع وزير الخارجية التركي
نائب رئيس مجلس الوزراء وزير الخارجية @MBA_AlThani_ : القانون الدولي الذي لا يتجزأ مثل ما ينطبق على أوكرانيا ينطبق على الاحتلال في فلسطين
#الخارجية_القطرية https://t.co/okiDXcGKwj</t>
  </si>
  <si>
    <t>_RodriguezJuan_</t>
  </si>
  <si>
    <t>Esta mañana, recibimos la grata visita de S. E. Ahmad Almohannadi, designado recientemente Encargado de Negocios de @QatarEmb_MVD, con quien compartimos una muy amena charla, y tuvo la gentileza de obsequiarnos #AlRihla ⚽️, la pelota de #QatarWorldCup2022. 🇶🇦 🤝 🇺🇾 https://t.co/1fFvYbdyfT</t>
  </si>
  <si>
    <t>El Representante Nacional  y Presidente del Grupo interparlamentario de Amistad Qatar-Uruguay en el Parlamento de Uruguay S.E. Sr. 
@_RodriguezJuan_
 , se reunió con el Encargado de Negocios a.i Sr. Ahmed Al-Mohannadi, el jueves 13/10/2022.</t>
  </si>
  <si>
    <t>التقى عضو مجلس النواب ورئيس مجموعة الصداقة البرلمانية قطر – الأوروغواي في البرلمان الأوروغواني سعادة السيد خوان مارتين رودريجيز، بالقائم بالأعمال بالإنابة السيد أحمد إبراهيم المهندي، الخميس الموافق 13/10/2022. https://t.co/ottTmYNwI3</t>
  </si>
  <si>
    <t>شاركت دولة قطر في اجتماع فخامة رئيس جمهورية الأوروغواي الشرقية الدكتور لويس لاكايي بو مع السفراء العرب 11/10/2022
El Estado de Qatar participó en la  reunión de S.E. Presidente de la República Oriental del Uruguay Dr. @LuisLacallePou  con los Embajadores Árabes 11/10/2022 https://t.co/4222JjEoai</t>
  </si>
  <si>
    <t>Qatar condena enérgicamente el asalto de los colonos a la mezquita de Al-Aqsa
#MOFAQatar https://t.co/3k64iwkHlt</t>
  </si>
  <si>
    <t>Un paseo por el Museo Nacional de Qatar en Doha 🤩
#Qatar2022 https://t.co/1GfLaf2MPj</t>
  </si>
  <si>
    <t>Ministerial Meeting of Qatari-Turkish Supreme Strategic Committee Takes Place in Istanbul
🇶🇦🇹🇷
#MOFAQatar https://t.co/8SkDHLFqP9</t>
  </si>
  <si>
    <t>I attended the ministerial meeting of the Qatari-Turkish Supreme Committee, to stress the importance of our brotherly relations &amp;amp; our common positions on regional &amp;amp; international issues. I thank my brother HE @MevlutCavusoglu, Foreign Minister of #Türkiye, for the warm welcome. https://t.co/VtfAbIRdUR</t>
  </si>
  <si>
    <t>Qatar Calls for International Community to Unite to Support Least Developed Countries
🔗To learn more: https://t.co/apkNG7JoB6
#MOFAQatar https://t.co/VEEqGjl5Kk</t>
  </si>
  <si>
    <t>Spokesperson of the Ministry of Foreign Affairs @majedalansari : The results of the visits and the meetings of the Higher strategic committee reflect the depth of the relations between the state of Qatar and Turkey
🇶🇦🇹🇷
#MOFAQatar https://t.co/PFwSBrobgf</t>
  </si>
  <si>
    <t>Assistant Foreign Minister @Lolwah_Alkhater Meets Chairman of Board of Trustees of the Humanitarian Funds of OIC
#MOFAQatar https://t.co/TWpwDLa2o5</t>
  </si>
  <si>
    <t>Qatar Welcomes Signing of Declaration of Algiers by Palestinian Factions
#MOFAQatar https://t.co/0hMGVGGIWR</t>
  </si>
  <si>
    <t>African Diplomatic Group Commends Qatar's Preparations to Host FIFA World Cup Qatar 2022
#MOFAQatar 
@majedalansari https://t.co/mTTblUtGS0</t>
  </si>
  <si>
    <t>Qatar Stresses Importance of Adhering to Agreements, Treaties on Disarmament of Nuclear and Mass Destruction Weapons
🔗To learn more : https://t.co/NnJgqnCdNX
#MOFAQatar https://t.co/PYOhnPnePa</t>
  </si>
  <si>
    <t>Statement | Qatar Strongly Condemns Settlers' Storming of Al-Aqsa Mosque
#MOFAQatar https://t.co/XUGNQzDJNW</t>
  </si>
  <si>
    <t>Qatar Participates in Arab-German Energy Forum 2022
🔗To learn more: https://t.co/eJxtKYkpFH
#MOFAQatar https://t.co/uFOrSUMikn</t>
  </si>
  <si>
    <t>Qatar Renews its Commitment to Efforts to Activate Principle of Rule of Law and Achieve International Justice
🔗To learn more: https://t.co/yS1UBqPaL2
#MOFAQatar https://t.co/4cDursGXUB</t>
  </si>
  <si>
    <t>Qatar Reaffirms Support to Concerted Efforts in Fostering International Partnership
🔗To learn more: https://t.co/lMzcKaWpmj
#MOFAQatar https://t.co/fOnQIpZDd1</t>
  </si>
  <si>
    <t>Qatar Stresses Pivotal Role of Education to Achieve Sustainable Development Goals
🔗To learn more: https://t.co/bnS8V4eORt
#MOFAQatar https://t.co/MtNaZnQsQU</t>
  </si>
  <si>
    <t>Assistant Foreign Minister for Regional Affairs @Dr_Al_Khulaifi  Meets French Ambassador to Yemen
#MOFAQatar https://t.co/s2cvTeTppt</t>
  </si>
  <si>
    <t>المتحدث الرسمي لوزارة الخارجية @majedalansari لـ/قنا/: تنسيق مستمر ودائم بين قطر وتركيا لتخفيف التصعيد في أكثر من إقليم حول العالم
🔗لقراءة المزيد: https://t.co/65Wj1YxBgU
#الخارجية_القطرية https://t.co/PsLWbnogG1</t>
  </si>
  <si>
    <t>نائب رئيس مجلس الوزراء وزير الخارجية @MBA_AlThani_ : قطر وتركيا اتفقتا على تطوير العلاقات الثنائية بشكل مستمر
🇶🇦🇹🇷
🔗لقراءة المزيد: https://t.co/qv5R2KtCwr
#الخارجية_القطرية https://t.co/hycujajyxM</t>
  </si>
  <si>
    <t>نائب رئيس مجلس الوزراء وزير الخارجية @MBA_AlThani_: نؤكد على موقف دولة قطر الثابت من احترام سيادة الدول والقانون الدولي الذي لا يتجزأ، ومثلما ينطبق على أوكرانيا ينطبق على الاحتلال في فلسطين والقضايا الأخرى
#الخارجية_القطرية https://t.co/HK3v4mG1Su</t>
  </si>
  <si>
    <t>نائب رئيس مجلس الوزراء وزير الخارجية @MBA_AlThani_ : كانت نتائج المباحثات اليوم بناءة، كما تم الاتفاق على تعزيز العلاقات الثنائية والتطوير المستمر خصوصاً في القطاعات الاقتصادية والاستثمارية والتجارية، وتعزيز العلاقات الثقافية والإنسانية بين شعبي البلدين 
🇹🇷🇶🇦
#الخارجية_القطرية https://t.co/uScafDiJXW</t>
  </si>
  <si>
    <t>🎥| انعقاد الاجتماع الوزاري للجنة الاستراتيجية العليا القطرية - التركية في اسطنبول
🇶🇦🇹🇷
#الخارجية_القطرية 
@MBA_AlThani_ 
@MevlutCavusoglu https://t.co/8scFFgjjaY</t>
  </si>
  <si>
    <t>حضرت اليوم الاجتماع الوزاري للجنة العليا القطرية التركية، الذي أكدت فيه على أهمية علاقاتنا الأخوية والمتميزة، وعلى التوافق بيننا في المواقف من القضايا الإقليمية والدولية. أشكر أخي سعادة السيد @MevlutCavusoglu، وزير خارجية #تركيا الشقيقة، على حسن الاستقبال وكرم الضيافة. https://t.co/pxTrgkl4Po</t>
  </si>
  <si>
    <t>سعادة الشيخ @MBA_AlThani_: نشيد بالدور الذي تلعبه تركيا الشقيقة في تحقيق الاستقرار لأسواق الأغذية، والجهود الدبلوماسية لحل الأزمة الروسية-الأوكرانية، ونؤكد موقف دولة قطر الثابت حيال هذه الأزمة، ونرفض انتهاك سيادة الدول وندعم كافة الجهود الدبلوماسية لإنهاء الحرب في أسرع وقت ممكن https://t.co/0Drrraeas5</t>
  </si>
  <si>
    <t>انعقاد الاجتماع الوزاري للجنة الاستراتيجية العليا القطرية - التركية في اسطنبول
🇶🇦🇹🇷
#الخارجية_القطرية https://t.co/FhpcB8V6Iw</t>
  </si>
  <si>
    <t>نائب رئيس مجلس الوزراء وزير الخارجية @MBA_AlThani_: ترحب دولة قطر وتركيا بإعلان الجزائر الذي تم التوقيع عليه من قبل الفصائل الفلسطينية المختلفة، ونتمنى أن تكون هذه النتائج والخطوات الإيجابية  تسهم في إنهاء حالة الانقسام التي أثرت بشكل كبير على القضية الفلسطينية
#الخارجية_القطرية https://t.co/TVBy1Dn328</t>
  </si>
  <si>
    <t>المتحدث الرسمي لوزارة الخارجية @majedalansari : نتائج الزيارات واجتماعات اللجنة الاستراتيجية العليا تعكس عمق العلاقات بين قطر وتركيا
🇶🇦🇹🇷
#الخارجية_القطرية https://t.co/vAAe1d8NYK</t>
  </si>
  <si>
    <t>دولة قطر تدعو إلى تكاتف المجتمع الدولي لدعم البلدان الأقل نموا
🔗لقراءة المزيد: https://t.co/FZYAWlsP3I
#الخارجية_القطرية https://t.co/xD5aR1ycrT</t>
  </si>
  <si>
    <t>مساعد وزير الخارجية @Lolwah_Alkhater تجتمع مع رئيس مجلس الأمناء بالصناديق الإنسانية لمنظمة التعاون الإسلامي
#الخارجية_القطرية https://t.co/AXRiibfEGj</t>
  </si>
  <si>
    <t>دولة قطر ترحّب بتوقيع الفصائل الفلسطينية على إعلان الجزائر
#الخارجية_القطرية https://t.co/1B2aHdbfbh</t>
  </si>
  <si>
    <t>سعدت باستقبال المجموعة الأفريقية الدبلوماسية واستلام بيانها بشأن كأس العالم ٢٠٢٢، والذي يعبر عن إشادتها بتحضيرات #قطر للبطولة وثقتها في أنها ستشكل إرثا مستداماً ونوعياً  للإنسانية. 
نشكر المجموعة على بيانها، ونؤكد أن نسخة قطر من البطولة ستكون استثنائية وستوفر تجربة مميزة للجميع. https://t.co/s13J9clUXb</t>
  </si>
  <si>
    <t>المجموعة الدبلوماسية الإفريقية تشيد بالاستعدادات لاستضافة بطولة كأس العالم FIFA قطر 2022
#الخارجية_القطرية 
@majedalansari https://t.co/VVm3Vztenr</t>
  </si>
  <si>
    <t>مساعد وزير الخارجية للشؤون الإقليمية @Dr_Al_Khulaifi يجتمع مع مسؤولة فرنسية
#الخارجية_القطرية https://t.co/zpkldfZYRQ</t>
  </si>
  <si>
    <t>كما سعدنا بمشاركتنا في القمة السادسة لمؤتمر التفاعل وإجراءات بناء الثقة في آسيا "سيكا" المنعقدة بأستانا، متمنين أن تكلل نتائجها بالنجاح لما فيه خير ومصلحة شعوب القارة الآسيوية. نشكر رئيس كازاخستان على حسن الاستقبال وكرم الضيافة. https://t.co/GyuUAqNxs2</t>
  </si>
  <si>
    <t>اختتمنا اليوم زيارتنا إلى جمهورية كازاخستان، والتي سعدنا خلالها بلقاء فخامة الرئيس @TokayevKZ وبالمباحثات معه حول سبل تطوير التعاون بين بلدينا الصديقين، وأبرز المستجدات الإقليمية والدولية. https://t.co/kwmFhNnCue</t>
  </si>
  <si>
    <t>سمو الأمير المفدى يغادر العاصمة أستانا بعد ختام زيارة دولة لجمهورية كازاخستان والمشاركة في القمة السادسة لمؤتمر التفاعل وإجراءات بناء الثقة في آسيا "سيكا"، متوجها إلى مدينة إسطنبول في زيارة عمل للجمهورية التركية. https://t.co/4wzKS2k6C5</t>
  </si>
  <si>
    <t>سمو الأمير المفدى يلتقي فخامة الرئيس فلاديمير بوتين رئيس روسيا الاتحادية، وذلك على هامش انعقاد القمة السادسة لمؤتمر التفاعل وإجراءات بناء الثقة في آسيا "سيكا"، في العاصمة أستانا بجمهورية كازاخستان. https://t.co/2KCLcQUs4e https://t.co/6fhRJ2NAs1</t>
  </si>
  <si>
    <t>سمو الأمير المفدى يلتقي أخاه فخامة الرئيس محمود عباس رئيس دولة فلسطين الشقيقة، وذلك على هامش انعقاد القمة السادسة لمؤتمر التفاعل وإجراءات بناء الثقة في آسيا "سيكا"، في العاصمة أستانا بجمهورية كازاخستان. https://t.co/83CElGGR9M https://t.co/ja2zDZiUeq</t>
  </si>
  <si>
    <t>سمو الأمير المفدى يلتقي فخامة الرئيس الدكتور إبراهيم رئيسي رئيس الجمهورية الإسلامية الإيرانية، وذلك على هامش انعقاد القمة السادسة لمؤتمر التفاعل وإجراءات بناء الثقة في آسيا "سيكا" في العاصمة أستانا بجمهورية كازاخستان. https://t.co/R6GHYB1XKQ https://t.co/gsFohJw1cq</t>
  </si>
  <si>
    <t>سمو الأمير المفدى يشارك في القمة السادسة لمؤتمر التفاعل وإجراءات بناء الثقة في آسيا "سيكا"، وذلك بقصر الاستقلال في العاصمة أستانا بجمهورية كازاخستان. https://t.co/8sQjxUmN2c https://t.co/uSbar913J1</t>
  </si>
  <si>
    <t>دولة قطر تؤكد على أهمية الالتزام باتفاقيات ومعاهدات نزع السلاح النووي وأسلحة الدمار الشامل
🔗لقراءة المزيد : https://t.co/gX5eEmhHzE
#الخارجية_القطرية https://t.co/QuuMxyO3Ki</t>
  </si>
  <si>
    <t>بيان | قطر تدين بشدة اقتحام مستوطنين المسجد الأقصى المبارك
#الخارجية_القطرية https://t.co/kgZRz8cDwc</t>
  </si>
  <si>
    <t>دولة قطر تشارك في أعمال المؤتمر العربي الألماني للطاقة
🔗لقراءة المزيد: https://t.co/emdYoevsyN
#الخارجية_القطرية https://t.co/VQVxasB1Yd</t>
  </si>
  <si>
    <t>قطر تجدد الالتزام بالجهود الرامية لتفعيل مبدأ سيادة القانون وتحقيق العدالة الدولية
🔗لقراءة المزيد: https://t.co/Wek3DlnGtx
#الخارجية_القطرية https://t.co/ze7WSKMuIY</t>
  </si>
  <si>
    <t>دولة قطر تجدد دعمها للجهود المبذولة لتعزيز الشراكة الدولية
🔗لقراءة المزيد: https://t.co/wBGx4QzMpQ
#الخارجية_القطرية https://t.co/jv4ElDjRFl</t>
  </si>
  <si>
    <t>دولة قطر تؤكد على الدور المحوري للتعليم لتحقيق أهداف التنمية المستدامة
🔗لقراءة المزيد: https://t.co/HmzogO6in0
#الخارجية_القطرية https://t.co/Qevd2B1t6t</t>
  </si>
  <si>
    <t>وقوفنا مع مبادئ القانون الدولي قيمة ثابتة في سياستنا الخارجية لا انتقائية فيها، وسعادة @MBA_AlThani_ يذكر المجتمع الدولي هنا أن إنهاء الاحتلال في فلسطين هو بنفس درجة الأهمية ويخضع للقانون ذاته. https://t.co/Op4NaxI3dq</t>
  </si>
  <si>
    <t>#قنا_انفوجرافيك | 
سمو الأمير.. مسيرة حافلة بالتكريم 
#قنا 
https://t.co/bS2N8DbcCs https://t.co/xECAk9ys1k</t>
  </si>
  <si>
    <t>Viceprimer Ministro y Ministro de Relaciones Exteriores @MBA_AlThani_ recibe una Carta escrita del Ministro de Relaciones Exteriores de Cuba
#MOFAQatar https://t.co/EGlbP5LqvI</t>
  </si>
  <si>
    <t>Felicito al Reino de #España por el día de la Hispanidad, deseándole futura prosperidad y progreso. Esperamos continuar reforzando nuestra distinguida relación para servir a los intereses de nuestros pueblos.</t>
  </si>
  <si>
    <t>Qatar Renews its Commitment to Support UNHCR Programs
🔗 To learn more: https://t.co/Bxz47ZCHOo
#MOFAQatar https://t.co/GrSvcJwpt5</t>
  </si>
  <si>
    <t>I congratulate the friendly Kingdom of #Spain on the occasion of their National Day, wishing them further progress &amp;amp; prosperity. We look forward to developing our distinguished relationship to serve the interests of our two friendly people.</t>
  </si>
  <si>
    <t>Assistant Foreign Minister for Regional Affairs @Dr_Al_Khulaifi  Meets UK House of Lords Delegation
#MOFAQatar https://t.co/uUnufcMIHm</t>
  </si>
  <si>
    <t>Qatar Chairs UN General Assembly Third Committee Session
🔗To learn more : https://t.co/7Gxyink42A
#MOFAQatar https://t.co/kEcsaem0Fb</t>
  </si>
  <si>
    <t>المبعوث الخاص لوزير الخارجية لشؤون تغيّر المناخ والاستدامة يشارك بحلقة نقاشية حول التغير المناخي العالمي في برلين
🔗لقراءة المزيد : https://t.co/uMPB1A69q7
#الخارجية_القطرية https://t.co/oDjo4O02Xo</t>
  </si>
  <si>
    <t>دولة قطر تجدد التزامها بدعم برامج مفوضية الأمم المتحدة لشؤون اللاجئين
🔗لقراءة المزيد: https://t.co/y08nqA3I1e
#الخارجية_القطرية https://t.co/u5U9NMF3Mp</t>
  </si>
  <si>
    <t>دولة قطر تترأس جلسة اللجنة الثالثة التابعة للجمعية العامة للأمم المتحدة
🔗لقراءة المزيد : https://t.co/KGlqTytHrv
#الخارجية_القطرية https://t.co/ws2G0VXVan</t>
  </si>
  <si>
    <t>أهنئ مملكة #إسبانيا الصديقة بمناسبة ذكرى اليوم الوطني، متمنياً لهم المزيد من التقدم والازدهار. نتطلع لتطوير علاقتنا المتميزة بما يخدم مصالح شعبينا الصديقين.</t>
  </si>
  <si>
    <t>مراسم استقبال رسمية لسمو الأمير المفدى في القصر الرئاسي "آق أوردا" بجمهورية كازاخستان الصديقة. #قطر #كازاخستان https://t.co/Dx28FLM9Rk https://t.co/Lo9eTr3xC7</t>
  </si>
  <si>
    <t>سمو الأمير المفدى وفخامة الرئيس قاسم جومارت توكاييف رئيس جمهورية كازاخستان الصديقة، يعقدان جلسة مباحثات رسمية، بالقصر الرئاسي "آق أوردا" في العاصمة أستانا. #قطر #كازاخستان https://t.co/n2pAlsPZ8j https://t.co/l0kmLnOflD</t>
  </si>
  <si>
    <t>سمو الأمير المفدى وفخامة الرئيس قاسم جومارت توكاييف رئيس جمهورية كازاخستان الصديقة يشهدان التوقيع على عدد من الاتفاقيات ومذكرات التفاهم بين البلدين، وذلك بالقصر الرئاسي "آق أوردا" في العاصمة أستانا. #قطر #كازاخستان https://t.co/LgUPLLDpa0 https://t.co/oQa6rMxnEd</t>
  </si>
  <si>
    <t>التصريحات الصحفية المشتركة لسمو الأمير المفدى وفخامة الرئيس قاسم جومارت توكاييف رئيس جمهورية كازاخستان الصديقة. #قطر #كازاخستان https://t.co/Vwb34kJrWU https://t.co/YNuOQAeKT6</t>
  </si>
  <si>
    <t>سمو الأمير المفدى يُمنح وسام النسر الذهبي الكازاخستاني "ألتين قيران" من فخامة رئيس جمهورية كازاخستان الصديقة، تقديرًا لجهود سموه في تعميق أواصر العلاقات بين البلدين الصديقين، وذلك خلال المراسم التي أقيمت في القصر الرئاسي في العاصمة أستانا. #قطر #كازاخستان https://t.co/SitghrHtsI https://t.co/nvXBb33DZH</t>
  </si>
  <si>
    <t>مساعد وزير الخارجية للشؤون الإقليمية @Dr_Al_Khulaifi  يجتمع مع وفد مجلس اللوردات البريطاني 
#الخارجية_القطرية https://t.co/a79wn9j3VW</t>
  </si>
  <si>
    <t>سمو الأمير المفدى يعزي فخامة الرئيس نيكولاس مادورو رئيس جمهورية فنزويلا البوليفارية، في ضحايا الانهيارات الأرضيّة في مدينة لاس تيخيرياس، متمنيًا سموه الشفاء العاجل للمصابين. https://t.co/Qk8CFzhzmB</t>
  </si>
  <si>
    <t>Special Envoy of Minister of Foreign Affairs for Climate Change and Sustainability Participates in Panel Discussion on Global Climate Change in Berlin
🔗 To learn more: https://t.co/izVp3lz45b
#MOFAQatar https://t.co/FsZd5maqB3</t>
  </si>
  <si>
    <t>سمو الأمير المفدى يصل العاصمة أستانا في زيارة دولة إلى جمهورية كازاخستان الصديقة، وفي مقدمة مستقبلي سموه، فخامة الرئيس قاسم جومارت توكاييف رئيس جمهورية كازاخستان. #قطر #كازاخستان https://t.co/AQAEmbcxK8 https://t.co/UyAQwPEtMp</t>
  </si>
  <si>
    <t>HE Sheikh @KBKAlThani, Prime Minister and Minister of Interior, toured the Abu Samra border crossing and was briefed on the facilities and equipment to receive fans during the FIFA World Cup Qatar 2022. https://t.co/cLl5EfvpDt</t>
  </si>
  <si>
    <t>The Supreme Committee for Delivery &amp;amp; Legacy denies what is being circulated recently on social media regarding the issuance of the publication "Qatar Welcomes You" by an official body, and it also contains inaccurate information. #QNA https://t.co/mAJz6RZ9SZ</t>
  </si>
  <si>
    <t>https://t.co/GFzaE6IBk6</t>
  </si>
  <si>
    <t>سمو الأمير يتلقى اتصالا هاتفياً من رئيسة وزراء #بريطانيا تم خلاله استعراض آخر المستجدات على الساحتين الإقليمية والدولية و بحث العلاقات الثنائية بين البلدين الصديقين
#قنا
https://t.co/COHafkzrfY https://t.co/coiXev6sH5</t>
  </si>
  <si>
    <t>Deputy Prime Minister and Minister of Foreign Affairs @MBA_AlThani_  Receives Call from UK Foreign Secretary
#MOFAQatar https://t.co/vfHRLmDnCg</t>
  </si>
  <si>
    <t>نائب رئيس مجلس الوزراء وزير الخارجية @MBA_AlThani_ يتلقى اتصالاً هاتفياً من وزير الخارجية البريطاني
#الخارجية_القطرية https://t.co/SwnrIpBgVR</t>
  </si>
  <si>
    <t>Les damos a la bienvenida en la cuenta oficial del Ministerio de Relaciones Exteriores de Qatar en Español.
@QatarVenezuela 
#Qatar
#Caracas
#Venezuela https://t.co/6v96zOqYBU</t>
  </si>
  <si>
    <t>سُعدت بزيارتي الأولى لجمهورية التشيك، وبمباحثاتي اليوم مع رئيسها ميلوش زيمان ورئيس حكومتها بيتر فيالا، حول أوجه تطوير العلاقات الثنائية بين بلدينا في مختلف المجالات، وبنقاشنا لأبرز المستجدات الإقليمية والدولية. ولهما الشكر على حسن الاستقبال وكرم الضيافة. https://t.co/ALMzdaKkbH</t>
  </si>
  <si>
    <t>سمو الأمير المفدى ودولة السيد بيتر فيالا رئيس وزراء جمهورية التشيك الصديقة يبحثان العلاقات الثنائية وسبل تطويرها، وذلك بمقر رئاسة الوزراء في العاصمة براغ. #قطر #التشيك https://t.co/eLOs3vhFfj https://t.co/zZ7sB32thP</t>
  </si>
  <si>
    <t>سمو الأمير: ناقشنا مع الرئيس التشيكي تطوير العلاقات الاقتصادية.. وسيتم افتتاح سفارة #قطر في جمهورية #التشيك خلال الأشهر المقبلة
#قنا
#قطر_التشيك https://t.co/Mn6dkoWmFY</t>
  </si>
  <si>
    <t>Una nueva canción de la Copa Mundial de la FIFA #Qatar2022 está llegando... 🔜
"Light The Sky", con @BalqeesFathi, Nora Fatehi, Manal, @RahmaRiad y @RedOne_Official ✨ https://t.co/w60g4ip5vq</t>
  </si>
  <si>
    <t>يسعدني أن أرى متحف الفن الإسلامي يعيد فتح أبوابه بحلته الجديدة للترحيب بالزوار ابتداء من اليوم.ليس لدي أدنى شك في أن قاعات العرض المعاد تصميمها ستلهم وتسعد كل من يزورها؛ اجتمع كثير من الناس اليوم لجعل الحلم حقيقة؛ أشكرهم على دعمهم والتزامهم بجلب ثقافتنا وتاريخنا إلى قلب مجتمعنا. https://t.co/qxXPjDVmC7</t>
  </si>
  <si>
    <t>Qatar Renews Commitment to Work with UN in Counterterrorism
🔗To learn more : https://t.co/uwUN0NGBSL
#MOFAQatar https://t.co/yyPGdQjulo</t>
  </si>
  <si>
    <t>مراسم استقبال رسمية لسمو الأمير في المقر الرئاسي بقلعة براغ بجمهورية #التشيك الصديقة
#قنا
#قطر_التشيك https://t.co/l3EfrUUBdK</t>
  </si>
  <si>
    <t>دولة #قطر تجدد وقوفها إلى جانب الشعب الصومالي الشقيق لبناء دولة المؤسسات وحكم القانون
🔗لقراءة المزيد : https://t.co/L8F46fX7Am
#الخارجية_القطرية https://t.co/CrYOkmnyWK</t>
  </si>
  <si>
    <t>التصريحات الصحفية المشتركة لسمو الأمير المفدى وفخامة رئيس جمهورية التشيك. #قطر #التشيك https://t.co/TEZcJFa1ae https://t.co/t8d5D6Jmjj</t>
  </si>
  <si>
    <t>سمو الأمير المفدى وفخامة الرئيس ميلوش زيمان رئيس جمهورية التشيك الصديقة، يعقدان جلسة مباحثات رسمية، ويشهدان التوقيع على إعلان مشترك واتفاقية، بالمقر الرئاسي بقلعة براغ في جمهورية التشيك. #قطر #التشيك  https://t.co/qHZ5b72MCb https://t.co/CS7KSNCunD</t>
  </si>
  <si>
    <t>المتحدث الرسمي لمكتب الاتصال الحكومي
 @ALHAJRI_MBN، 
يعلن تفاصيل قرارات مجلس الوزراء بخصوص الدوام الرسمي للجهات الحكومية وتفاصيل دوام القطاع التعليمي خلال استضافة كأس العالم فيفا قطر 2022. https://t.co/lEnumvLdRq</t>
  </si>
  <si>
    <t>paraguay otorga a Su Excelencia la Jequesa Alia Ahmed bin Saif Al Thani la Orden Nacional del Mérito
@AmbAlyaAlThani 
#MOFAQatar 
#Parguay https://t.co/FGcd0s27aa</t>
  </si>
  <si>
    <t>¡Un día en el entrenamiento de la Selección de Qatar! 🇶🇦⚽
📲 @Dohabibis https://t.co/OgEqRx1Feo</t>
  </si>
  <si>
    <t>Desde Embajada de Qatar en Caracas, les damos a la bienvenida en la cuenta oficial del Ministerio de Relaciones Exteriores de Qatar en Español.
@QatarVenezuela 
#Qatar
#Caracas
#Venezuela https://t.co/4hcm3KNJn0</t>
  </si>
  <si>
    <t>Deputy Prime Minister and Minister of Foreign Affairs @MBA_AlThani_ Meets with Minister of Foreign Affairs of Cyprus
#MOFAQatar https://t.co/60fyHyr9iw</t>
  </si>
  <si>
    <t>🎥 | Deputy Prime Minister and Minister of Foreign Affairs @MBA_AlThani_ Meets with Minister of Foreign Affairs of Cyprus
#MOFAQatar https://t.co/MF1eVdIsvU</t>
  </si>
  <si>
    <t>Paraguay Awards HE Sheikha Alia Ahmed bin Saif Al-Thani National Order of Merit
#MOFAQatar https://t.co/nYXRHaVWPA</t>
  </si>
  <si>
    <t>Qatar Renews Commitment to Actively Contribute to International Efforts to Achieve Sustainable Development
🔗To learn more: https://t.co/1T5CuW4pHo
#MOFAQatar https://t.co/rYHzIrapqi</t>
  </si>
  <si>
    <t>Qatar Reaffirms Keenness to Live Up to Joint Responsibility, Multi-Lateral Action
🔗To learn more : https://t.co/kjN2QkrqLR
#MOFAQatar https://t.co/odYA8KIZgC</t>
  </si>
  <si>
    <t>Museum of Islamic Art Re-opens
🔗 To learn more: https://t.co/ZNShioT5iw
#MOFAQatar https://t.co/kMUUrKJgv4</t>
  </si>
  <si>
    <t>MOTQatar</t>
  </si>
  <si>
    <t>#Qatar 🇶🇦 Wins @icao  Council Membership
#icao  #ICAOA41 ✈️🇺🇳
https://t.co/IpmtjULu37 https://t.co/q1qYdqzRk1</t>
  </si>
  <si>
    <t>The State of Qatar places particular importance on the proper and harmonious function of @UN specialized agencies. Qatar stands ready to further contribute to the @icao work in the sectors of aviation safety, security, efficiency and regularity, and environmental protection. https://t.co/Da2Qc7NKbZ</t>
  </si>
  <si>
    <t>Qatar Participates in 8th OIC-IPHRC International Seminar
#MOFAQatar https://t.co/X6UAFDAFPS</t>
  </si>
  <si>
    <t>🎥 | نائب رئيس مجلس الوزراء وزير الخارجية @MBA_AlThani_ يجتمع مع وزير خارجية قبرص
#الخارجية_القطرية https://t.co/IUWZrhJnSg</t>
  </si>
  <si>
    <t>سمو الأمير المفدى يستقبل فخامة الرئيسة سامية صولوحو حسن رئيسة جمهورية تنزانيا المتحدة بالديوان الأميري، وذلك بمناسبة زيارتها إلى البلاد للمشاركة في مؤتمر القمة العالمي للابتكار في الرعاية الصحية (ويش). https://t.co/c0PXuGMerf https://t.co/t5RKfJ0YhD</t>
  </si>
  <si>
    <t>دولة قطر تجدد حرصها على الالتزام بمبادئ المسؤولية المشتركة والعمل المتعدد الأطراف
🔗لقراءة المزيد : https://t.co/IFpveuJX9z
#الخارجية_القطرية https://t.co/el0w0H4DIj</t>
  </si>
  <si>
    <t>دولة قطر تؤكد أن بطولة كأس العالم FIFA قطر 2022 ستشكل فرصة قيمة لتعزيز قيم الاحترام، والتنوع الثقافي، والتسامح، والاندماج الاجتماعي للجميع
🔗لقراءة المزيد : https://t.co/z4yKmgjgVr
#الخارجية_القطرية https://t.co/5mLGrwOO4A</t>
  </si>
  <si>
    <t>افتتاح متحف الفن الإسلامي في حلته الجديدة وتدشين ساحة الأعلام
🔗 لقراءة المزيد: https://t.co/LLaiQtANmt
#الخارجية_القطرية https://t.co/doOm2VlSjJ</t>
  </si>
  <si>
    <t>لقطات من تدشين ساحة الأعلام بحضور سعادة نائب رئيس مجلس الوزراء وزير الخارجية @MBA_AlThani_ 
#الخارجية_القطرية https://t.co/pyEFWzXgZG</t>
  </si>
  <si>
    <t>🎥 | افتتاح متحف الفن الإسلامي في حلته الجديدة وتدشين ساحة الأعلام
#الخارجية_القطرية 
@MBA_AlThani_ 
@Qatar_Museums https://t.co/wZAva6Ihux</t>
  </si>
  <si>
    <t>دولة قطر تجدد التزامها بالتعاون مع الأمم المتحدة لمكافحة الإرهاب
🔗لقراءة المزيد: https://t.co/Tjqrd2mo9R
#الخارجية_القطرية https://t.co/ZTufAldwtB</t>
  </si>
  <si>
    <t>دولة #قطر تفوز بعضوية مجلس منظمة الطيران المدني الدولي (إيكاو) @icao 
#icao #ICAOA41 ✈️🇶🇦🇺🇳
https://t.co/J78Tc8NjXs https://t.co/oXryusPfmt</t>
  </si>
  <si>
    <t>تولي دولة قطر أهمية خاصة للدور الذي تقوم به وكالات @UN المتخصصة. كما تؤكد دوماً استعدادها للمساهمة بشكل فاعل في أعمال منظمة @icao في مجال سلامة وأمن الطيران المدني الدولي. وإن انتخاب الدولة اليوم عضواً في مجلس المنظمة @qatar_icao لهو تعبير عن ثقة المجتمع الدولي للقيام بهذا الدور. https://t.co/pCpKomCq4W</t>
  </si>
  <si>
    <t>قطر تشارك في الندوة الدولية الثامنة لمنظمة التعاون الإسلامي حول حماية اللاجئين من منظور إسلامي بكوالالمبور
#الخارجية_القطرية https://t.co/YiZ9oaaiX9</t>
  </si>
  <si>
    <t>سمو نائب الأمير يستقبل في مكتبه بالديوان الأميري، سعادة أليساندرو برونس سفير جمهورية إيطاليا، وذلك للسلام على سموه بمناسبة انتهاء فترة عمله في البلاد. https://t.co/UUt3JnhiaJ https://t.co/HLAKJ46ZuT</t>
  </si>
  <si>
    <t>مراسم استقبال رسمية لسمو الأمير المفدى في المقر الرئاسي بقلعة براغ بجمهورية التشيك الصديقة. #قطر #التشيك https://t.co/u95NEiyN1p https://t.co/WNpz3iZK7l</t>
  </si>
  <si>
    <t>دولة قطر تجدد التزامها بالمساهمة الفعالة في الجهود الدولية لتحقيق أهداف التنمية الشاملة والمستدامة
🔗لقراءة المزيد: https://t.co/JOhmwV6BBv
#الخارجية_القطرية https://t.co/v0dJrIR2T9</t>
  </si>
  <si>
    <t>AlArab_Qatar</t>
  </si>
  <si>
    <t>📌 الخارجية القطرية @MofaQatar_AR : نائب رئيس مجلس الوزراء وزير الخارجية @MBA_AlThani_ يجتمع مع وزير خارجية قبرص👇🏿      
#العرب  
التفاصيل https://t.co/UHtNGv0CwN</t>
  </si>
  <si>
    <t>مساعد وزير الخارجية @Lolwah_Alkhater تجتمع مع سفير الولايات المتحدة الأمريكية
#الخارجية_القطرية https://t.co/Ajs2wH9BUk</t>
  </si>
  <si>
    <t>Pleased to meet HE Ioannis Kasoulides, Foreign Minister of Cyprus, today in #Doha, to discuss ways to enhance &amp;amp; develop economic cooperation, especially investment in the fields of tourism &amp;amp; energy, in addition to a number of issues of common interest. https://t.co/6wJLTnY3jo</t>
  </si>
  <si>
    <t>سررت بلقاء سعادة السيد يوانيس كاسوليديس، وزير الشؤون الخارجية بجمهورية قبرص، اليوم في #الدوحة، لنقاش سبل تعزيز وتطوير التعاون الاقتصادي خاصة الاستثمار في مجالي السياحة والطاقة، بالإضافة إلى عدد من الموضوعات ذات الاهتمام المشترك. https://t.co/QPUuUSdgE1</t>
  </si>
  <si>
    <t>نائب رئيس مجلس الوزراء وزير الخارجية @MBA_AlThani_ يجتمع مع وزير خارجية قبرص
#الخارجية_القطرية https://t.co/a64Ta5qMrp</t>
  </si>
  <si>
    <t>Qatar acoge con beneplácito los progreso positivos en la demarcación de la frontera marítima libanesa
#MOFAQatar https://t.co/E88KGm1GhE</t>
  </si>
  <si>
    <t>Desde Embajada de Qatar en Argentina, les damos a la bienvenida en la cuenta oficial del Ministerio de Relaciones Exteriores de Qatar en Español.
@qatarEmb_BA
#Qatar
#Argentina https://t.co/9gsBtR2qBa</t>
  </si>
  <si>
    <t>I had the pleasure of meeting H.E. Mr. Darren Tang, Director Genera of @WIPO.
We discussed a number of topics of mutual interest in the #intellectual_property field, as well as signed an MoU on cooperation in the field of alternative means of dispute resolution https://t.co/j2lW4jDVSu</t>
  </si>
  <si>
    <t>Statement | Qatar Condemns Attack in Somalia
#MOFAQatar https://t.co/TLKhbuKVUE</t>
  </si>
  <si>
    <t>I extend my warmest congratulations and blessings to the friendly People's Republic of #China on the occasion of their National Day, wishing them further progress and prosperity.</t>
  </si>
  <si>
    <t>Deputy Prime Minister and Minister of Foreign Affairs @MBA_AlThani_ Receives Phone Call from Chinese Foreign Minister
#MOFAQatar https://t.co/AWIAaHqbEP</t>
  </si>
  <si>
    <t>Deputy Prime Minister and Minister of Foreign Affairs @MBA_AlThani_ Holds Phone Call with Iranian Foreign Minister
#MOFAQatar https://t.co/sukY6WHuzG</t>
  </si>
  <si>
    <t>Pleased to meet with HE @UnderSecStateJ, the US Under Secretary of State for Civilian Security, Democracy &amp;amp; Human Rights, to discuss ways to enhance our bilateral cooperation, &amp;amp; a number of international issues of common interest. https://t.co/EjszXkvT7H</t>
  </si>
  <si>
    <t>Deputy Prime Minister and Minister of Foreign Affairs @MBA_AlThani_ Meets US Under Secretary of State
#MOFAQatar https://t.co/rOqBfeEHJ8</t>
  </si>
  <si>
    <t>Statement | Qatar Welcomes the Progress Made in Establishing Lebanon’s Maritime Borders 
#MOFAQatar https://t.co/iyZqxtSXor</t>
  </si>
  <si>
    <t>Statement : Qatar Stresses Necessity of Respecting Sovereignty, Territorial Integrity of Ukraine
#MOFAQatar https://t.co/DxwwSMXGLq</t>
  </si>
  <si>
    <t>يسعدني أن أشارككم جميعًا كتاب "سِحْرُ الثقافة" - سلسلة من الأفكار الشخصية حول مجموعة واسعة من المشاريع، والتي أقيمت بشكل جماعي وأسهمت ببناء مشهد ثقافي مزدهر واقتصاد إبداعي في قطر. المستقبل مشرق، وأتطلع إلى مواصلة رحلتنا في البناء والإبداع والابتكار لبلدنا الحبيب قطر 🇶🇦! https://t.co/G33acaxGkR</t>
  </si>
  <si>
    <t>استمتعت بالحوار الهادف والمثمر مع سعادة السيد دارين تانغ، المدير العام @WIPO 
تطرقنا لعدد من القضايا ومشاريع التعاون في مجال الملكية الفكرية، كما تم تنظيم حفل توقيع وتبادل مذكرات التفاهم بشأن التعاون في مجال الوسائل البديلة لحل المنازعات https://t.co/XeGBmGnKw3</t>
  </si>
  <si>
    <t>بيان | قطر تدين هجوماً في الصومال
#الخارجية_القطرية https://t.co/J8SPIiB8rQ</t>
  </si>
  <si>
    <t>بيان | قطر تدين تفجيراً استهدف مركزاً تربوياً بأفغانستان
#الخارجية_القطرية https://t.co/h1DXKbjXn5</t>
  </si>
  <si>
    <t>أتقدم بأطيب التهاني والتبريكات الى جمهورية #الصين الشعبية الصديقة بمناسبة ذكرى اليوم الوطني، متمنياً لهم المزيد من التقدم والازدهار.</t>
  </si>
  <si>
    <t>نائب رئيس مجلس الوزراء وزير الخارجية @MBA_AlThani_ يتلقى اتصالاً هاتفياً من وزير الخارجية الصيني
#الخارجية_القطرية https://t.co/AOIxOImXKg</t>
  </si>
  <si>
    <t>نائب رئيس مجلس الوزراء وزير الخارجية @MBA_AlThani_ يجري اتصالاً هاتفياً مع وزير الخارجية الإيراني 
#الخارجية_القطرية https://t.co/I73pMvrup8</t>
  </si>
  <si>
    <t>🎥| نائب رئيس مجلس الوزراء وزير الخارجية @MBA_AlThani_ يجتمع مع وكيلة وزارة الخارجية الأمريكية
#الخارجية_القطرية https://t.co/WsW7J8Dtm6</t>
  </si>
  <si>
    <t>سعدت بلقاء سعادة السيدة @UnderSecStateJ، وكيلة وزارة الخارجية الأميركية للأمن المدني والديمقراطية وحقوق الإنسان، لنقاش سبل تعزيز التعاون الثنائي، وعدد من القضايا الدولية ذات الاهتمام المشترك. https://t.co/ykbW1JGGAY</t>
  </si>
  <si>
    <t>نائب رئيس مجلس الوزراء وزير الخارجية @MBA_AlThani_ يجتمع مع وكيلة وزارة الخارجية الأمريكية
#الخارجية_القطرية https://t.co/eWd2Mmk5En</t>
  </si>
  <si>
    <t>بيان | قطر ترحب بالتقدم الإيجابي لترسيم الحدود البحرية اللبنانية
#الخارجية_القطرية https://t.co/ucEKcbz2M5</t>
  </si>
  <si>
    <t>سمو الأمير المفدى يعزي فخامة الرئيس جو بايدن رئيس الولايات المتحدة الأمريكية الصديقة، في ضحايا إعصار إيان الذي ضرب عدد من الولايات الأمريكية، متمنيًا سموه الشفاء العاجل للمصابين. https://t.co/GwlAioIb3B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</si>
</sst>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71"/>
  <sheetViews>
    <sheetView tabSelected="1" topLeftCell="A551" workbookViewId="0">
      <selection activeCell="A572" sqref="A572:XFD2533"/>
    </sheetView>
  </sheetViews>
  <sheetFormatPr baseColWidth="10" defaultColWidth="8.83203125" defaultRowHeight="15" x14ac:dyDescent="0.2"/>
  <cols>
    <col min="2" max="2" width="23.1640625" customWidth="1"/>
    <col min="3" max="3" width="38.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HYPERLINK("http://www.twitter.com/banuakdenizli/status/1608846477866196993", "1608846477866196993")</f>
        <v>1608846477866196993</v>
      </c>
      <c r="B2" t="s">
        <v>15</v>
      </c>
      <c r="C2" s="2">
        <v>44925.641956018517</v>
      </c>
      <c r="D2">
        <v>0</v>
      </c>
      <c r="E2">
        <v>5</v>
      </c>
      <c r="F2" t="s">
        <v>17</v>
      </c>
      <c r="G2" t="s">
        <v>33</v>
      </c>
      <c r="H2" t="str">
        <f>HYPERLINK("http://pbs.twimg.com/media/FlOVfhxWQAE0YQP.jpg", "http://pbs.twimg.com/media/FlOVfhxWQAE0YQP.jpg")</f>
        <v>http://pbs.twimg.com/media/FlOVfhxWQAE0YQP.jpg</v>
      </c>
      <c r="L2">
        <v>0</v>
      </c>
      <c r="M2">
        <v>0</v>
      </c>
      <c r="N2">
        <v>1</v>
      </c>
      <c r="O2">
        <v>0</v>
      </c>
    </row>
    <row r="3" spans="1:15" x14ac:dyDescent="0.2">
      <c r="A3" s="1" t="str">
        <f>HYPERLINK("http://www.twitter.com/banuakdenizli/status/1608846443523223561", "1608846443523223561")</f>
        <v>1608846443523223561</v>
      </c>
      <c r="B3" t="s">
        <v>15</v>
      </c>
      <c r="C3" s="2">
        <v>44925.641863425917</v>
      </c>
      <c r="D3">
        <v>0</v>
      </c>
      <c r="E3">
        <v>42</v>
      </c>
      <c r="F3" t="s">
        <v>18</v>
      </c>
      <c r="G3" t="s">
        <v>34</v>
      </c>
      <c r="H3" t="str">
        <f>HYPERLINK("http://pbs.twimg.com/media/FlOl6VXWAAM2KVs.jpg", "http://pbs.twimg.com/media/FlOl6VXWAAM2KVs.jpg")</f>
        <v>http://pbs.twimg.com/media/FlOl6VXWAAM2KVs.jpg</v>
      </c>
      <c r="L3">
        <v>-0.51060000000000005</v>
      </c>
      <c r="M3">
        <v>0.248</v>
      </c>
      <c r="N3">
        <v>0.752</v>
      </c>
      <c r="O3">
        <v>0</v>
      </c>
    </row>
    <row r="4" spans="1:15" x14ac:dyDescent="0.2">
      <c r="A4" s="1" t="str">
        <f>HYPERLINK("http://www.twitter.com/banuakdenizli/status/1608846397612392450", "1608846397612392450")</f>
        <v>1608846397612392450</v>
      </c>
      <c r="B4" t="s">
        <v>15</v>
      </c>
      <c r="C4" s="2">
        <v>44925.641736111109</v>
      </c>
      <c r="D4">
        <v>0</v>
      </c>
      <c r="E4">
        <v>62</v>
      </c>
      <c r="F4" t="s">
        <v>16</v>
      </c>
      <c r="G4" t="s">
        <v>35</v>
      </c>
      <c r="H4" t="str">
        <f>HYPERLINK("http://pbs.twimg.com/media/FlOQGLpWYAEvMyJ.jpg", "http://pbs.twimg.com/media/FlOQGLpWYAEvMyJ.jpg")</f>
        <v>http://pbs.twimg.com/media/FlOQGLpWYAEvMyJ.jpg</v>
      </c>
      <c r="L4">
        <v>0</v>
      </c>
      <c r="M4">
        <v>0</v>
      </c>
      <c r="N4">
        <v>1</v>
      </c>
      <c r="O4">
        <v>0</v>
      </c>
    </row>
    <row r="5" spans="1:15" x14ac:dyDescent="0.2">
      <c r="A5" s="1" t="str">
        <f>HYPERLINK("http://www.twitter.com/banuakdenizli/status/1608088239398850560", "1608088239398850560")</f>
        <v>1608088239398850560</v>
      </c>
      <c r="B5" t="s">
        <v>15</v>
      </c>
      <c r="C5" s="2">
        <v>44923.549618055556</v>
      </c>
      <c r="D5">
        <v>0</v>
      </c>
      <c r="E5">
        <v>37</v>
      </c>
      <c r="F5" t="s">
        <v>23</v>
      </c>
      <c r="G5" t="s">
        <v>36</v>
      </c>
      <c r="L5">
        <v>0</v>
      </c>
      <c r="M5">
        <v>0</v>
      </c>
      <c r="N5">
        <v>1</v>
      </c>
      <c r="O5">
        <v>0</v>
      </c>
    </row>
    <row r="6" spans="1:15" x14ac:dyDescent="0.2">
      <c r="A6" s="1" t="str">
        <f>HYPERLINK("http://www.twitter.com/banuakdenizli/status/1607359124697907201", "1607359124697907201")</f>
        <v>1607359124697907201</v>
      </c>
      <c r="B6" t="s">
        <v>15</v>
      </c>
      <c r="C6" s="2">
        <v>44921.53765046296</v>
      </c>
      <c r="D6">
        <v>0</v>
      </c>
      <c r="E6">
        <v>18</v>
      </c>
      <c r="F6" t="s">
        <v>16</v>
      </c>
      <c r="G6" t="s">
        <v>37</v>
      </c>
      <c r="H6" t="str">
        <f>HYPERLINK("http://pbs.twimg.com/media/Fk2L0V9XEAEVBit.jpg", "http://pbs.twimg.com/media/Fk2L0V9XEAEVBit.jpg")</f>
        <v>http://pbs.twimg.com/media/Fk2L0V9XEAEVBit.jpg</v>
      </c>
      <c r="L6">
        <v>0</v>
      </c>
      <c r="M6">
        <v>0</v>
      </c>
      <c r="N6">
        <v>1</v>
      </c>
      <c r="O6">
        <v>0</v>
      </c>
    </row>
    <row r="7" spans="1:15" x14ac:dyDescent="0.2">
      <c r="A7" s="1" t="str">
        <f>HYPERLINK("http://www.twitter.com/banuakdenizli/status/1606302515137376256", "1606302515137376256")</f>
        <v>1606302515137376256</v>
      </c>
      <c r="B7" t="s">
        <v>15</v>
      </c>
      <c r="C7" s="2">
        <v>44918.62195601852</v>
      </c>
      <c r="D7">
        <v>0</v>
      </c>
      <c r="E7">
        <v>2</v>
      </c>
      <c r="F7" t="s">
        <v>38</v>
      </c>
      <c r="G7" t="s">
        <v>39</v>
      </c>
      <c r="H7" t="str">
        <f>HYPERLINK("http://pbs.twimg.com/media/Fkm_UtVXgAA5VzG.jpg", "http://pbs.twimg.com/media/Fkm_UtVXgAA5VzG.jpg")</f>
        <v>http://pbs.twimg.com/media/Fkm_UtVXgAA5VzG.jpg</v>
      </c>
      <c r="L7">
        <v>0</v>
      </c>
      <c r="M7">
        <v>0</v>
      </c>
      <c r="N7">
        <v>1</v>
      </c>
      <c r="O7">
        <v>0</v>
      </c>
    </row>
    <row r="8" spans="1:15" x14ac:dyDescent="0.2">
      <c r="A8" s="1" t="str">
        <f>HYPERLINK("http://www.twitter.com/banuakdenizli/status/1606301421103550464", "1606301421103550464")</f>
        <v>1606301421103550464</v>
      </c>
      <c r="B8" t="s">
        <v>15</v>
      </c>
      <c r="C8" s="2">
        <v>44918.618946759263</v>
      </c>
      <c r="D8">
        <v>0</v>
      </c>
      <c r="E8">
        <v>13</v>
      </c>
      <c r="F8" t="s">
        <v>18</v>
      </c>
      <c r="G8" t="s">
        <v>40</v>
      </c>
      <c r="H8" t="str">
        <f>HYPERLINK("http://pbs.twimg.com/media/Fknki-VXkAQ_Eui.jpg", "http://pbs.twimg.com/media/Fknki-VXkAQ_Eui.jpg")</f>
        <v>http://pbs.twimg.com/media/Fknki-VXkAQ_Eui.jpg</v>
      </c>
      <c r="I8" t="str">
        <f>HYPERLINK("http://pbs.twimg.com/media/Fknki-UX0AEl2Xl.jpg", "http://pbs.twimg.com/media/Fknki-UX0AEl2Xl.jpg")</f>
        <v>http://pbs.twimg.com/media/Fknki-UX0AEl2Xl.jpg</v>
      </c>
      <c r="L8">
        <v>0.34</v>
      </c>
      <c r="M8">
        <v>0</v>
      </c>
      <c r="N8">
        <v>0.88200000000000001</v>
      </c>
      <c r="O8">
        <v>0.11799999999999999</v>
      </c>
    </row>
    <row r="9" spans="1:15" x14ac:dyDescent="0.2">
      <c r="A9" s="1" t="str">
        <f>HYPERLINK("http://www.twitter.com/banuakdenizli/status/1605909704462442501", "1605909704462442501")</f>
        <v>1605909704462442501</v>
      </c>
      <c r="B9" t="s">
        <v>15</v>
      </c>
      <c r="C9" s="2">
        <v>44917.53800925926</v>
      </c>
      <c r="D9">
        <v>0</v>
      </c>
      <c r="E9">
        <v>64</v>
      </c>
      <c r="F9" t="s">
        <v>23</v>
      </c>
      <c r="G9" t="s">
        <v>41</v>
      </c>
      <c r="L9">
        <v>0</v>
      </c>
      <c r="M9">
        <v>0</v>
      </c>
      <c r="N9">
        <v>1</v>
      </c>
      <c r="O9">
        <v>0</v>
      </c>
    </row>
    <row r="10" spans="1:15" x14ac:dyDescent="0.2">
      <c r="A10" s="1" t="str">
        <f>HYPERLINK("http://www.twitter.com/banuakdenizli/status/1605907937901383681", "1605907937901383681")</f>
        <v>1605907937901383681</v>
      </c>
      <c r="B10" t="s">
        <v>15</v>
      </c>
      <c r="C10" s="2">
        <v>44917.533136574071</v>
      </c>
      <c r="D10">
        <v>0</v>
      </c>
      <c r="E10">
        <v>7</v>
      </c>
      <c r="F10" t="s">
        <v>18</v>
      </c>
      <c r="G10" t="s">
        <v>42</v>
      </c>
      <c r="H10" t="str">
        <f>HYPERLINK("http://pbs.twimg.com/media/Fkc1B6WWAAMBysd.jpg", "http://pbs.twimg.com/media/Fkc1B6WWAAMBysd.jpg")</f>
        <v>http://pbs.twimg.com/media/Fkc1B6WWAAMBysd.jpg</v>
      </c>
      <c r="I10" t="str">
        <f>HYPERLINK("http://pbs.twimg.com/media/Fkc1B6WWYAAk305.jpg", "http://pbs.twimg.com/media/Fkc1B6WWYAAk305.jpg")</f>
        <v>http://pbs.twimg.com/media/Fkc1B6WWYAAk305.jpg</v>
      </c>
      <c r="L10">
        <v>0</v>
      </c>
      <c r="M10">
        <v>0</v>
      </c>
      <c r="N10">
        <v>1</v>
      </c>
      <c r="O10">
        <v>0</v>
      </c>
    </row>
    <row r="11" spans="1:15" x14ac:dyDescent="0.2">
      <c r="A11" s="1" t="str">
        <f>HYPERLINK("http://www.twitter.com/banuakdenizli/status/1605549986229485570", "1605549986229485570")</f>
        <v>1605549986229485570</v>
      </c>
      <c r="B11" t="s">
        <v>15</v>
      </c>
      <c r="C11" s="2">
        <v>44916.545381944437</v>
      </c>
      <c r="D11">
        <v>0</v>
      </c>
      <c r="E11">
        <v>81</v>
      </c>
      <c r="F11" t="s">
        <v>18</v>
      </c>
      <c r="G11" t="s">
        <v>43</v>
      </c>
      <c r="H11" t="str">
        <f>HYPERLINK("http://pbs.twimg.com/media/FkekAn5WIAEwZWh.jpg", "http://pbs.twimg.com/media/FkekAn5WIAEwZWh.jpg")</f>
        <v>http://pbs.twimg.com/media/FkekAn5WIAEwZWh.jpg</v>
      </c>
      <c r="L11">
        <v>-0.68079999999999996</v>
      </c>
      <c r="M11">
        <v>0.248</v>
      </c>
      <c r="N11">
        <v>0.752</v>
      </c>
      <c r="O11">
        <v>0</v>
      </c>
    </row>
    <row r="12" spans="1:15" x14ac:dyDescent="0.2">
      <c r="A12" s="1" t="str">
        <f>HYPERLINK("http://www.twitter.com/banuakdenizli/status/1605549962367864832", "1605549962367864832")</f>
        <v>1605549962367864832</v>
      </c>
      <c r="B12" t="s">
        <v>15</v>
      </c>
      <c r="C12" s="2">
        <v>44916.545312499999</v>
      </c>
      <c r="D12">
        <v>0</v>
      </c>
      <c r="E12">
        <v>4</v>
      </c>
      <c r="F12" t="s">
        <v>17</v>
      </c>
      <c r="G12" t="s">
        <v>44</v>
      </c>
      <c r="H12" t="str">
        <f>HYPERLINK("http://pbs.twimg.com/media/FkfzaotVEAASvHZ.jpg", "http://pbs.twimg.com/media/FkfzaotVEAASvHZ.jpg")</f>
        <v>http://pbs.twimg.com/media/FkfzaotVEAASvHZ.jpg</v>
      </c>
      <c r="L12">
        <v>0</v>
      </c>
      <c r="M12">
        <v>0</v>
      </c>
      <c r="N12">
        <v>1</v>
      </c>
      <c r="O12">
        <v>0</v>
      </c>
    </row>
    <row r="13" spans="1:15" x14ac:dyDescent="0.2">
      <c r="A13" s="1" t="str">
        <f>HYPERLINK("http://www.twitter.com/banuakdenizli/status/1605545712531296256", "1605545712531296256")</f>
        <v>1605545712531296256</v>
      </c>
      <c r="B13" t="s">
        <v>15</v>
      </c>
      <c r="C13" s="2">
        <v>44916.533587962957</v>
      </c>
      <c r="D13">
        <v>0</v>
      </c>
      <c r="E13">
        <v>46</v>
      </c>
      <c r="F13" t="s">
        <v>23</v>
      </c>
      <c r="G13" t="s">
        <v>45</v>
      </c>
      <c r="H13" t="str">
        <f>HYPERLINK("http://pbs.twimg.com/media/FkfTMR_XgAEdOmk.jpg", "http://pbs.twimg.com/media/FkfTMR_XgAEdOmk.jpg")</f>
        <v>http://pbs.twimg.com/media/FkfTMR_XgAEdOmk.jpg</v>
      </c>
      <c r="I13" t="str">
        <f>HYPERLINK("http://pbs.twimg.com/media/FkfTMSnakAAPmpm.jpg", "http://pbs.twimg.com/media/FkfTMSnakAAPmpm.jpg")</f>
        <v>http://pbs.twimg.com/media/FkfTMSnakAAPmpm.jpg</v>
      </c>
      <c r="L13">
        <v>0</v>
      </c>
      <c r="M13">
        <v>0</v>
      </c>
      <c r="N13">
        <v>1</v>
      </c>
      <c r="O13">
        <v>0</v>
      </c>
    </row>
    <row r="14" spans="1:15" x14ac:dyDescent="0.2">
      <c r="A14" s="1" t="str">
        <f>HYPERLINK("http://www.twitter.com/banuakdenizli/status/1605545678352125953", "1605545678352125953")</f>
        <v>1605545678352125953</v>
      </c>
      <c r="B14" t="s">
        <v>15</v>
      </c>
      <c r="C14" s="2">
        <v>44916.533483796287</v>
      </c>
      <c r="D14">
        <v>0</v>
      </c>
      <c r="E14">
        <v>16</v>
      </c>
      <c r="F14" t="s">
        <v>16</v>
      </c>
      <c r="G14" t="s">
        <v>46</v>
      </c>
      <c r="H14" t="str">
        <f>HYPERLINK("http://pbs.twimg.com/media/Fkev0-rWAAIdoJ9.jpg", "http://pbs.twimg.com/media/Fkev0-rWAAIdoJ9.jpg")</f>
        <v>http://pbs.twimg.com/media/Fkev0-rWAAIdoJ9.jpg</v>
      </c>
      <c r="L14">
        <v>0</v>
      </c>
      <c r="M14">
        <v>0</v>
      </c>
      <c r="N14">
        <v>1</v>
      </c>
      <c r="O14">
        <v>0</v>
      </c>
    </row>
    <row r="15" spans="1:15" x14ac:dyDescent="0.2">
      <c r="A15" s="1" t="str">
        <f>HYPERLINK("http://www.twitter.com/banuakdenizli/status/1605545531022790657", "1605545531022790657")</f>
        <v>1605545531022790657</v>
      </c>
      <c r="B15" t="s">
        <v>15</v>
      </c>
      <c r="C15" s="2">
        <v>44916.533078703702</v>
      </c>
      <c r="D15">
        <v>0</v>
      </c>
      <c r="E15">
        <v>49</v>
      </c>
      <c r="F15" t="s">
        <v>20</v>
      </c>
      <c r="G15" t="s">
        <v>47</v>
      </c>
      <c r="H15" t="str">
        <f>HYPERLINK("http://pbs.twimg.com/media/FkcZ-rtXoAIOYLx.jpg", "http://pbs.twimg.com/media/FkcZ-rtXoAIOYLx.jpg")</f>
        <v>http://pbs.twimg.com/media/FkcZ-rtXoAIOYLx.jpg</v>
      </c>
      <c r="L15">
        <v>-0.67049999999999998</v>
      </c>
      <c r="M15">
        <v>0.18</v>
      </c>
      <c r="N15">
        <v>0.755</v>
      </c>
      <c r="O15">
        <v>6.5000000000000002E-2</v>
      </c>
    </row>
    <row r="16" spans="1:15" x14ac:dyDescent="0.2">
      <c r="A16" s="1" t="str">
        <f>HYPERLINK("http://www.twitter.com/banuakdenizli/status/1605545484927479814", "1605545484927479814")</f>
        <v>1605545484927479814</v>
      </c>
      <c r="B16" t="s">
        <v>15</v>
      </c>
      <c r="C16" s="2">
        <v>44916.532951388886</v>
      </c>
      <c r="D16">
        <v>0</v>
      </c>
      <c r="E16">
        <v>80</v>
      </c>
      <c r="F16" t="s">
        <v>20</v>
      </c>
      <c r="G16" t="s">
        <v>48</v>
      </c>
      <c r="H16" t="str">
        <f>HYPERLINK("http://pbs.twimg.com/media/FkcZj4lX0A8bJXP.jpg", "http://pbs.twimg.com/media/FkcZj4lX0A8bJXP.jpg")</f>
        <v>http://pbs.twimg.com/media/FkcZj4lX0A8bJXP.jpg</v>
      </c>
      <c r="L16">
        <v>0</v>
      </c>
      <c r="M16">
        <v>0</v>
      </c>
      <c r="N16">
        <v>1</v>
      </c>
      <c r="O16">
        <v>0</v>
      </c>
    </row>
    <row r="17" spans="1:15" x14ac:dyDescent="0.2">
      <c r="A17" s="1" t="str">
        <f>HYPERLINK("http://www.twitter.com/banuakdenizli/status/1604876801951510531", "1604876801951510531")</f>
        <v>1604876801951510531</v>
      </c>
      <c r="B17" t="s">
        <v>15</v>
      </c>
      <c r="C17" s="2">
        <v>44914.687743055547</v>
      </c>
      <c r="D17">
        <v>0</v>
      </c>
      <c r="E17">
        <v>0</v>
      </c>
      <c r="G17" t="s">
        <v>49</v>
      </c>
      <c r="L17">
        <v>0</v>
      </c>
      <c r="M17">
        <v>0</v>
      </c>
      <c r="N17">
        <v>1</v>
      </c>
      <c r="O17">
        <v>0</v>
      </c>
    </row>
    <row r="18" spans="1:15" x14ac:dyDescent="0.2">
      <c r="A18" s="1" t="str">
        <f>HYPERLINK("http://www.twitter.com/banuakdenizli/status/1604870273580339202", "1604870273580339202")</f>
        <v>1604870273580339202</v>
      </c>
      <c r="B18" t="s">
        <v>15</v>
      </c>
      <c r="C18" s="2">
        <v>44914.669722222221</v>
      </c>
      <c r="D18">
        <v>0</v>
      </c>
      <c r="E18">
        <v>1</v>
      </c>
      <c r="G18" t="s">
        <v>50</v>
      </c>
      <c r="H18" t="str">
        <f>HYPERLINK("http://pbs.twimg.com/media/FkWfA6LWIAEbNIT.jpg", "http://pbs.twimg.com/media/FkWfA6LWIAEbNIT.jpg")</f>
        <v>http://pbs.twimg.com/media/FkWfA6LWIAEbNIT.jpg</v>
      </c>
      <c r="I18" t="str">
        <f>HYPERLINK("http://pbs.twimg.com/media/FkWfHW6XwAA0Fdq.jpg", "http://pbs.twimg.com/media/FkWfHW6XwAA0Fdq.jpg")</f>
        <v>http://pbs.twimg.com/media/FkWfHW6XwAA0Fdq.jpg</v>
      </c>
      <c r="L18">
        <v>0</v>
      </c>
      <c r="M18">
        <v>0</v>
      </c>
      <c r="N18">
        <v>1</v>
      </c>
      <c r="O18">
        <v>0</v>
      </c>
    </row>
    <row r="19" spans="1:15" x14ac:dyDescent="0.2">
      <c r="A19" s="1" t="str">
        <f>HYPERLINK("http://www.twitter.com/banuakdenizli/status/1604857862844346368", "1604857862844346368")</f>
        <v>1604857862844346368</v>
      </c>
      <c r="B19" t="s">
        <v>15</v>
      </c>
      <c r="C19" s="2">
        <v>44914.635474537034</v>
      </c>
      <c r="D19">
        <v>0</v>
      </c>
      <c r="E19">
        <v>5</v>
      </c>
      <c r="F19" t="s">
        <v>17</v>
      </c>
      <c r="G19" t="s">
        <v>51</v>
      </c>
      <c r="H19" t="str">
        <f>HYPERLINK("http://pbs.twimg.com/media/FkPimUrWYAI1mkv.jpg", "http://pbs.twimg.com/media/FkPimUrWYAI1mkv.jpg")</f>
        <v>http://pbs.twimg.com/media/FkPimUrWYAI1mkv.jpg</v>
      </c>
      <c r="L19">
        <v>0</v>
      </c>
      <c r="M19">
        <v>0</v>
      </c>
      <c r="N19">
        <v>1</v>
      </c>
      <c r="O19">
        <v>0</v>
      </c>
    </row>
    <row r="20" spans="1:15" x14ac:dyDescent="0.2">
      <c r="A20" s="1" t="str">
        <f>HYPERLINK("http://www.twitter.com/banuakdenizli/status/1604857853537562625", "1604857853537562625")</f>
        <v>1604857853537562625</v>
      </c>
      <c r="B20" t="s">
        <v>15</v>
      </c>
      <c r="C20" s="2">
        <v>44914.635451388887</v>
      </c>
      <c r="D20">
        <v>0</v>
      </c>
      <c r="E20">
        <v>3</v>
      </c>
      <c r="F20" t="s">
        <v>17</v>
      </c>
      <c r="G20" t="s">
        <v>52</v>
      </c>
      <c r="H20" t="str">
        <f>HYPERLINK("http://pbs.twimg.com/media/FkP61RoWQAEtSmw.jpg", "http://pbs.twimg.com/media/FkP61RoWQAEtSmw.jpg")</f>
        <v>http://pbs.twimg.com/media/FkP61RoWQAEtSmw.jpg</v>
      </c>
      <c r="L20">
        <v>0</v>
      </c>
      <c r="M20">
        <v>0</v>
      </c>
      <c r="N20">
        <v>1</v>
      </c>
      <c r="O20">
        <v>0</v>
      </c>
    </row>
    <row r="21" spans="1:15" x14ac:dyDescent="0.2">
      <c r="A21" s="1" t="str">
        <f>HYPERLINK("http://www.twitter.com/banuakdenizli/status/1604857644942241792", "1604857644942241792")</f>
        <v>1604857644942241792</v>
      </c>
      <c r="B21" t="s">
        <v>15</v>
      </c>
      <c r="C21" s="2">
        <v>44914.634884259263</v>
      </c>
      <c r="D21">
        <v>0</v>
      </c>
      <c r="E21">
        <v>5</v>
      </c>
      <c r="F21" t="s">
        <v>17</v>
      </c>
      <c r="G21" t="s">
        <v>53</v>
      </c>
      <c r="H21" t="str">
        <f>HYPERLINK("https://video.twimg.com/ext_tw_video/1604764640394809344/pu/vid/1280x720/A-4ViCyM091hPxDx.mp4?tag=12", "https://video.twimg.com/ext_tw_video/1604764640394809344/pu/vid/1280x720/A-4ViCyM091hPxDx.mp4?tag=12")</f>
        <v>https://video.twimg.com/ext_tw_video/1604764640394809344/pu/vid/1280x720/A-4ViCyM091hPxDx.mp4?tag=12</v>
      </c>
      <c r="L21">
        <v>0.34</v>
      </c>
      <c r="M21">
        <v>0</v>
      </c>
      <c r="N21">
        <v>0.93400000000000005</v>
      </c>
      <c r="O21">
        <v>6.6000000000000003E-2</v>
      </c>
    </row>
    <row r="22" spans="1:15" x14ac:dyDescent="0.2">
      <c r="A22" s="1" t="str">
        <f>HYPERLINK("http://www.twitter.com/banuakdenizli/status/1604857637878874113", "1604857637878874113")</f>
        <v>1604857637878874113</v>
      </c>
      <c r="B22" t="s">
        <v>15</v>
      </c>
      <c r="C22" s="2">
        <v>44914.63486111111</v>
      </c>
      <c r="D22">
        <v>0</v>
      </c>
      <c r="E22">
        <v>5</v>
      </c>
      <c r="F22" t="s">
        <v>17</v>
      </c>
      <c r="G22" t="s">
        <v>54</v>
      </c>
      <c r="H22" t="str">
        <f>HYPERLINK("https://video.twimg.com/ext_tw_video/1604764994322694145/pu/vid/1280x720/-WKHkUaiZ-qbX16b.mp4?tag=12", "https://video.twimg.com/ext_tw_video/1604764994322694145/pu/vid/1280x720/-WKHkUaiZ-qbX16b.mp4?tag=12")</f>
        <v>https://video.twimg.com/ext_tw_video/1604764994322694145/pu/vid/1280x720/-WKHkUaiZ-qbX16b.mp4?tag=12</v>
      </c>
      <c r="L22">
        <v>0</v>
      </c>
      <c r="M22">
        <v>0</v>
      </c>
      <c r="N22">
        <v>1</v>
      </c>
      <c r="O22">
        <v>0</v>
      </c>
    </row>
    <row r="23" spans="1:15" x14ac:dyDescent="0.2">
      <c r="A23" s="1" t="str">
        <f>HYPERLINK("http://www.twitter.com/banuakdenizli/status/1604857560674480129", "1604857560674480129")</f>
        <v>1604857560674480129</v>
      </c>
      <c r="B23" t="s">
        <v>15</v>
      </c>
      <c r="C23" s="2">
        <v>44914.634641203702</v>
      </c>
      <c r="D23">
        <v>0</v>
      </c>
      <c r="E23">
        <v>5</v>
      </c>
      <c r="F23" t="s">
        <v>17</v>
      </c>
      <c r="G23" t="s">
        <v>55</v>
      </c>
      <c r="H23" t="str">
        <f>HYPERLINK("https://video.twimg.com/ext_tw_video/1604765193690664960/pu/vid/1280x720/PHBBBRSSpceUVQYU.mp4?tag=12", "https://video.twimg.com/ext_tw_video/1604765193690664960/pu/vid/1280x720/PHBBBRSSpceUVQYU.mp4?tag=12")</f>
        <v>https://video.twimg.com/ext_tw_video/1604765193690664960/pu/vid/1280x720/PHBBBRSSpceUVQYU.mp4?tag=12</v>
      </c>
      <c r="L23">
        <v>-0.29599999999999999</v>
      </c>
      <c r="M23">
        <v>6.2E-2</v>
      </c>
      <c r="N23">
        <v>0.93700000000000006</v>
      </c>
      <c r="O23">
        <v>0</v>
      </c>
    </row>
    <row r="24" spans="1:15" x14ac:dyDescent="0.2">
      <c r="A24" s="1" t="str">
        <f>HYPERLINK("http://www.twitter.com/banuakdenizli/status/1604857552277106688", "1604857552277106688")</f>
        <v>1604857552277106688</v>
      </c>
      <c r="B24" t="s">
        <v>15</v>
      </c>
      <c r="C24" s="2">
        <v>44914.634618055563</v>
      </c>
      <c r="D24">
        <v>0</v>
      </c>
      <c r="E24">
        <v>3</v>
      </c>
      <c r="F24" t="s">
        <v>17</v>
      </c>
      <c r="G24" t="s">
        <v>56</v>
      </c>
      <c r="H24" t="str">
        <f>HYPERLINK("http://pbs.twimg.com/media/FkVhEPoXoAEF7WH.jpg", "http://pbs.twimg.com/media/FkVhEPoXoAEF7WH.jpg")</f>
        <v>http://pbs.twimg.com/media/FkVhEPoXoAEF7WH.jpg</v>
      </c>
      <c r="L24">
        <v>0</v>
      </c>
      <c r="M24">
        <v>0</v>
      </c>
      <c r="N24">
        <v>1</v>
      </c>
      <c r="O24">
        <v>0</v>
      </c>
    </row>
    <row r="25" spans="1:15" x14ac:dyDescent="0.2">
      <c r="A25" s="1" t="str">
        <f>HYPERLINK("http://www.twitter.com/banuakdenizli/status/1604857479665537026", "1604857479665537026")</f>
        <v>1604857479665537026</v>
      </c>
      <c r="B25" t="s">
        <v>15</v>
      </c>
      <c r="C25" s="2">
        <v>44914.634421296287</v>
      </c>
      <c r="D25">
        <v>0</v>
      </c>
      <c r="E25">
        <v>48</v>
      </c>
      <c r="F25" t="s">
        <v>23</v>
      </c>
      <c r="G25" t="s">
        <v>57</v>
      </c>
      <c r="L25">
        <v>0</v>
      </c>
      <c r="M25">
        <v>0</v>
      </c>
      <c r="N25">
        <v>1</v>
      </c>
      <c r="O25">
        <v>0</v>
      </c>
    </row>
    <row r="26" spans="1:15" x14ac:dyDescent="0.2">
      <c r="A26" s="1" t="str">
        <f>HYPERLINK("http://www.twitter.com/banuakdenizli/status/1604857469884256258", "1604857469884256258")</f>
        <v>1604857469884256258</v>
      </c>
      <c r="B26" t="s">
        <v>15</v>
      </c>
      <c r="C26" s="2">
        <v>44914.634398148148</v>
      </c>
      <c r="D26">
        <v>0</v>
      </c>
      <c r="E26">
        <v>79</v>
      </c>
      <c r="F26" t="s">
        <v>23</v>
      </c>
      <c r="G26" t="s">
        <v>58</v>
      </c>
      <c r="H26" t="str">
        <f>HYPERLINK("http://pbs.twimg.com/media/FkMYqBvX0AAjbh6.jpg", "http://pbs.twimg.com/media/FkMYqBvX0AAjbh6.jpg")</f>
        <v>http://pbs.twimg.com/media/FkMYqBvX0AAjbh6.jpg</v>
      </c>
      <c r="I26" t="str">
        <f>HYPERLINK("http://pbs.twimg.com/media/FkMYqB4XgAEPTtm.jpg", "http://pbs.twimg.com/media/FkMYqB4XgAEPTtm.jpg")</f>
        <v>http://pbs.twimg.com/media/FkMYqB4XgAEPTtm.jpg</v>
      </c>
      <c r="J26" t="str">
        <f>HYPERLINK("http://pbs.twimg.com/media/FkMYqB1WYAAcou3.jpg", "http://pbs.twimg.com/media/FkMYqB1WYAAcou3.jpg")</f>
        <v>http://pbs.twimg.com/media/FkMYqB1WYAAcou3.jpg</v>
      </c>
      <c r="K26" t="str">
        <f>HYPERLINK("http://pbs.twimg.com/media/FkMYqBvXEAAg0f-.jpg", "http://pbs.twimg.com/media/FkMYqBvXEAAg0f-.jpg")</f>
        <v>http://pbs.twimg.com/media/FkMYqBvXEAAg0f-.jpg</v>
      </c>
      <c r="L26">
        <v>0</v>
      </c>
      <c r="M26">
        <v>0</v>
      </c>
      <c r="N26">
        <v>1</v>
      </c>
      <c r="O26">
        <v>0</v>
      </c>
    </row>
    <row r="27" spans="1:15" x14ac:dyDescent="0.2">
      <c r="A27" s="1" t="str">
        <f>HYPERLINK("http://www.twitter.com/banuakdenizli/status/1604857462351310849", "1604857462351310849")</f>
        <v>1604857462351310849</v>
      </c>
      <c r="B27" t="s">
        <v>15</v>
      </c>
      <c r="C27" s="2">
        <v>44914.634375000001</v>
      </c>
      <c r="D27">
        <v>0</v>
      </c>
      <c r="E27">
        <v>10</v>
      </c>
      <c r="F27" t="s">
        <v>16</v>
      </c>
      <c r="G27" t="s">
        <v>59</v>
      </c>
      <c r="H27" t="str">
        <f>HYPERLINK("http://pbs.twimg.com/media/FkPhYsRXoAE0xCl.jpg", "http://pbs.twimg.com/media/FkPhYsRXoAE0xCl.jpg")</f>
        <v>http://pbs.twimg.com/media/FkPhYsRXoAE0xCl.jpg</v>
      </c>
      <c r="L27">
        <v>0</v>
      </c>
      <c r="M27">
        <v>0</v>
      </c>
      <c r="N27">
        <v>1</v>
      </c>
      <c r="O27">
        <v>0</v>
      </c>
    </row>
    <row r="28" spans="1:15" x14ac:dyDescent="0.2">
      <c r="A28" s="1" t="str">
        <f>HYPERLINK("http://www.twitter.com/banuakdenizli/status/1604857412032163840", "1604857412032163840")</f>
        <v>1604857412032163840</v>
      </c>
      <c r="B28" t="s">
        <v>15</v>
      </c>
      <c r="C28" s="2">
        <v>44914.634236111109</v>
      </c>
      <c r="D28">
        <v>0</v>
      </c>
      <c r="E28">
        <v>9886</v>
      </c>
      <c r="F28" t="s">
        <v>22</v>
      </c>
      <c r="G28" t="s">
        <v>60</v>
      </c>
      <c r="L28">
        <v>0</v>
      </c>
      <c r="M28">
        <v>0</v>
      </c>
      <c r="N28">
        <v>1</v>
      </c>
      <c r="O28">
        <v>0</v>
      </c>
    </row>
    <row r="29" spans="1:15" x14ac:dyDescent="0.2">
      <c r="A29" s="1" t="str">
        <f>HYPERLINK("http://www.twitter.com/banuakdenizli/status/1604857402112843777", "1604857402112843777")</f>
        <v>1604857402112843777</v>
      </c>
      <c r="B29" t="s">
        <v>15</v>
      </c>
      <c r="C29" s="2">
        <v>44914.634212962963</v>
      </c>
      <c r="D29">
        <v>0</v>
      </c>
      <c r="E29">
        <v>115</v>
      </c>
      <c r="F29" t="s">
        <v>20</v>
      </c>
      <c r="G29" t="s">
        <v>61</v>
      </c>
      <c r="H29" t="str">
        <f>HYPERLINK("http://pbs.twimg.com/media/FkPvIymXkAECcIE.jpg", "http://pbs.twimg.com/media/FkPvIymXkAECcIE.jpg")</f>
        <v>http://pbs.twimg.com/media/FkPvIymXkAECcIE.jpg</v>
      </c>
      <c r="L29">
        <v>0</v>
      </c>
      <c r="M29">
        <v>0</v>
      </c>
      <c r="N29">
        <v>1</v>
      </c>
      <c r="O29">
        <v>0</v>
      </c>
    </row>
    <row r="30" spans="1:15" x14ac:dyDescent="0.2">
      <c r="A30" s="1" t="str">
        <f>HYPERLINK("http://www.twitter.com/banuakdenizli/status/1604857395557064707", "1604857395557064707")</f>
        <v>1604857395557064707</v>
      </c>
      <c r="B30" t="s">
        <v>15</v>
      </c>
      <c r="C30" s="2">
        <v>44914.634189814817</v>
      </c>
      <c r="D30">
        <v>0</v>
      </c>
      <c r="E30">
        <v>13</v>
      </c>
      <c r="F30" t="s">
        <v>19</v>
      </c>
      <c r="G30" t="s">
        <v>62</v>
      </c>
      <c r="H30" t="str">
        <f>HYPERLINK("http://pbs.twimg.com/media/FkP1kQoWAAEfSM2.jpg", "http://pbs.twimg.com/media/FkP1kQoWAAEfSM2.jpg")</f>
        <v>http://pbs.twimg.com/media/FkP1kQoWAAEfSM2.jpg</v>
      </c>
      <c r="L30">
        <v>0</v>
      </c>
      <c r="M30">
        <v>0</v>
      </c>
      <c r="N30">
        <v>1</v>
      </c>
      <c r="O30">
        <v>0</v>
      </c>
    </row>
    <row r="31" spans="1:15" x14ac:dyDescent="0.2">
      <c r="A31" s="1" t="str">
        <f>HYPERLINK("http://www.twitter.com/banuakdenizli/status/1604857387105497088", "1604857387105497088")</f>
        <v>1604857387105497088</v>
      </c>
      <c r="B31" t="s">
        <v>15</v>
      </c>
      <c r="C31" s="2">
        <v>44914.634166666663</v>
      </c>
      <c r="D31">
        <v>0</v>
      </c>
      <c r="E31">
        <v>21</v>
      </c>
      <c r="F31" t="s">
        <v>21</v>
      </c>
      <c r="G31" t="s">
        <v>63</v>
      </c>
      <c r="H31" t="str">
        <f>HYPERLINK("http://pbs.twimg.com/media/FkPxkUpWYAA4ZOB.jpg", "http://pbs.twimg.com/media/FkPxkUpWYAA4ZOB.jpg")</f>
        <v>http://pbs.twimg.com/media/FkPxkUpWYAA4ZOB.jpg</v>
      </c>
      <c r="I31" t="str">
        <f>HYPERLINK("http://pbs.twimg.com/media/FkPxkUuX0AEquxD.jpg", "http://pbs.twimg.com/media/FkPxkUuX0AEquxD.jpg")</f>
        <v>http://pbs.twimg.com/media/FkPxkUuX0AEquxD.jpg</v>
      </c>
      <c r="L31">
        <v>0</v>
      </c>
      <c r="M31">
        <v>0</v>
      </c>
      <c r="N31">
        <v>1</v>
      </c>
      <c r="O31">
        <v>0</v>
      </c>
    </row>
    <row r="32" spans="1:15" x14ac:dyDescent="0.2">
      <c r="A32" s="1" t="str">
        <f>HYPERLINK("http://www.twitter.com/banuakdenizli/status/1604857381015412738", "1604857381015412738")</f>
        <v>1604857381015412738</v>
      </c>
      <c r="B32" t="s">
        <v>15</v>
      </c>
      <c r="C32" s="2">
        <v>44914.634155092594</v>
      </c>
      <c r="D32">
        <v>0</v>
      </c>
      <c r="E32">
        <v>21</v>
      </c>
      <c r="F32" t="s">
        <v>16</v>
      </c>
      <c r="G32" t="s">
        <v>64</v>
      </c>
      <c r="H32" t="str">
        <f>HYPERLINK("http://pbs.twimg.com/media/FkP5vapXgAIzE22.jpg", "http://pbs.twimg.com/media/FkP5vapXgAIzE22.jpg")</f>
        <v>http://pbs.twimg.com/media/FkP5vapXgAIzE22.jpg</v>
      </c>
      <c r="L32">
        <v>0</v>
      </c>
      <c r="M32">
        <v>0</v>
      </c>
      <c r="N32">
        <v>1</v>
      </c>
      <c r="O32">
        <v>0</v>
      </c>
    </row>
    <row r="33" spans="1:15" x14ac:dyDescent="0.2">
      <c r="A33" s="1" t="str">
        <f>HYPERLINK("http://www.twitter.com/banuakdenizli/status/1604857102513700864", "1604857102513700864")</f>
        <v>1604857102513700864</v>
      </c>
      <c r="B33" t="s">
        <v>15</v>
      </c>
      <c r="C33" s="2">
        <v>44914.633379629631</v>
      </c>
      <c r="D33">
        <v>0</v>
      </c>
      <c r="E33">
        <v>5</v>
      </c>
      <c r="F33" t="s">
        <v>65</v>
      </c>
      <c r="G33" t="s">
        <v>66</v>
      </c>
      <c r="H33" t="str">
        <f>HYPERLINK("https://video.twimg.com/ext_tw_video/1604124983160360960/pu/vid/1280x720/kWXUn3O_jtD9OAsh.mp4?tag=12", "https://video.twimg.com/ext_tw_video/1604124983160360960/pu/vid/1280x720/kWXUn3O_jtD9OAsh.mp4?tag=12")</f>
        <v>https://video.twimg.com/ext_tw_video/1604124983160360960/pu/vid/1280x720/kWXUn3O_jtD9OAsh.mp4?tag=12</v>
      </c>
      <c r="L33">
        <v>0</v>
      </c>
      <c r="M33">
        <v>0</v>
      </c>
      <c r="N33">
        <v>1</v>
      </c>
      <c r="O33">
        <v>0</v>
      </c>
    </row>
    <row r="34" spans="1:15" x14ac:dyDescent="0.2">
      <c r="A34" s="1" t="str">
        <f>HYPERLINK("http://www.twitter.com/banuakdenizli/status/1604856699340394501", "1604856699340394501")</f>
        <v>1604856699340394501</v>
      </c>
      <c r="B34" t="s">
        <v>15</v>
      </c>
      <c r="C34" s="2">
        <v>44914.632268518522</v>
      </c>
      <c r="D34">
        <v>0</v>
      </c>
      <c r="E34">
        <v>75</v>
      </c>
      <c r="F34" t="s">
        <v>23</v>
      </c>
      <c r="G34" t="s">
        <v>67</v>
      </c>
      <c r="H34" t="str">
        <f>HYPERLINK("http://pbs.twimg.com/media/FkRm6IMXgAEjNBH.jpg", "http://pbs.twimg.com/media/FkRm6IMXgAEjNBH.jpg")</f>
        <v>http://pbs.twimg.com/media/FkRm6IMXgAEjNBH.jpg</v>
      </c>
      <c r="I34" t="str">
        <f>HYPERLINK("http://pbs.twimg.com/media/FkRm6KjXoAAjSD1.jpg", "http://pbs.twimg.com/media/FkRm6KjXoAAjSD1.jpg")</f>
        <v>http://pbs.twimg.com/media/FkRm6KjXoAAjSD1.jpg</v>
      </c>
      <c r="L34">
        <v>0</v>
      </c>
      <c r="M34">
        <v>0</v>
      </c>
      <c r="N34">
        <v>1</v>
      </c>
      <c r="O34">
        <v>0</v>
      </c>
    </row>
    <row r="35" spans="1:15" x14ac:dyDescent="0.2">
      <c r="A35" s="1" t="str">
        <f>HYPERLINK("http://www.twitter.com/banuakdenizli/status/1604856652469096450", "1604856652469096450")</f>
        <v>1604856652469096450</v>
      </c>
      <c r="B35" t="s">
        <v>15</v>
      </c>
      <c r="C35" s="2">
        <v>44914.632141203707</v>
      </c>
      <c r="D35">
        <v>0</v>
      </c>
      <c r="E35">
        <v>39523</v>
      </c>
      <c r="F35" t="s">
        <v>22</v>
      </c>
      <c r="G35" t="s">
        <v>68</v>
      </c>
      <c r="L35">
        <v>0</v>
      </c>
      <c r="M35">
        <v>0</v>
      </c>
      <c r="N35">
        <v>1</v>
      </c>
      <c r="O35">
        <v>0</v>
      </c>
    </row>
    <row r="36" spans="1:15" x14ac:dyDescent="0.2">
      <c r="A36" s="1" t="str">
        <f>HYPERLINK("http://www.twitter.com/banuakdenizli/status/1604856645456207877", "1604856645456207877")</f>
        <v>1604856645456207877</v>
      </c>
      <c r="B36" t="s">
        <v>15</v>
      </c>
      <c r="C36" s="2">
        <v>44914.632118055553</v>
      </c>
      <c r="D36">
        <v>0</v>
      </c>
      <c r="E36">
        <v>16211</v>
      </c>
      <c r="F36" t="s">
        <v>22</v>
      </c>
      <c r="G36" t="s">
        <v>69</v>
      </c>
      <c r="L36">
        <v>0</v>
      </c>
      <c r="M36">
        <v>0</v>
      </c>
      <c r="N36">
        <v>1</v>
      </c>
      <c r="O36">
        <v>0</v>
      </c>
    </row>
    <row r="37" spans="1:15" x14ac:dyDescent="0.2">
      <c r="A37" s="1" t="str">
        <f>HYPERLINK("http://www.twitter.com/banuakdenizli/status/1604856640305762306", "1604856640305762306")</f>
        <v>1604856640305762306</v>
      </c>
      <c r="B37" t="s">
        <v>15</v>
      </c>
      <c r="C37" s="2">
        <v>44914.632106481477</v>
      </c>
      <c r="D37">
        <v>0</v>
      </c>
      <c r="E37">
        <v>231</v>
      </c>
      <c r="F37" t="s">
        <v>20</v>
      </c>
      <c r="G37" t="s">
        <v>70</v>
      </c>
      <c r="L37">
        <v>0</v>
      </c>
      <c r="M37">
        <v>0</v>
      </c>
      <c r="N37">
        <v>1</v>
      </c>
      <c r="O37">
        <v>0</v>
      </c>
    </row>
    <row r="38" spans="1:15" x14ac:dyDescent="0.2">
      <c r="A38" s="1" t="str">
        <f>HYPERLINK("http://www.twitter.com/banuakdenizli/status/1604856631409377281", "1604856631409377281")</f>
        <v>1604856631409377281</v>
      </c>
      <c r="B38" t="s">
        <v>15</v>
      </c>
      <c r="C38" s="2">
        <v>44914.63208333333</v>
      </c>
      <c r="D38">
        <v>0</v>
      </c>
      <c r="E38">
        <v>35</v>
      </c>
      <c r="F38" t="s">
        <v>23</v>
      </c>
      <c r="G38" t="s">
        <v>71</v>
      </c>
      <c r="L38">
        <v>0</v>
      </c>
      <c r="M38">
        <v>0</v>
      </c>
      <c r="N38">
        <v>1</v>
      </c>
      <c r="O38">
        <v>0</v>
      </c>
    </row>
    <row r="39" spans="1:15" x14ac:dyDescent="0.2">
      <c r="A39" s="1" t="str">
        <f>HYPERLINK("http://www.twitter.com/banuakdenizli/status/1604856620319744000", "1604856620319744000")</f>
        <v>1604856620319744000</v>
      </c>
      <c r="B39" t="s">
        <v>15</v>
      </c>
      <c r="C39" s="2">
        <v>44914.632048611107</v>
      </c>
      <c r="D39">
        <v>0</v>
      </c>
      <c r="E39">
        <v>36</v>
      </c>
      <c r="F39" t="s">
        <v>21</v>
      </c>
      <c r="G39" t="s">
        <v>72</v>
      </c>
      <c r="H39" t="str">
        <f>HYPERLINK("http://pbs.twimg.com/media/FkVFPcHWQAAOZ2x.jpg", "http://pbs.twimg.com/media/FkVFPcHWQAAOZ2x.jpg")</f>
        <v>http://pbs.twimg.com/media/FkVFPcHWQAAOZ2x.jpg</v>
      </c>
      <c r="L39">
        <v>0</v>
      </c>
      <c r="M39">
        <v>0</v>
      </c>
      <c r="N39">
        <v>1</v>
      </c>
      <c r="O39">
        <v>0</v>
      </c>
    </row>
    <row r="40" spans="1:15" x14ac:dyDescent="0.2">
      <c r="A40" s="1" t="str">
        <f>HYPERLINK("http://www.twitter.com/banuakdenizli/status/1603953137164746752", "1603953137164746752")</f>
        <v>1603953137164746752</v>
      </c>
      <c r="B40" t="s">
        <v>15</v>
      </c>
      <c r="C40" s="2">
        <v>44912.138912037037</v>
      </c>
      <c r="D40">
        <v>2</v>
      </c>
      <c r="E40">
        <v>0</v>
      </c>
      <c r="G40" t="s">
        <v>73</v>
      </c>
      <c r="H40" t="str">
        <f>HYPERLINK("http://pbs.twimg.com/media/FkJi1k7WYAAfzXA.jpg", "http://pbs.twimg.com/media/FkJi1k7WYAAfzXA.jpg")</f>
        <v>http://pbs.twimg.com/media/FkJi1k7WYAAfzXA.jpg</v>
      </c>
      <c r="I40" t="str">
        <f>HYPERLINK("http://pbs.twimg.com/media/FkJi2RVWIAAhHGr.jpg", "http://pbs.twimg.com/media/FkJi2RVWIAAhHGr.jpg")</f>
        <v>http://pbs.twimg.com/media/FkJi2RVWIAAhHGr.jpg</v>
      </c>
      <c r="J40" t="str">
        <f>HYPERLINK("http://pbs.twimg.com/media/FkJi3CiXkAI__xl.jpg", "http://pbs.twimg.com/media/FkJi3CiXkAI__xl.jpg")</f>
        <v>http://pbs.twimg.com/media/FkJi3CiXkAI__xl.jpg</v>
      </c>
      <c r="K40" t="str">
        <f>HYPERLINK("http://pbs.twimg.com/media/FkJi4HrXgAImQtv.jpg", "http://pbs.twimg.com/media/FkJi4HrXgAImQtv.jpg")</f>
        <v>http://pbs.twimg.com/media/FkJi4HrXgAImQtv.jpg</v>
      </c>
      <c r="L40">
        <v>0</v>
      </c>
      <c r="M40">
        <v>0</v>
      </c>
      <c r="N40">
        <v>1</v>
      </c>
      <c r="O40">
        <v>0</v>
      </c>
    </row>
    <row r="41" spans="1:15" x14ac:dyDescent="0.2">
      <c r="A41" s="1" t="str">
        <f>HYPERLINK("http://www.twitter.com/banuakdenizli/status/1603951267117780993", "1603951267117780993")</f>
        <v>1603951267117780993</v>
      </c>
      <c r="B41" t="s">
        <v>15</v>
      </c>
      <c r="C41" s="2">
        <v>44912.133750000001</v>
      </c>
      <c r="D41">
        <v>2</v>
      </c>
      <c r="E41">
        <v>0</v>
      </c>
      <c r="G41" t="s">
        <v>74</v>
      </c>
      <c r="H41" t="str">
        <f>HYPERLINK("http://pbs.twimg.com/media/FkJhJWdXkAEVstB.jpg", "http://pbs.twimg.com/media/FkJhJWdXkAEVstB.jpg")</f>
        <v>http://pbs.twimg.com/media/FkJhJWdXkAEVstB.jpg</v>
      </c>
      <c r="I41" t="str">
        <f>HYPERLINK("http://pbs.twimg.com/media/FkJhKCAXgAAKMJR.jpg", "http://pbs.twimg.com/media/FkJhKCAXgAAKMJR.jpg")</f>
        <v>http://pbs.twimg.com/media/FkJhKCAXgAAKMJR.jpg</v>
      </c>
      <c r="J41" t="str">
        <f>HYPERLINK("http://pbs.twimg.com/media/FkJhKp5WQAIyHLY.jpg", "http://pbs.twimg.com/media/FkJhKp5WQAIyHLY.jpg")</f>
        <v>http://pbs.twimg.com/media/FkJhKp5WQAIyHLY.jpg</v>
      </c>
      <c r="K41" t="str">
        <f>HYPERLINK("http://pbs.twimg.com/media/FkJhLTbX0AA_1Eo.jpg", "http://pbs.twimg.com/media/FkJhLTbX0AA_1Eo.jpg")</f>
        <v>http://pbs.twimg.com/media/FkJhLTbX0AA_1Eo.jpg</v>
      </c>
      <c r="L41">
        <v>0</v>
      </c>
      <c r="M41">
        <v>0</v>
      </c>
      <c r="N41">
        <v>1</v>
      </c>
      <c r="O41">
        <v>0</v>
      </c>
    </row>
    <row r="42" spans="1:15" x14ac:dyDescent="0.2">
      <c r="A42" s="1" t="str">
        <f>HYPERLINK("http://www.twitter.com/banuakdenizli/status/1603947867491778561", "1603947867491778561")</f>
        <v>1603947867491778561</v>
      </c>
      <c r="B42" t="s">
        <v>15</v>
      </c>
      <c r="C42" s="2">
        <v>44912.124374999999</v>
      </c>
      <c r="D42">
        <v>1</v>
      </c>
      <c r="E42">
        <v>0</v>
      </c>
      <c r="G42" t="s">
        <v>75</v>
      </c>
      <c r="H42" t="str">
        <f>HYPERLINK("http://pbs.twimg.com/media/FkJeEiyXgAIZND6.jpg", "http://pbs.twimg.com/media/FkJeEiyXgAIZND6.jpg")</f>
        <v>http://pbs.twimg.com/media/FkJeEiyXgAIZND6.jpg</v>
      </c>
      <c r="I42" t="str">
        <f>HYPERLINK("http://pbs.twimg.com/media/FkJeE2mXoAAwIL4.jpg", "http://pbs.twimg.com/media/FkJeE2mXoAAwIL4.jpg")</f>
        <v>http://pbs.twimg.com/media/FkJeE2mXoAAwIL4.jpg</v>
      </c>
      <c r="J42" t="str">
        <f>HYPERLINK("http://pbs.twimg.com/media/FkJeFI0WIAc51Gm.jpg", "http://pbs.twimg.com/media/FkJeFI0WIAc51Gm.jpg")</f>
        <v>http://pbs.twimg.com/media/FkJeFI0WIAc51Gm.jpg</v>
      </c>
      <c r="K42" t="str">
        <f>HYPERLINK("http://pbs.twimg.com/media/FkJeFbNXkAAfsDF.jpg", "http://pbs.twimg.com/media/FkJeFbNXkAAfsDF.jpg")</f>
        <v>http://pbs.twimg.com/media/FkJeFbNXkAAfsDF.jpg</v>
      </c>
      <c r="L42">
        <v>0</v>
      </c>
      <c r="M42">
        <v>0</v>
      </c>
      <c r="N42">
        <v>1</v>
      </c>
      <c r="O42">
        <v>0</v>
      </c>
    </row>
    <row r="43" spans="1:15" x14ac:dyDescent="0.2">
      <c r="A43" s="1" t="str">
        <f>HYPERLINK("http://www.twitter.com/banuakdenizli/status/1603759445234053120", "1603759445234053120")</f>
        <v>1603759445234053120</v>
      </c>
      <c r="B43" t="s">
        <v>15</v>
      </c>
      <c r="C43" s="2">
        <v>44911.604421296302</v>
      </c>
      <c r="D43">
        <v>5</v>
      </c>
      <c r="E43">
        <v>0</v>
      </c>
      <c r="G43" t="s">
        <v>76</v>
      </c>
      <c r="H43" t="str">
        <f>HYPERLINK("http://pbs.twimg.com/media/FkGytMLXkAIxAay.jpg", "http://pbs.twimg.com/media/FkGytMLXkAIxAay.jpg")</f>
        <v>http://pbs.twimg.com/media/FkGytMLXkAIxAay.jpg</v>
      </c>
      <c r="L43">
        <v>0</v>
      </c>
      <c r="M43">
        <v>0</v>
      </c>
      <c r="N43">
        <v>1</v>
      </c>
      <c r="O43">
        <v>0</v>
      </c>
    </row>
    <row r="44" spans="1:15" x14ac:dyDescent="0.2">
      <c r="A44" s="1" t="str">
        <f>HYPERLINK("http://www.twitter.com/banuakdenizli/status/1603451360099418131", "1603451360099418131")</f>
        <v>1603451360099418131</v>
      </c>
      <c r="B44" t="s">
        <v>15</v>
      </c>
      <c r="C44" s="2">
        <v>44910.754270833328</v>
      </c>
      <c r="D44">
        <v>0</v>
      </c>
      <c r="E44">
        <v>2</v>
      </c>
      <c r="F44" t="s">
        <v>17</v>
      </c>
      <c r="G44" t="s">
        <v>77</v>
      </c>
      <c r="H44" t="str">
        <f>HYPERLINK("http://pbs.twimg.com/media/FkBnzXSXwAMQP9o.jpg", "http://pbs.twimg.com/media/FkBnzXSXwAMQP9o.jpg")</f>
        <v>http://pbs.twimg.com/media/FkBnzXSXwAMQP9o.jpg</v>
      </c>
      <c r="I44" t="str">
        <f>HYPERLINK("http://pbs.twimg.com/media/FkBn4U9XoAMyZwI.jpg", "http://pbs.twimg.com/media/FkBn4U9XoAMyZwI.jpg")</f>
        <v>http://pbs.twimg.com/media/FkBn4U9XoAMyZwI.jpg</v>
      </c>
      <c r="L44">
        <v>0</v>
      </c>
      <c r="M44">
        <v>0</v>
      </c>
      <c r="N44">
        <v>1</v>
      </c>
      <c r="O44">
        <v>0</v>
      </c>
    </row>
    <row r="45" spans="1:15" x14ac:dyDescent="0.2">
      <c r="A45" s="1" t="str">
        <f>HYPERLINK("http://www.twitter.com/banuakdenizli/status/1603086342895898624", "1603086342895898624")</f>
        <v>1603086342895898624</v>
      </c>
      <c r="B45" t="s">
        <v>15</v>
      </c>
      <c r="C45" s="2">
        <v>44909.747013888889</v>
      </c>
      <c r="D45">
        <v>0</v>
      </c>
      <c r="E45">
        <v>9</v>
      </c>
      <c r="F45" t="s">
        <v>16</v>
      </c>
      <c r="G45" t="s">
        <v>78</v>
      </c>
      <c r="H45" t="str">
        <f>HYPERLINK("https://video.twimg.com/ext_tw_video/1603015252840439808/pu/vid/1280x720/fkEF7vd83r1gqWln.mp4?tag=12", "https://video.twimg.com/ext_tw_video/1603015252840439808/pu/vid/1280x720/fkEF7vd83r1gqWln.mp4?tag=12")</f>
        <v>https://video.twimg.com/ext_tw_video/1603015252840439808/pu/vid/1280x720/fkEF7vd83r1gqWln.mp4?tag=12</v>
      </c>
      <c r="L45">
        <v>0</v>
      </c>
      <c r="M45">
        <v>0</v>
      </c>
      <c r="N45">
        <v>1</v>
      </c>
      <c r="O45">
        <v>0</v>
      </c>
    </row>
    <row r="46" spans="1:15" x14ac:dyDescent="0.2">
      <c r="A46" s="1" t="str">
        <f>HYPERLINK("http://www.twitter.com/banuakdenizli/status/1603086333509263360", "1603086333509263360")</f>
        <v>1603086333509263360</v>
      </c>
      <c r="B46" t="s">
        <v>15</v>
      </c>
      <c r="C46" s="2">
        <v>44909.746990740743</v>
      </c>
      <c r="D46">
        <v>0</v>
      </c>
      <c r="E46">
        <v>25</v>
      </c>
      <c r="F46" t="s">
        <v>20</v>
      </c>
      <c r="G46" t="s">
        <v>79</v>
      </c>
      <c r="H46" t="str">
        <f>HYPERLINK("http://pbs.twimg.com/media/Fj8QpRjXoAAtkb5.jpg", "http://pbs.twimg.com/media/Fj8QpRjXoAAtkb5.jpg")</f>
        <v>http://pbs.twimg.com/media/Fj8QpRjXoAAtkb5.jpg</v>
      </c>
      <c r="L46">
        <v>0</v>
      </c>
      <c r="M46">
        <v>0</v>
      </c>
      <c r="N46">
        <v>1</v>
      </c>
      <c r="O46">
        <v>0</v>
      </c>
    </row>
    <row r="47" spans="1:15" x14ac:dyDescent="0.2">
      <c r="A47" s="1" t="str">
        <f>HYPERLINK("http://www.twitter.com/banuakdenizli/status/1603086265485869057", "1603086265485869057")</f>
        <v>1603086265485869057</v>
      </c>
      <c r="B47" t="s">
        <v>15</v>
      </c>
      <c r="C47" s="2">
        <v>44909.746805555558</v>
      </c>
      <c r="D47">
        <v>0</v>
      </c>
      <c r="E47">
        <v>3</v>
      </c>
      <c r="F47" t="s">
        <v>17</v>
      </c>
      <c r="G47" t="s">
        <v>80</v>
      </c>
      <c r="H47" t="str">
        <f>HYPERLINK("http://pbs.twimg.com/media/Fj8OsW0X0AAqBGV.jpg", "http://pbs.twimg.com/media/Fj8OsW0X0AAqBGV.jpg")</f>
        <v>http://pbs.twimg.com/media/Fj8OsW0X0AAqBGV.jpg</v>
      </c>
      <c r="L47">
        <v>0</v>
      </c>
      <c r="M47">
        <v>0</v>
      </c>
      <c r="N47">
        <v>1</v>
      </c>
      <c r="O47">
        <v>0</v>
      </c>
    </row>
    <row r="48" spans="1:15" x14ac:dyDescent="0.2">
      <c r="A48" s="1" t="str">
        <f>HYPERLINK("http://www.twitter.com/banuakdenizli/status/1603086252437291009", "1603086252437291009")</f>
        <v>1603086252437291009</v>
      </c>
      <c r="B48" t="s">
        <v>15</v>
      </c>
      <c r="C48" s="2">
        <v>44909.746770833342</v>
      </c>
      <c r="D48">
        <v>0</v>
      </c>
      <c r="E48">
        <v>23</v>
      </c>
      <c r="F48" t="s">
        <v>20</v>
      </c>
      <c r="G48" t="s">
        <v>81</v>
      </c>
      <c r="H48" t="str">
        <f>HYPERLINK("http://pbs.twimg.com/media/Fj8L9AkXoAArKSo.jpg", "http://pbs.twimg.com/media/Fj8L9AkXoAArKSo.jpg")</f>
        <v>http://pbs.twimg.com/media/Fj8L9AkXoAArKSo.jpg</v>
      </c>
      <c r="L48">
        <v>0.51060000000000005</v>
      </c>
      <c r="M48">
        <v>0</v>
      </c>
      <c r="N48">
        <v>0.89800000000000002</v>
      </c>
      <c r="O48">
        <v>0.10199999999999999</v>
      </c>
    </row>
    <row r="49" spans="1:15" x14ac:dyDescent="0.2">
      <c r="A49" s="1" t="str">
        <f>HYPERLINK("http://www.twitter.com/banuakdenizli/status/1603086210729132038", "1603086210729132038")</f>
        <v>1603086210729132038</v>
      </c>
      <c r="B49" t="s">
        <v>15</v>
      </c>
      <c r="C49" s="2">
        <v>44909.746655092589</v>
      </c>
      <c r="D49">
        <v>0</v>
      </c>
      <c r="E49">
        <v>10</v>
      </c>
      <c r="F49" t="s">
        <v>16</v>
      </c>
      <c r="G49" t="s">
        <v>82</v>
      </c>
      <c r="H49" t="str">
        <f>HYPERLINK("https://video.twimg.com/ext_tw_video/1603014956978524162/pu/vid/1280x720/XbSRYsvnJ_fSo-b2.mp4?tag=12", "https://video.twimg.com/ext_tw_video/1603014956978524162/pu/vid/1280x720/XbSRYsvnJ_fSo-b2.mp4?tag=12")</f>
        <v>https://video.twimg.com/ext_tw_video/1603014956978524162/pu/vid/1280x720/XbSRYsvnJ_fSo-b2.mp4?tag=12</v>
      </c>
      <c r="L49">
        <v>0</v>
      </c>
      <c r="M49">
        <v>0</v>
      </c>
      <c r="N49">
        <v>1</v>
      </c>
      <c r="O49">
        <v>0</v>
      </c>
    </row>
    <row r="50" spans="1:15" x14ac:dyDescent="0.2">
      <c r="A50" s="1" t="str">
        <f>HYPERLINK("http://www.twitter.com/banuakdenizli/status/1603086199178072064", "1603086199178072064")</f>
        <v>1603086199178072064</v>
      </c>
      <c r="B50" t="s">
        <v>15</v>
      </c>
      <c r="C50" s="2">
        <v>44909.746620370373</v>
      </c>
      <c r="D50">
        <v>0</v>
      </c>
      <c r="E50">
        <v>9</v>
      </c>
      <c r="F50" t="s">
        <v>18</v>
      </c>
      <c r="G50" t="s">
        <v>83</v>
      </c>
      <c r="H50" t="str">
        <f>HYPERLINK("http://pbs.twimg.com/media/Fj8VUnHXkAEx9QS.jpg", "http://pbs.twimg.com/media/Fj8VUnHXkAEx9QS.jpg")</f>
        <v>http://pbs.twimg.com/media/Fj8VUnHXkAEx9QS.jpg</v>
      </c>
      <c r="L50">
        <v>0</v>
      </c>
      <c r="M50">
        <v>0</v>
      </c>
      <c r="N50">
        <v>1</v>
      </c>
      <c r="O50">
        <v>0</v>
      </c>
    </row>
    <row r="51" spans="1:15" x14ac:dyDescent="0.2">
      <c r="A51" s="1" t="str">
        <f>HYPERLINK("http://www.twitter.com/banuakdenizli/status/1603086190634319874", "1603086190634319874")</f>
        <v>1603086190634319874</v>
      </c>
      <c r="B51" t="s">
        <v>15</v>
      </c>
      <c r="C51" s="2">
        <v>44909.74659722222</v>
      </c>
      <c r="D51">
        <v>0</v>
      </c>
      <c r="E51">
        <v>3</v>
      </c>
      <c r="F51" t="s">
        <v>17</v>
      </c>
      <c r="G51" t="s">
        <v>84</v>
      </c>
      <c r="H51" t="str">
        <f>HYPERLINK("http://pbs.twimg.com/media/Fj8kwa7XoAQVTFt.jpg", "http://pbs.twimg.com/media/Fj8kwa7XoAQVTFt.jpg")</f>
        <v>http://pbs.twimg.com/media/Fj8kwa7XoAQVTFt.jpg</v>
      </c>
      <c r="L51">
        <v>0</v>
      </c>
      <c r="M51">
        <v>0</v>
      </c>
      <c r="N51">
        <v>1</v>
      </c>
      <c r="O51">
        <v>0</v>
      </c>
    </row>
    <row r="52" spans="1:15" x14ac:dyDescent="0.2">
      <c r="A52" s="1" t="str">
        <f>HYPERLINK("http://www.twitter.com/banuakdenizli/status/1603012532163289091", "1603012532163289091")</f>
        <v>1603012532163289091</v>
      </c>
      <c r="B52" t="s">
        <v>15</v>
      </c>
      <c r="C52" s="2">
        <v>44909.543333333328</v>
      </c>
      <c r="D52">
        <v>0</v>
      </c>
      <c r="E52">
        <v>9</v>
      </c>
      <c r="F52" t="s">
        <v>16</v>
      </c>
      <c r="G52" t="s">
        <v>85</v>
      </c>
      <c r="H52" t="str">
        <f>HYPERLINK("http://pbs.twimg.com/media/Fj8F419WIAAibUG.jpg", "http://pbs.twimg.com/media/Fj8F419WIAAibUG.jpg")</f>
        <v>http://pbs.twimg.com/media/Fj8F419WIAAibUG.jpg</v>
      </c>
      <c r="L52">
        <v>0</v>
      </c>
      <c r="M52">
        <v>0</v>
      </c>
      <c r="N52">
        <v>1</v>
      </c>
      <c r="O52">
        <v>0</v>
      </c>
    </row>
    <row r="53" spans="1:15" x14ac:dyDescent="0.2">
      <c r="A53" s="1" t="str">
        <f>HYPERLINK("http://www.twitter.com/banuakdenizli/status/1603010677958135809", "1603010677958135809")</f>
        <v>1603010677958135809</v>
      </c>
      <c r="B53" t="s">
        <v>15</v>
      </c>
      <c r="C53" s="2">
        <v>44909.538217592592</v>
      </c>
      <c r="D53">
        <v>0</v>
      </c>
      <c r="E53">
        <v>45</v>
      </c>
      <c r="F53" t="s">
        <v>23</v>
      </c>
      <c r="G53" t="s">
        <v>86</v>
      </c>
      <c r="H53" t="str">
        <f>HYPERLINK("http://pbs.twimg.com/media/Fj4VYCuWQAELBWT.jpg", "http://pbs.twimg.com/media/Fj4VYCuWQAELBWT.jpg")</f>
        <v>http://pbs.twimg.com/media/Fj4VYCuWQAELBWT.jpg</v>
      </c>
      <c r="I53" t="str">
        <f>HYPERLINK("http://pbs.twimg.com/media/Fj4VYC1XoAMfbWc.jpg", "http://pbs.twimg.com/media/Fj4VYC1XoAMfbWc.jpg")</f>
        <v>http://pbs.twimg.com/media/Fj4VYC1XoAMfbWc.jpg</v>
      </c>
      <c r="L53">
        <v>0</v>
      </c>
      <c r="M53">
        <v>0</v>
      </c>
      <c r="N53">
        <v>1</v>
      </c>
      <c r="O53">
        <v>0</v>
      </c>
    </row>
    <row r="54" spans="1:15" x14ac:dyDescent="0.2">
      <c r="A54" s="1" t="str">
        <f>HYPERLINK("http://www.twitter.com/banuakdenizli/status/1603010641744330755", "1603010641744330755")</f>
        <v>1603010641744330755</v>
      </c>
      <c r="B54" t="s">
        <v>15</v>
      </c>
      <c r="C54" s="2">
        <v>44909.538124999999</v>
      </c>
      <c r="D54">
        <v>0</v>
      </c>
      <c r="E54">
        <v>23</v>
      </c>
      <c r="F54" t="s">
        <v>23</v>
      </c>
      <c r="G54" t="s">
        <v>87</v>
      </c>
      <c r="L54">
        <v>0</v>
      </c>
      <c r="M54">
        <v>0</v>
      </c>
      <c r="N54">
        <v>1</v>
      </c>
      <c r="O54">
        <v>0</v>
      </c>
    </row>
    <row r="55" spans="1:15" x14ac:dyDescent="0.2">
      <c r="A55" s="1" t="str">
        <f>HYPERLINK("http://www.twitter.com/banuakdenizli/status/1602718653434191875", "1602718653434191875")</f>
        <v>1602718653434191875</v>
      </c>
      <c r="B55" t="s">
        <v>15</v>
      </c>
      <c r="C55" s="2">
        <v>44908.73238425926</v>
      </c>
      <c r="D55">
        <v>0</v>
      </c>
      <c r="E55">
        <v>0</v>
      </c>
      <c r="G55" t="s">
        <v>88</v>
      </c>
      <c r="L55">
        <v>0</v>
      </c>
      <c r="M55">
        <v>0</v>
      </c>
      <c r="N55">
        <v>1</v>
      </c>
      <c r="O55">
        <v>0</v>
      </c>
    </row>
    <row r="56" spans="1:15" x14ac:dyDescent="0.2">
      <c r="A56" s="1" t="str">
        <f>HYPERLINK("http://www.twitter.com/banuakdenizli/status/1602718243613024257", "1602718243613024257")</f>
        <v>1602718243613024257</v>
      </c>
      <c r="B56" t="s">
        <v>15</v>
      </c>
      <c r="C56" s="2">
        <v>44908.731249999997</v>
      </c>
      <c r="D56">
        <v>0</v>
      </c>
      <c r="E56">
        <v>0</v>
      </c>
      <c r="G56" t="s">
        <v>89</v>
      </c>
      <c r="H56" t="str">
        <f>HYPERLINK("http://pbs.twimg.com/media/Fj3_tzRXkAE1rwZ.jpg", "http://pbs.twimg.com/media/Fj3_tzRXkAE1rwZ.jpg")</f>
        <v>http://pbs.twimg.com/media/Fj3_tzRXkAE1rwZ.jpg</v>
      </c>
      <c r="I56" t="str">
        <f>HYPERLINK("http://pbs.twimg.com/media/Fj3_tz6XkAI8Vj0.jpg", "http://pbs.twimg.com/media/Fj3_tz6XkAI8Vj0.jpg")</f>
        <v>http://pbs.twimg.com/media/Fj3_tz6XkAI8Vj0.jpg</v>
      </c>
      <c r="L56">
        <v>0</v>
      </c>
      <c r="M56">
        <v>0</v>
      </c>
      <c r="N56">
        <v>1</v>
      </c>
      <c r="O56">
        <v>0</v>
      </c>
    </row>
    <row r="57" spans="1:15" x14ac:dyDescent="0.2">
      <c r="A57" s="1" t="str">
        <f>HYPERLINK("http://www.twitter.com/banuakdenizli/status/1602717672927526913", "1602717672927526913")</f>
        <v>1602717672927526913</v>
      </c>
      <c r="B57" t="s">
        <v>15</v>
      </c>
      <c r="C57" s="2">
        <v>44908.729675925933</v>
      </c>
      <c r="D57">
        <v>0</v>
      </c>
      <c r="E57">
        <v>4</v>
      </c>
      <c r="F57" t="s">
        <v>17</v>
      </c>
      <c r="G57" t="s">
        <v>90</v>
      </c>
      <c r="H57" t="str">
        <f>HYPERLINK("http://pbs.twimg.com/media/FjytefzWQAINO6f.jpg", "http://pbs.twimg.com/media/FjytefzWQAINO6f.jpg")</f>
        <v>http://pbs.twimg.com/media/FjytefzWQAINO6f.jpg</v>
      </c>
      <c r="I57" t="str">
        <f>HYPERLINK("http://pbs.twimg.com/media/FjytfYpWQAA5LXi.jpg", "http://pbs.twimg.com/media/FjytfYpWQAA5LXi.jpg")</f>
        <v>http://pbs.twimg.com/media/FjytfYpWQAA5LXi.jpg</v>
      </c>
      <c r="J57" t="str">
        <f>HYPERLINK("http://pbs.twimg.com/media/FjythdQXoAI0WQM.jpg", "http://pbs.twimg.com/media/FjythdQXoAI0WQM.jpg")</f>
        <v>http://pbs.twimg.com/media/FjythdQXoAI0WQM.jpg</v>
      </c>
      <c r="K57" t="str">
        <f>HYPERLINK("http://pbs.twimg.com/media/FjythdpXkAAfLFh.jpg", "http://pbs.twimg.com/media/FjythdpXkAAfLFh.jpg")</f>
        <v>http://pbs.twimg.com/media/FjythdpXkAAfLFh.jpg</v>
      </c>
      <c r="L57">
        <v>0</v>
      </c>
      <c r="M57">
        <v>0</v>
      </c>
      <c r="N57">
        <v>1</v>
      </c>
      <c r="O57">
        <v>0</v>
      </c>
    </row>
    <row r="58" spans="1:15" x14ac:dyDescent="0.2">
      <c r="A58" s="1" t="str">
        <f>HYPERLINK("http://www.twitter.com/banuakdenizli/status/1602717664006348800", "1602717664006348800")</f>
        <v>1602717664006348800</v>
      </c>
      <c r="B58" t="s">
        <v>15</v>
      </c>
      <c r="C58" s="2">
        <v>44908.72965277778</v>
      </c>
      <c r="D58">
        <v>0</v>
      </c>
      <c r="E58">
        <v>3</v>
      </c>
      <c r="F58" t="s">
        <v>17</v>
      </c>
      <c r="G58" t="s">
        <v>91</v>
      </c>
      <c r="H58" t="str">
        <f>HYPERLINK("http://pbs.twimg.com/media/FjztLqxX0AA06BJ.jpg", "http://pbs.twimg.com/media/FjztLqxX0AA06BJ.jpg")</f>
        <v>http://pbs.twimg.com/media/FjztLqxX0AA06BJ.jpg</v>
      </c>
      <c r="L58">
        <v>0</v>
      </c>
      <c r="M58">
        <v>0</v>
      </c>
      <c r="N58">
        <v>1</v>
      </c>
      <c r="O58">
        <v>0</v>
      </c>
    </row>
    <row r="59" spans="1:15" x14ac:dyDescent="0.2">
      <c r="A59" s="1" t="str">
        <f>HYPERLINK("http://www.twitter.com/banuakdenizli/status/1602717621404696576", "1602717621404696576")</f>
        <v>1602717621404696576</v>
      </c>
      <c r="B59" t="s">
        <v>15</v>
      </c>
      <c r="C59" s="2">
        <v>44908.729537037027</v>
      </c>
      <c r="D59">
        <v>0</v>
      </c>
      <c r="E59">
        <v>16</v>
      </c>
      <c r="F59" t="s">
        <v>18</v>
      </c>
      <c r="G59" t="s">
        <v>92</v>
      </c>
      <c r="H59" t="str">
        <f>HYPERLINK("http://pbs.twimg.com/media/FjzsfMRXEBwvO3u.jpg", "http://pbs.twimg.com/media/FjzsfMRXEBwvO3u.jpg")</f>
        <v>http://pbs.twimg.com/media/FjzsfMRXEBwvO3u.jpg</v>
      </c>
      <c r="L59">
        <v>0</v>
      </c>
      <c r="M59">
        <v>0</v>
      </c>
      <c r="N59">
        <v>1</v>
      </c>
      <c r="O59">
        <v>0</v>
      </c>
    </row>
    <row r="60" spans="1:15" x14ac:dyDescent="0.2">
      <c r="A60" s="1" t="str">
        <f>HYPERLINK("http://www.twitter.com/banuakdenizli/status/1602717607467032576", "1602717607467032576")</f>
        <v>1602717607467032576</v>
      </c>
      <c r="B60" t="s">
        <v>15</v>
      </c>
      <c r="C60" s="2">
        <v>44908.729502314818</v>
      </c>
      <c r="D60">
        <v>0</v>
      </c>
      <c r="E60">
        <v>5</v>
      </c>
      <c r="F60" t="s">
        <v>18</v>
      </c>
      <c r="G60" t="s">
        <v>93</v>
      </c>
      <c r="H60" t="str">
        <f>HYPERLINK("http://pbs.twimg.com/media/Fjzwg5QXEB0bQQi.jpg", "http://pbs.twimg.com/media/Fjzwg5QXEB0bQQi.jpg")</f>
        <v>http://pbs.twimg.com/media/Fjzwg5QXEB0bQQi.jpg</v>
      </c>
      <c r="I60" t="str">
        <f>HYPERLINK("http://pbs.twimg.com/media/Fjzwg5PXEAMffx_.jpg", "http://pbs.twimg.com/media/Fjzwg5PXEAMffx_.jpg")</f>
        <v>http://pbs.twimg.com/media/Fjzwg5PXEAMffx_.jpg</v>
      </c>
      <c r="L60">
        <v>0</v>
      </c>
      <c r="M60">
        <v>0</v>
      </c>
      <c r="N60">
        <v>1</v>
      </c>
      <c r="O60">
        <v>0</v>
      </c>
    </row>
    <row r="61" spans="1:15" x14ac:dyDescent="0.2">
      <c r="A61" s="1" t="str">
        <f>HYPERLINK("http://www.twitter.com/banuakdenizli/status/1602717597371359233", "1602717597371359233")</f>
        <v>1602717597371359233</v>
      </c>
      <c r="B61" t="s">
        <v>15</v>
      </c>
      <c r="C61" s="2">
        <v>44908.729467592602</v>
      </c>
      <c r="D61">
        <v>0</v>
      </c>
      <c r="E61">
        <v>30</v>
      </c>
      <c r="F61" t="s">
        <v>20</v>
      </c>
      <c r="G61" t="s">
        <v>94</v>
      </c>
      <c r="H61" t="str">
        <f>HYPERLINK("http://pbs.twimg.com/media/Fj2fwPRWYAIhwGv.jpg", "http://pbs.twimg.com/media/Fj2fwPRWYAIhwGv.jpg")</f>
        <v>http://pbs.twimg.com/media/Fj2fwPRWYAIhwGv.jpg</v>
      </c>
      <c r="L61">
        <v>0.89339999999999997</v>
      </c>
      <c r="M61">
        <v>0</v>
      </c>
      <c r="N61">
        <v>0.76</v>
      </c>
      <c r="O61">
        <v>0.24</v>
      </c>
    </row>
    <row r="62" spans="1:15" x14ac:dyDescent="0.2">
      <c r="A62" s="1" t="str">
        <f>HYPERLINK("http://www.twitter.com/banuakdenizli/status/1602717590085828608", "1602717590085828608")</f>
        <v>1602717590085828608</v>
      </c>
      <c r="B62" t="s">
        <v>15</v>
      </c>
      <c r="C62" s="2">
        <v>44908.729456018518</v>
      </c>
      <c r="D62">
        <v>0</v>
      </c>
      <c r="E62">
        <v>7</v>
      </c>
      <c r="F62" t="s">
        <v>18</v>
      </c>
      <c r="G62" t="s">
        <v>95</v>
      </c>
      <c r="H62" t="str">
        <f>HYPERLINK("http://pbs.twimg.com/media/Fj2vAlVWIAIOLdo.jpg", "http://pbs.twimg.com/media/Fj2vAlVWIAIOLdo.jpg")</f>
        <v>http://pbs.twimg.com/media/Fj2vAlVWIAIOLdo.jpg</v>
      </c>
      <c r="L62">
        <v>0</v>
      </c>
      <c r="M62">
        <v>0</v>
      </c>
      <c r="N62">
        <v>1</v>
      </c>
      <c r="O62">
        <v>0</v>
      </c>
    </row>
    <row r="63" spans="1:15" x14ac:dyDescent="0.2">
      <c r="A63" s="1" t="str">
        <f>HYPERLINK("http://www.twitter.com/banuakdenizli/status/1602717581483311106", "1602717581483311106")</f>
        <v>1602717581483311106</v>
      </c>
      <c r="B63" t="s">
        <v>15</v>
      </c>
      <c r="C63" s="2">
        <v>44908.729432870372</v>
      </c>
      <c r="D63">
        <v>0</v>
      </c>
      <c r="E63">
        <v>6</v>
      </c>
      <c r="F63" t="s">
        <v>18</v>
      </c>
      <c r="G63" t="s">
        <v>96</v>
      </c>
      <c r="H63" t="str">
        <f>HYPERLINK("http://pbs.twimg.com/media/Fj29Qb7WYAEZAr3.jpg", "http://pbs.twimg.com/media/Fj29Qb7WYAEZAr3.jpg")</f>
        <v>http://pbs.twimg.com/media/Fj29Qb7WYAEZAr3.jpg</v>
      </c>
      <c r="L63">
        <v>0</v>
      </c>
      <c r="M63">
        <v>0</v>
      </c>
      <c r="N63">
        <v>1</v>
      </c>
      <c r="O63">
        <v>0</v>
      </c>
    </row>
    <row r="64" spans="1:15" x14ac:dyDescent="0.2">
      <c r="A64" s="1" t="str">
        <f>HYPERLINK("http://www.twitter.com/banuakdenizli/status/1602717572234940416", "1602717572234940416")</f>
        <v>1602717572234940416</v>
      </c>
      <c r="B64" t="s">
        <v>15</v>
      </c>
      <c r="C64" s="2">
        <v>44908.729398148149</v>
      </c>
      <c r="D64">
        <v>0</v>
      </c>
      <c r="E64">
        <v>11</v>
      </c>
      <c r="F64" t="s">
        <v>18</v>
      </c>
      <c r="G64" t="s">
        <v>97</v>
      </c>
      <c r="H64" t="str">
        <f>HYPERLINK("http://pbs.twimg.com/media/Fj3WCEVWQAMgQR0.jpg", "http://pbs.twimg.com/media/Fj3WCEVWQAMgQR0.jpg")</f>
        <v>http://pbs.twimg.com/media/Fj3WCEVWQAMgQR0.jpg</v>
      </c>
      <c r="L64">
        <v>0</v>
      </c>
      <c r="M64">
        <v>0</v>
      </c>
      <c r="N64">
        <v>1</v>
      </c>
      <c r="O64">
        <v>0</v>
      </c>
    </row>
    <row r="65" spans="1:15" x14ac:dyDescent="0.2">
      <c r="A65" s="1" t="str">
        <f>HYPERLINK("http://www.twitter.com/banuakdenizli/status/1602717548914565120", "1602717548914565120")</f>
        <v>1602717548914565120</v>
      </c>
      <c r="B65" t="s">
        <v>15</v>
      </c>
      <c r="C65" s="2">
        <v>44908.72934027778</v>
      </c>
      <c r="D65">
        <v>0</v>
      </c>
      <c r="E65">
        <v>4</v>
      </c>
      <c r="F65" t="s">
        <v>18</v>
      </c>
      <c r="G65" t="s">
        <v>98</v>
      </c>
      <c r="H65" t="str">
        <f>HYPERLINK("http://pbs.twimg.com/media/Fj30nCOWAAE6V8M.jpg", "http://pbs.twimg.com/media/Fj30nCOWAAE6V8M.jpg")</f>
        <v>http://pbs.twimg.com/media/Fj30nCOWAAE6V8M.jpg</v>
      </c>
      <c r="L65">
        <v>0.29599999999999999</v>
      </c>
      <c r="M65">
        <v>0</v>
      </c>
      <c r="N65">
        <v>0.83299999999999996</v>
      </c>
      <c r="O65">
        <v>0.16700000000000001</v>
      </c>
    </row>
    <row r="66" spans="1:15" x14ac:dyDescent="0.2">
      <c r="A66" s="1" t="str">
        <f>HYPERLINK("http://www.twitter.com/banuakdenizli/status/1602717434036817924", "1602717434036817924")</f>
        <v>1602717434036817924</v>
      </c>
      <c r="B66" t="s">
        <v>15</v>
      </c>
      <c r="C66" s="2">
        <v>44908.729016203702</v>
      </c>
      <c r="D66">
        <v>0</v>
      </c>
      <c r="E66">
        <v>16</v>
      </c>
      <c r="F66" t="s">
        <v>16</v>
      </c>
      <c r="G66" t="s">
        <v>99</v>
      </c>
      <c r="H66" t="str">
        <f>HYPERLINK("http://pbs.twimg.com/media/Fjzr7YDXEBgrXGR.jpg", "http://pbs.twimg.com/media/Fjzr7YDXEBgrXGR.jpg")</f>
        <v>http://pbs.twimg.com/media/Fjzr7YDXEBgrXGR.jpg</v>
      </c>
      <c r="L66">
        <v>0</v>
      </c>
      <c r="M66">
        <v>0</v>
      </c>
      <c r="N66">
        <v>1</v>
      </c>
      <c r="O66">
        <v>0</v>
      </c>
    </row>
    <row r="67" spans="1:15" x14ac:dyDescent="0.2">
      <c r="A67" s="1" t="str">
        <f>HYPERLINK("http://www.twitter.com/banuakdenizli/status/1602717406010511360", "1602717406010511360")</f>
        <v>1602717406010511360</v>
      </c>
      <c r="B67" t="s">
        <v>15</v>
      </c>
      <c r="C67" s="2">
        <v>44908.728946759264</v>
      </c>
      <c r="D67">
        <v>0</v>
      </c>
      <c r="E67">
        <v>14</v>
      </c>
      <c r="F67" t="s">
        <v>16</v>
      </c>
      <c r="G67" t="s">
        <v>100</v>
      </c>
      <c r="H67" t="str">
        <f>HYPERLINK("http://pbs.twimg.com/media/Fj2qk8eWIAEl7KH.jpg", "http://pbs.twimg.com/media/Fj2qk8eWIAEl7KH.jpg")</f>
        <v>http://pbs.twimg.com/media/Fj2qk8eWIAEl7KH.jpg</v>
      </c>
      <c r="L67">
        <v>0</v>
      </c>
      <c r="M67">
        <v>0</v>
      </c>
      <c r="N67">
        <v>1</v>
      </c>
      <c r="O67">
        <v>0</v>
      </c>
    </row>
    <row r="68" spans="1:15" x14ac:dyDescent="0.2">
      <c r="A68" s="1" t="str">
        <f>HYPERLINK("http://www.twitter.com/banuakdenizli/status/1602717390281883649", "1602717390281883649")</f>
        <v>1602717390281883649</v>
      </c>
      <c r="B68" t="s">
        <v>15</v>
      </c>
      <c r="C68" s="2">
        <v>44908.728900462957</v>
      </c>
      <c r="D68">
        <v>0</v>
      </c>
      <c r="E68">
        <v>9</v>
      </c>
      <c r="F68" t="s">
        <v>16</v>
      </c>
      <c r="G68" t="s">
        <v>101</v>
      </c>
      <c r="H68" t="str">
        <f>HYPERLINK("http://pbs.twimg.com/media/Fj2uYznXwAEL4OD.jpg", "http://pbs.twimg.com/media/Fj2uYznXwAEL4OD.jpg")</f>
        <v>http://pbs.twimg.com/media/Fj2uYznXwAEL4OD.jpg</v>
      </c>
      <c r="L68">
        <v>0</v>
      </c>
      <c r="M68">
        <v>0</v>
      </c>
      <c r="N68">
        <v>1</v>
      </c>
      <c r="O68">
        <v>0</v>
      </c>
    </row>
    <row r="69" spans="1:15" x14ac:dyDescent="0.2">
      <c r="A69" s="1" t="str">
        <f>HYPERLINK("http://www.twitter.com/banuakdenizli/status/1602717381335425030", "1602717381335425030")</f>
        <v>1602717381335425030</v>
      </c>
      <c r="B69" t="s">
        <v>15</v>
      </c>
      <c r="C69" s="2">
        <v>44908.728877314818</v>
      </c>
      <c r="D69">
        <v>0</v>
      </c>
      <c r="E69">
        <v>5</v>
      </c>
      <c r="F69" t="s">
        <v>16</v>
      </c>
      <c r="G69" t="s">
        <v>102</v>
      </c>
      <c r="H69" t="str">
        <f>HYPERLINK("http://pbs.twimg.com/media/Fj3R1LGWQAEtZ3K.jpg", "http://pbs.twimg.com/media/Fj3R1LGWQAEtZ3K.jpg")</f>
        <v>http://pbs.twimg.com/media/Fj3R1LGWQAEtZ3K.jpg</v>
      </c>
      <c r="I69" t="str">
        <f>HYPERLINK("http://pbs.twimg.com/media/Fj3R20HWAAEP6w3.jpg", "http://pbs.twimg.com/media/Fj3R20HWAAEP6w3.jpg")</f>
        <v>http://pbs.twimg.com/media/Fj3R20HWAAEP6w3.jpg</v>
      </c>
      <c r="L69">
        <v>0</v>
      </c>
      <c r="M69">
        <v>0</v>
      </c>
      <c r="N69">
        <v>1</v>
      </c>
      <c r="O69">
        <v>0</v>
      </c>
    </row>
    <row r="70" spans="1:15" x14ac:dyDescent="0.2">
      <c r="A70" s="1" t="str">
        <f>HYPERLINK("http://www.twitter.com/banuakdenizli/status/1602717367494230017", "1602717367494230017")</f>
        <v>1602717367494230017</v>
      </c>
      <c r="B70" t="s">
        <v>15</v>
      </c>
      <c r="C70" s="2">
        <v>44908.728842592587</v>
      </c>
      <c r="D70">
        <v>0</v>
      </c>
      <c r="E70">
        <v>3</v>
      </c>
      <c r="F70" t="s">
        <v>16</v>
      </c>
      <c r="G70" t="s">
        <v>103</v>
      </c>
      <c r="H70" t="str">
        <f>HYPERLINK("http://pbs.twimg.com/media/Fj3P3AmWYAAR7B5.jpg", "http://pbs.twimg.com/media/Fj3P3AmWYAAR7B5.jpg")</f>
        <v>http://pbs.twimg.com/media/Fj3P3AmWYAAR7B5.jpg</v>
      </c>
      <c r="L70">
        <v>0</v>
      </c>
      <c r="M70">
        <v>0</v>
      </c>
      <c r="N70">
        <v>1</v>
      </c>
      <c r="O70">
        <v>0</v>
      </c>
    </row>
    <row r="71" spans="1:15" x14ac:dyDescent="0.2">
      <c r="A71" s="1" t="str">
        <f>HYPERLINK("http://www.twitter.com/banuakdenizli/status/1602717354521133057", "1602717354521133057")</f>
        <v>1602717354521133057</v>
      </c>
      <c r="B71" t="s">
        <v>15</v>
      </c>
      <c r="C71" s="2">
        <v>44908.728807870371</v>
      </c>
      <c r="D71">
        <v>0</v>
      </c>
      <c r="E71">
        <v>8</v>
      </c>
      <c r="F71" t="s">
        <v>16</v>
      </c>
      <c r="G71" t="s">
        <v>104</v>
      </c>
      <c r="H71" t="str">
        <f>HYPERLINK("https://video.twimg.com/ext_tw_video/1602686841181929476/pu/vid/1280x720/UQgRKH4QHWSIGNpF.mp4?tag=12", "https://video.twimg.com/ext_tw_video/1602686841181929476/pu/vid/1280x720/UQgRKH4QHWSIGNpF.mp4?tag=12")</f>
        <v>https://video.twimg.com/ext_tw_video/1602686841181929476/pu/vid/1280x720/UQgRKH4QHWSIGNpF.mp4?tag=12</v>
      </c>
      <c r="L71">
        <v>0</v>
      </c>
      <c r="M71">
        <v>0</v>
      </c>
      <c r="N71">
        <v>1</v>
      </c>
      <c r="O71">
        <v>0</v>
      </c>
    </row>
    <row r="72" spans="1:15" x14ac:dyDescent="0.2">
      <c r="A72" s="1" t="str">
        <f>HYPERLINK("http://www.twitter.com/banuakdenizli/status/1602717243150053377", "1602717243150053377")</f>
        <v>1602717243150053377</v>
      </c>
      <c r="B72" t="s">
        <v>15</v>
      </c>
      <c r="C72" s="2">
        <v>44908.728495370371</v>
      </c>
      <c r="D72">
        <v>0</v>
      </c>
      <c r="E72">
        <v>35</v>
      </c>
      <c r="F72" t="s">
        <v>20</v>
      </c>
      <c r="G72" t="s">
        <v>105</v>
      </c>
      <c r="H72" t="str">
        <f>HYPERLINK("http://pbs.twimg.com/media/Fj3hsfUXEAIW00F.jpg", "http://pbs.twimg.com/media/Fj3hsfUXEAIW00F.jpg")</f>
        <v>http://pbs.twimg.com/media/Fj3hsfUXEAIW00F.jpg</v>
      </c>
      <c r="L72">
        <v>0.9022</v>
      </c>
      <c r="M72">
        <v>0</v>
      </c>
      <c r="N72">
        <v>0.78</v>
      </c>
      <c r="O72">
        <v>0.22</v>
      </c>
    </row>
    <row r="73" spans="1:15" x14ac:dyDescent="0.2">
      <c r="A73" s="1" t="str">
        <f>HYPERLINK("http://www.twitter.com/banuakdenizli/status/1602717096844357632", "1602717096844357632")</f>
        <v>1602717096844357632</v>
      </c>
      <c r="B73" t="s">
        <v>15</v>
      </c>
      <c r="C73" s="2">
        <v>44908.728090277778</v>
      </c>
      <c r="D73">
        <v>0</v>
      </c>
      <c r="E73">
        <v>9</v>
      </c>
      <c r="F73" t="s">
        <v>16</v>
      </c>
      <c r="G73" t="s">
        <v>106</v>
      </c>
      <c r="H73" t="str">
        <f>HYPERLINK("https://video.twimg.com/ext_tw_video/1602620132412596225/pu/vid/1280x720/Vyv9sVi5MjN9c4Jn.mp4?tag=12", "https://video.twimg.com/ext_tw_video/1602620132412596225/pu/vid/1280x720/Vyv9sVi5MjN9c4Jn.mp4?tag=12")</f>
        <v>https://video.twimg.com/ext_tw_video/1602620132412596225/pu/vid/1280x720/Vyv9sVi5MjN9c4Jn.mp4?tag=12</v>
      </c>
      <c r="L73">
        <v>0</v>
      </c>
      <c r="M73">
        <v>0</v>
      </c>
      <c r="N73">
        <v>1</v>
      </c>
      <c r="O73">
        <v>0</v>
      </c>
    </row>
    <row r="74" spans="1:15" x14ac:dyDescent="0.2">
      <c r="A74" s="1" t="str">
        <f>HYPERLINK("http://www.twitter.com/banuakdenizli/status/1602717088472342531", "1602717088472342531")</f>
        <v>1602717088472342531</v>
      </c>
      <c r="B74" t="s">
        <v>15</v>
      </c>
      <c r="C74" s="2">
        <v>44908.728067129632</v>
      </c>
      <c r="D74">
        <v>0</v>
      </c>
      <c r="E74">
        <v>7</v>
      </c>
      <c r="F74" t="s">
        <v>18</v>
      </c>
      <c r="G74" t="s">
        <v>107</v>
      </c>
      <c r="H74" t="str">
        <f>HYPERLINK("http://pbs.twimg.com/media/Fj3gOu-WIAQWyQ_.jpg", "http://pbs.twimg.com/media/Fj3gOu-WIAQWyQ_.jpg")</f>
        <v>http://pbs.twimg.com/media/Fj3gOu-WIAQWyQ_.jpg</v>
      </c>
      <c r="L74">
        <v>0</v>
      </c>
      <c r="M74">
        <v>0</v>
      </c>
      <c r="N74">
        <v>1</v>
      </c>
      <c r="O74">
        <v>0</v>
      </c>
    </row>
    <row r="75" spans="1:15" x14ac:dyDescent="0.2">
      <c r="A75" s="1" t="str">
        <f>HYPERLINK("http://www.twitter.com/banuakdenizli/status/1602717079496450049", "1602717079496450049")</f>
        <v>1602717079496450049</v>
      </c>
      <c r="B75" t="s">
        <v>15</v>
      </c>
      <c r="C75" s="2">
        <v>44908.728043981479</v>
      </c>
      <c r="D75">
        <v>0</v>
      </c>
      <c r="E75">
        <v>30</v>
      </c>
      <c r="F75" t="s">
        <v>20</v>
      </c>
      <c r="G75" t="s">
        <v>108</v>
      </c>
      <c r="H75" t="str">
        <f>HYPERLINK("http://pbs.twimg.com/media/Fj3c9ERXgAAXvOQ.jpg", "http://pbs.twimg.com/media/Fj3c9ERXgAAXvOQ.jpg")</f>
        <v>http://pbs.twimg.com/media/Fj3c9ERXgAAXvOQ.jpg</v>
      </c>
      <c r="L75">
        <v>0</v>
      </c>
      <c r="M75">
        <v>0</v>
      </c>
      <c r="N75">
        <v>1</v>
      </c>
      <c r="O75">
        <v>0</v>
      </c>
    </row>
    <row r="76" spans="1:15" x14ac:dyDescent="0.2">
      <c r="A76" s="1" t="str">
        <f>HYPERLINK("http://www.twitter.com/banuakdenizli/status/1602717064996818944", "1602717064996818944")</f>
        <v>1602717064996818944</v>
      </c>
      <c r="B76" t="s">
        <v>15</v>
      </c>
      <c r="C76" s="2">
        <v>44908.727997685193</v>
      </c>
      <c r="D76">
        <v>0</v>
      </c>
      <c r="E76">
        <v>7</v>
      </c>
      <c r="F76" t="s">
        <v>16</v>
      </c>
      <c r="G76" t="s">
        <v>109</v>
      </c>
      <c r="H76" t="str">
        <f>HYPERLINK("http://pbs.twimg.com/media/Fj2kKplX0AM9YzA.jpg", "http://pbs.twimg.com/media/Fj2kKplX0AM9YzA.jpg")</f>
        <v>http://pbs.twimg.com/media/Fj2kKplX0AM9YzA.jpg</v>
      </c>
      <c r="L76">
        <v>0</v>
      </c>
      <c r="M76">
        <v>0</v>
      </c>
      <c r="N76">
        <v>1</v>
      </c>
      <c r="O76">
        <v>0</v>
      </c>
    </row>
    <row r="77" spans="1:15" x14ac:dyDescent="0.2">
      <c r="A77" s="1" t="str">
        <f>HYPERLINK("http://www.twitter.com/banuakdenizli/status/1602717040783114243", "1602717040783114243")</f>
        <v>1602717040783114243</v>
      </c>
      <c r="B77" t="s">
        <v>15</v>
      </c>
      <c r="C77" s="2">
        <v>44908.727939814817</v>
      </c>
      <c r="D77">
        <v>0</v>
      </c>
      <c r="E77">
        <v>32</v>
      </c>
      <c r="F77" t="s">
        <v>20</v>
      </c>
      <c r="G77" t="s">
        <v>110</v>
      </c>
      <c r="H77" t="str">
        <f>HYPERLINK("http://pbs.twimg.com/media/Fj2Z56CXoAI7m8w.jpg", "http://pbs.twimg.com/media/Fj2Z56CXoAI7m8w.jpg")</f>
        <v>http://pbs.twimg.com/media/Fj2Z56CXoAI7m8w.jpg</v>
      </c>
      <c r="L77">
        <v>0</v>
      </c>
      <c r="M77">
        <v>0</v>
      </c>
      <c r="N77">
        <v>1</v>
      </c>
      <c r="O77">
        <v>0</v>
      </c>
    </row>
    <row r="78" spans="1:15" x14ac:dyDescent="0.2">
      <c r="A78" s="1" t="str">
        <f>HYPERLINK("http://www.twitter.com/banuakdenizli/status/1602717033250029568", "1602717033250029568")</f>
        <v>1602717033250029568</v>
      </c>
      <c r="B78" t="s">
        <v>15</v>
      </c>
      <c r="C78" s="2">
        <v>44908.727916666663</v>
      </c>
      <c r="D78">
        <v>0</v>
      </c>
      <c r="E78">
        <v>3</v>
      </c>
      <c r="F78" t="s">
        <v>17</v>
      </c>
      <c r="G78" t="s">
        <v>111</v>
      </c>
      <c r="H78" t="str">
        <f>HYPERLINK("http://pbs.twimg.com/media/Fj3oZ9FXwAESxhu.jpg", "http://pbs.twimg.com/media/Fj3oZ9FXwAESxhu.jpg")</f>
        <v>http://pbs.twimg.com/media/Fj3oZ9FXwAESxhu.jpg</v>
      </c>
      <c r="L78">
        <v>0</v>
      </c>
      <c r="M78">
        <v>0</v>
      </c>
      <c r="N78">
        <v>1</v>
      </c>
      <c r="O78">
        <v>0</v>
      </c>
    </row>
    <row r="79" spans="1:15" x14ac:dyDescent="0.2">
      <c r="A79" s="1" t="str">
        <f>HYPERLINK("http://www.twitter.com/banuakdenizli/status/1602345981118496769", "1602345981118496769")</f>
        <v>1602345981118496769</v>
      </c>
      <c r="B79" t="s">
        <v>15</v>
      </c>
      <c r="C79" s="2">
        <v>44907.704004629632</v>
      </c>
      <c r="D79">
        <v>0</v>
      </c>
      <c r="E79">
        <v>2</v>
      </c>
      <c r="F79" t="s">
        <v>17</v>
      </c>
      <c r="G79" t="s">
        <v>112</v>
      </c>
      <c r="H79" t="str">
        <f>HYPERLINK("http://pbs.twimg.com/media/FjgzR4qXoAEeHLi.jpg", "http://pbs.twimg.com/media/FjgzR4qXoAEeHLi.jpg")</f>
        <v>http://pbs.twimg.com/media/FjgzR4qXoAEeHLi.jpg</v>
      </c>
      <c r="L79">
        <v>0</v>
      </c>
      <c r="M79">
        <v>0</v>
      </c>
      <c r="N79">
        <v>1</v>
      </c>
      <c r="O79">
        <v>0</v>
      </c>
    </row>
    <row r="80" spans="1:15" x14ac:dyDescent="0.2">
      <c r="A80" s="1" t="str">
        <f>HYPERLINK("http://www.twitter.com/banuakdenizli/status/1602345970653712386", "1602345970653712386")</f>
        <v>1602345970653712386</v>
      </c>
      <c r="B80" t="s">
        <v>15</v>
      </c>
      <c r="C80" s="2">
        <v>44907.703981481478</v>
      </c>
      <c r="D80">
        <v>0</v>
      </c>
      <c r="E80">
        <v>2</v>
      </c>
      <c r="F80" t="s">
        <v>17</v>
      </c>
      <c r="G80" t="s">
        <v>113</v>
      </c>
      <c r="H80" t="str">
        <f>HYPERLINK("http://pbs.twimg.com/media/FjkDT5dXwAEuCdG.jpg", "http://pbs.twimg.com/media/FjkDT5dXwAEuCdG.jpg")</f>
        <v>http://pbs.twimg.com/media/FjkDT5dXwAEuCdG.jpg</v>
      </c>
      <c r="I80" t="str">
        <f>HYPERLINK("http://pbs.twimg.com/media/FjkDVsKX0AEw-A2.jpg", "http://pbs.twimg.com/media/FjkDVsKX0AEw-A2.jpg")</f>
        <v>http://pbs.twimg.com/media/FjkDVsKX0AEw-A2.jpg</v>
      </c>
      <c r="L80">
        <v>0</v>
      </c>
      <c r="M80">
        <v>0</v>
      </c>
      <c r="N80">
        <v>1</v>
      </c>
      <c r="O80">
        <v>0</v>
      </c>
    </row>
    <row r="81" spans="1:15" x14ac:dyDescent="0.2">
      <c r="A81" s="1" t="str">
        <f>HYPERLINK("http://www.twitter.com/banuakdenizli/status/1602345953201201152", "1602345953201201152")</f>
        <v>1602345953201201152</v>
      </c>
      <c r="B81" t="s">
        <v>15</v>
      </c>
      <c r="C81" s="2">
        <v>44907.703935185193</v>
      </c>
      <c r="D81">
        <v>0</v>
      </c>
      <c r="E81">
        <v>4</v>
      </c>
      <c r="F81" t="s">
        <v>17</v>
      </c>
      <c r="G81" t="s">
        <v>114</v>
      </c>
      <c r="H81" t="str">
        <f>HYPERLINK("http://pbs.twimg.com/media/FjkFEb6WQAAQlEy.jpg", "http://pbs.twimg.com/media/FjkFEb6WQAAQlEy.jpg")</f>
        <v>http://pbs.twimg.com/media/FjkFEb6WQAAQlEy.jpg</v>
      </c>
      <c r="I81" t="str">
        <f>HYPERLINK("http://pbs.twimg.com/media/FjkFEcrXkAMB4Ge.jpg", "http://pbs.twimg.com/media/FjkFEcrXkAMB4Ge.jpg")</f>
        <v>http://pbs.twimg.com/media/FjkFEcrXkAMB4Ge.jpg</v>
      </c>
      <c r="L81">
        <v>0</v>
      </c>
      <c r="M81">
        <v>0</v>
      </c>
      <c r="N81">
        <v>1</v>
      </c>
      <c r="O81">
        <v>0</v>
      </c>
    </row>
    <row r="82" spans="1:15" x14ac:dyDescent="0.2">
      <c r="A82" s="1" t="str">
        <f>HYPERLINK("http://www.twitter.com/banuakdenizli/status/1602345925585911808", "1602345925585911808")</f>
        <v>1602345925585911808</v>
      </c>
      <c r="B82" t="s">
        <v>15</v>
      </c>
      <c r="C82" s="2">
        <v>44907.70385416667</v>
      </c>
      <c r="D82">
        <v>0</v>
      </c>
      <c r="E82">
        <v>3</v>
      </c>
      <c r="F82" t="s">
        <v>17</v>
      </c>
      <c r="G82" t="s">
        <v>115</v>
      </c>
      <c r="H82" t="str">
        <f>HYPERLINK("http://pbs.twimg.com/media/FjnDjcPXgAIbZUE.jpg", "http://pbs.twimg.com/media/FjnDjcPXgAIbZUE.jpg")</f>
        <v>http://pbs.twimg.com/media/FjnDjcPXgAIbZUE.jpg</v>
      </c>
      <c r="L82">
        <v>0</v>
      </c>
      <c r="M82">
        <v>0</v>
      </c>
      <c r="N82">
        <v>1</v>
      </c>
      <c r="O82">
        <v>0</v>
      </c>
    </row>
    <row r="83" spans="1:15" x14ac:dyDescent="0.2">
      <c r="A83" s="1" t="str">
        <f>HYPERLINK("http://www.twitter.com/banuakdenizli/status/1602345913871106048", "1602345913871106048")</f>
        <v>1602345913871106048</v>
      </c>
      <c r="B83" t="s">
        <v>15</v>
      </c>
      <c r="C83" s="2">
        <v>44907.703819444447</v>
      </c>
      <c r="D83">
        <v>0</v>
      </c>
      <c r="E83">
        <v>3</v>
      </c>
      <c r="F83" t="s">
        <v>17</v>
      </c>
      <c r="G83" t="s">
        <v>116</v>
      </c>
      <c r="H83" t="str">
        <f>HYPERLINK("http://pbs.twimg.com/media/Fjoue4EXgAElljJ.jpg", "http://pbs.twimg.com/media/Fjoue4EXgAElljJ.jpg")</f>
        <v>http://pbs.twimg.com/media/Fjoue4EXgAElljJ.jpg</v>
      </c>
      <c r="L83">
        <v>0</v>
      </c>
      <c r="M83">
        <v>0</v>
      </c>
      <c r="N83">
        <v>1</v>
      </c>
      <c r="O83">
        <v>0</v>
      </c>
    </row>
    <row r="84" spans="1:15" x14ac:dyDescent="0.2">
      <c r="A84" s="1" t="str">
        <f>HYPERLINK("http://www.twitter.com/banuakdenizli/status/1602345899933540356", "1602345899933540356")</f>
        <v>1602345899933540356</v>
      </c>
      <c r="B84" t="s">
        <v>15</v>
      </c>
      <c r="C84" s="2">
        <v>44907.703784722216</v>
      </c>
      <c r="D84">
        <v>0</v>
      </c>
      <c r="E84">
        <v>4</v>
      </c>
      <c r="F84" t="s">
        <v>17</v>
      </c>
      <c r="G84" t="s">
        <v>117</v>
      </c>
      <c r="H84" t="str">
        <f>HYPERLINK("http://pbs.twimg.com/media/FjsZTTWWQAEJN8x.jpg", "http://pbs.twimg.com/media/FjsZTTWWQAEJN8x.jpg")</f>
        <v>http://pbs.twimg.com/media/FjsZTTWWQAEJN8x.jpg</v>
      </c>
      <c r="L84">
        <v>0</v>
      </c>
      <c r="M84">
        <v>0</v>
      </c>
      <c r="N84">
        <v>1</v>
      </c>
      <c r="O84">
        <v>0</v>
      </c>
    </row>
    <row r="85" spans="1:15" x14ac:dyDescent="0.2">
      <c r="A85" s="1" t="str">
        <f>HYPERLINK("http://www.twitter.com/banuakdenizli/status/1602345890181779463", "1602345890181779463")</f>
        <v>1602345890181779463</v>
      </c>
      <c r="B85" t="s">
        <v>15</v>
      </c>
      <c r="C85" s="2">
        <v>44907.703761574077</v>
      </c>
      <c r="D85">
        <v>0</v>
      </c>
      <c r="E85">
        <v>3</v>
      </c>
      <c r="F85" t="s">
        <v>17</v>
      </c>
      <c r="G85" t="s">
        <v>118</v>
      </c>
      <c r="H85" t="str">
        <f>HYPERLINK("http://pbs.twimg.com/media/Fjye5SzX0AM3BZY.jpg", "http://pbs.twimg.com/media/Fjye5SzX0AM3BZY.jpg")</f>
        <v>http://pbs.twimg.com/media/Fjye5SzX0AM3BZY.jpg</v>
      </c>
      <c r="L85">
        <v>0</v>
      </c>
      <c r="M85">
        <v>0</v>
      </c>
      <c r="N85">
        <v>1</v>
      </c>
      <c r="O85">
        <v>0</v>
      </c>
    </row>
    <row r="86" spans="1:15" x14ac:dyDescent="0.2">
      <c r="A86" s="1" t="str">
        <f>HYPERLINK("http://www.twitter.com/banuakdenizli/status/1602345846867107846", "1602345846867107846")</f>
        <v>1602345846867107846</v>
      </c>
      <c r="B86" t="s">
        <v>15</v>
      </c>
      <c r="C86" s="2">
        <v>44907.703634259262</v>
      </c>
      <c r="D86">
        <v>0</v>
      </c>
      <c r="E86">
        <v>18</v>
      </c>
      <c r="F86" t="s">
        <v>18</v>
      </c>
      <c r="G86" t="s">
        <v>119</v>
      </c>
      <c r="H86" t="str">
        <f>HYPERLINK("https://video.twimg.com/amplify_video/1602331902228058112/vid/1920x1080/oeKUd-cSMsKFwoXi.mp4?tag=16", "https://video.twimg.com/amplify_video/1602331902228058112/vid/1920x1080/oeKUd-cSMsKFwoXi.mp4?tag=16")</f>
        <v>https://video.twimg.com/amplify_video/1602331902228058112/vid/1920x1080/oeKUd-cSMsKFwoXi.mp4?tag=16</v>
      </c>
      <c r="L86">
        <v>0.38179999999999997</v>
      </c>
      <c r="M86">
        <v>0</v>
      </c>
      <c r="N86">
        <v>0.88</v>
      </c>
      <c r="O86">
        <v>0.12</v>
      </c>
    </row>
    <row r="87" spans="1:15" x14ac:dyDescent="0.2">
      <c r="A87" s="1" t="str">
        <f>HYPERLINK("http://www.twitter.com/banuakdenizli/status/1602345835496456196", "1602345835496456196")</f>
        <v>1602345835496456196</v>
      </c>
      <c r="B87" t="s">
        <v>15</v>
      </c>
      <c r="C87" s="2">
        <v>44907.703599537039</v>
      </c>
      <c r="D87">
        <v>0</v>
      </c>
      <c r="E87">
        <v>20</v>
      </c>
      <c r="F87" t="s">
        <v>18</v>
      </c>
      <c r="G87" t="s">
        <v>120</v>
      </c>
      <c r="H87" t="str">
        <f>HYPERLINK("http://pbs.twimg.com/media/FjyKiHLWYAAzJFe.jpg", "http://pbs.twimg.com/media/FjyKiHLWYAAzJFe.jpg")</f>
        <v>http://pbs.twimg.com/media/FjyKiHLWYAAzJFe.jpg</v>
      </c>
      <c r="I87" t="str">
        <f>HYPERLINK("http://pbs.twimg.com/media/FjyKjWXXEAUtOzw.jpg", "http://pbs.twimg.com/media/FjyKjWXXEAUtOzw.jpg")</f>
        <v>http://pbs.twimg.com/media/FjyKjWXXEAUtOzw.jpg</v>
      </c>
      <c r="L87">
        <v>0.38179999999999997</v>
      </c>
      <c r="M87">
        <v>0</v>
      </c>
      <c r="N87">
        <v>0.89800000000000002</v>
      </c>
      <c r="O87">
        <v>0.10199999999999999</v>
      </c>
    </row>
    <row r="88" spans="1:15" x14ac:dyDescent="0.2">
      <c r="A88" s="1" t="str">
        <f>HYPERLINK("http://www.twitter.com/banuakdenizli/status/1602345824452841472", "1602345824452841472")</f>
        <v>1602345824452841472</v>
      </c>
      <c r="B88" t="s">
        <v>15</v>
      </c>
      <c r="C88" s="2">
        <v>44907.703576388893</v>
      </c>
      <c r="D88">
        <v>0</v>
      </c>
      <c r="E88">
        <v>12</v>
      </c>
      <c r="F88" t="s">
        <v>18</v>
      </c>
      <c r="G88" t="s">
        <v>121</v>
      </c>
      <c r="H88" t="str">
        <f>HYPERLINK("http://pbs.twimg.com/media/Fjx91w2X0AQrC8s.jpg", "http://pbs.twimg.com/media/Fjx91w2X0AQrC8s.jpg")</f>
        <v>http://pbs.twimg.com/media/Fjx91w2X0AQrC8s.jpg</v>
      </c>
      <c r="L88">
        <v>0</v>
      </c>
      <c r="M88">
        <v>0</v>
      </c>
      <c r="N88">
        <v>1</v>
      </c>
      <c r="O88">
        <v>0</v>
      </c>
    </row>
    <row r="89" spans="1:15" x14ac:dyDescent="0.2">
      <c r="A89" s="1" t="str">
        <f>HYPERLINK("http://www.twitter.com/banuakdenizli/status/1602345809999183877", "1602345809999183877")</f>
        <v>1602345809999183877</v>
      </c>
      <c r="B89" t="s">
        <v>15</v>
      </c>
      <c r="C89" s="2">
        <v>44907.703530092593</v>
      </c>
      <c r="D89">
        <v>0</v>
      </c>
      <c r="E89">
        <v>39</v>
      </c>
      <c r="F89" t="s">
        <v>20</v>
      </c>
      <c r="G89" t="s">
        <v>122</v>
      </c>
      <c r="H89" t="str">
        <f>HYPERLINK("http://pbs.twimg.com/media/Fjx69I8WYAARAm6.jpg", "http://pbs.twimg.com/media/Fjx69I8WYAARAm6.jpg")</f>
        <v>http://pbs.twimg.com/media/Fjx69I8WYAARAm6.jpg</v>
      </c>
      <c r="I89" t="str">
        <f>HYPERLINK("http://pbs.twimg.com/media/Fjx69I7XgAMXb8Q.jpg", "http://pbs.twimg.com/media/Fjx69I7XgAMXb8Q.jpg")</f>
        <v>http://pbs.twimg.com/media/Fjx69I7XgAMXb8Q.jpg</v>
      </c>
      <c r="L89">
        <v>0.79059999999999997</v>
      </c>
      <c r="M89">
        <v>0</v>
      </c>
      <c r="N89">
        <v>0.82599999999999996</v>
      </c>
      <c r="O89">
        <v>0.17399999999999999</v>
      </c>
    </row>
    <row r="90" spans="1:15" x14ac:dyDescent="0.2">
      <c r="A90" s="1" t="str">
        <f>HYPERLINK("http://www.twitter.com/banuakdenizli/status/1602345773311709186", "1602345773311709186")</f>
        <v>1602345773311709186</v>
      </c>
      <c r="B90" t="s">
        <v>15</v>
      </c>
      <c r="C90" s="2">
        <v>44907.7034375</v>
      </c>
      <c r="D90">
        <v>0</v>
      </c>
      <c r="E90">
        <v>8</v>
      </c>
      <c r="F90" t="s">
        <v>18</v>
      </c>
      <c r="G90" t="s">
        <v>123</v>
      </c>
      <c r="H90" t="str">
        <f>HYPERLINK("http://pbs.twimg.com/media/Fjs-ANLXwAEZ1Uq.jpg", "http://pbs.twimg.com/media/Fjs-ANLXwAEZ1Uq.jpg")</f>
        <v>http://pbs.twimg.com/media/Fjs-ANLXwAEZ1Uq.jpg</v>
      </c>
      <c r="I90" t="str">
        <f>HYPERLINK("http://pbs.twimg.com/media/Fjs-ANLWIAMj6CB.jpg", "http://pbs.twimg.com/media/Fjs-ANLWIAMj6CB.jpg")</f>
        <v>http://pbs.twimg.com/media/Fjs-ANLWIAMj6CB.jpg</v>
      </c>
      <c r="L90">
        <v>0</v>
      </c>
      <c r="M90">
        <v>0</v>
      </c>
      <c r="N90">
        <v>1</v>
      </c>
      <c r="O90">
        <v>0</v>
      </c>
    </row>
    <row r="91" spans="1:15" x14ac:dyDescent="0.2">
      <c r="A91" s="1" t="str">
        <f>HYPERLINK("http://www.twitter.com/banuakdenizli/status/1602345763085946887", "1602345763085946887")</f>
        <v>1602345763085946887</v>
      </c>
      <c r="B91" t="s">
        <v>15</v>
      </c>
      <c r="C91" s="2">
        <v>44907.703402777777</v>
      </c>
      <c r="D91">
        <v>0</v>
      </c>
      <c r="E91">
        <v>15</v>
      </c>
      <c r="F91" t="s">
        <v>18</v>
      </c>
      <c r="G91" t="s">
        <v>124</v>
      </c>
      <c r="H91" t="str">
        <f>HYPERLINK("http://pbs.twimg.com/media/FjsZ9pMXgAAh9EL.jpg", "http://pbs.twimg.com/media/FjsZ9pMXgAAh9EL.jpg")</f>
        <v>http://pbs.twimg.com/media/FjsZ9pMXgAAh9EL.jpg</v>
      </c>
      <c r="L91">
        <v>0.2732</v>
      </c>
      <c r="M91">
        <v>0</v>
      </c>
      <c r="N91">
        <v>0.93</v>
      </c>
      <c r="O91">
        <v>7.0000000000000007E-2</v>
      </c>
    </row>
    <row r="92" spans="1:15" x14ac:dyDescent="0.2">
      <c r="A92" s="1" t="str">
        <f>HYPERLINK("http://www.twitter.com/banuakdenizli/status/1602345749647327237", "1602345749647327237")</f>
        <v>1602345749647327237</v>
      </c>
      <c r="B92" t="s">
        <v>15</v>
      </c>
      <c r="C92" s="2">
        <v>44907.703368055547</v>
      </c>
      <c r="D92">
        <v>0</v>
      </c>
      <c r="E92">
        <v>10</v>
      </c>
      <c r="F92" t="s">
        <v>18</v>
      </c>
      <c r="G92" t="s">
        <v>125</v>
      </c>
      <c r="H92" t="str">
        <f>HYPERLINK("http://pbs.twimg.com/media/Fjr3gIZXkAAT5sF.jpg", "http://pbs.twimg.com/media/Fjr3gIZXkAAT5sF.jpg")</f>
        <v>http://pbs.twimg.com/media/Fjr3gIZXkAAT5sF.jpg</v>
      </c>
      <c r="I92" t="str">
        <f>HYPERLINK("http://pbs.twimg.com/media/Fjr3gIZXgAEcwKx.jpg", "http://pbs.twimg.com/media/Fjr3gIZXgAEcwKx.jpg")</f>
        <v>http://pbs.twimg.com/media/Fjr3gIZXgAEcwKx.jpg</v>
      </c>
      <c r="J92" t="str">
        <f>HYPERLINK("http://pbs.twimg.com/media/Fjr3gIbWIAA3s9Y.jpg", "http://pbs.twimg.com/media/Fjr3gIbWIAA3s9Y.jpg")</f>
        <v>http://pbs.twimg.com/media/Fjr3gIbWIAA3s9Y.jpg</v>
      </c>
      <c r="K92" t="str">
        <f>HYPERLINK("http://pbs.twimg.com/media/Fjr3gIaWAAEBzEv.jpg", "http://pbs.twimg.com/media/Fjr3gIaWAAEBzEv.jpg")</f>
        <v>http://pbs.twimg.com/media/Fjr3gIaWAAEBzEv.jpg</v>
      </c>
      <c r="L92">
        <v>0</v>
      </c>
      <c r="M92">
        <v>0</v>
      </c>
      <c r="N92">
        <v>1</v>
      </c>
      <c r="O92">
        <v>0</v>
      </c>
    </row>
    <row r="93" spans="1:15" x14ac:dyDescent="0.2">
      <c r="A93" s="1" t="str">
        <f>HYPERLINK("http://www.twitter.com/banuakdenizli/status/1602345722732503040", "1602345722732503040")</f>
        <v>1602345722732503040</v>
      </c>
      <c r="B93" t="s">
        <v>15</v>
      </c>
      <c r="C93" s="2">
        <v>44907.703298611108</v>
      </c>
      <c r="D93">
        <v>0</v>
      </c>
      <c r="E93">
        <v>6</v>
      </c>
      <c r="F93" t="s">
        <v>18</v>
      </c>
      <c r="G93" t="s">
        <v>126</v>
      </c>
      <c r="H93" t="str">
        <f>HYPERLINK("http://pbs.twimg.com/media/FjonUPiXoAMGkjy.jpg", "http://pbs.twimg.com/media/FjonUPiXoAMGkjy.jpg")</f>
        <v>http://pbs.twimg.com/media/FjonUPiXoAMGkjy.jpg</v>
      </c>
      <c r="L93">
        <v>0.61240000000000006</v>
      </c>
      <c r="M93">
        <v>0</v>
      </c>
      <c r="N93">
        <v>0.83899999999999997</v>
      </c>
      <c r="O93">
        <v>0.161</v>
      </c>
    </row>
    <row r="94" spans="1:15" x14ac:dyDescent="0.2">
      <c r="A94" s="1" t="str">
        <f>HYPERLINK("http://www.twitter.com/banuakdenizli/status/1602345711231815686", "1602345711231815686")</f>
        <v>1602345711231815686</v>
      </c>
      <c r="B94" t="s">
        <v>15</v>
      </c>
      <c r="C94" s="2">
        <v>44907.703263888892</v>
      </c>
      <c r="D94">
        <v>0</v>
      </c>
      <c r="E94">
        <v>11</v>
      </c>
      <c r="F94" t="s">
        <v>18</v>
      </c>
      <c r="G94" t="s">
        <v>127</v>
      </c>
      <c r="H94" t="str">
        <f>HYPERLINK("http://pbs.twimg.com/media/FjoNStfXwAEszge.jpg", "http://pbs.twimg.com/media/FjoNStfXwAEszge.jpg")</f>
        <v>http://pbs.twimg.com/media/FjoNStfXwAEszge.jpg</v>
      </c>
      <c r="L94">
        <v>0.36120000000000002</v>
      </c>
      <c r="M94">
        <v>0</v>
      </c>
      <c r="N94">
        <v>0.88400000000000001</v>
      </c>
      <c r="O94">
        <v>0.11600000000000001</v>
      </c>
    </row>
    <row r="95" spans="1:15" x14ac:dyDescent="0.2">
      <c r="A95" s="1" t="str">
        <f>HYPERLINK("http://www.twitter.com/banuakdenizli/status/1602345692504145920", "1602345692504145920")</f>
        <v>1602345692504145920</v>
      </c>
      <c r="B95" t="s">
        <v>15</v>
      </c>
      <c r="C95" s="2">
        <v>44907.703206018523</v>
      </c>
      <c r="D95">
        <v>0</v>
      </c>
      <c r="E95">
        <v>3</v>
      </c>
      <c r="F95" t="s">
        <v>18</v>
      </c>
      <c r="G95" t="s">
        <v>128</v>
      </c>
      <c r="H95" t="str">
        <f>HYPERLINK("http://pbs.twimg.com/media/Fjn9Ht3XoAEFXbS.jpg", "http://pbs.twimg.com/media/Fjn9Ht3XoAEFXbS.jpg")</f>
        <v>http://pbs.twimg.com/media/Fjn9Ht3XoAEFXbS.jpg</v>
      </c>
      <c r="L95">
        <v>0</v>
      </c>
      <c r="M95">
        <v>0</v>
      </c>
      <c r="N95">
        <v>1</v>
      </c>
      <c r="O95">
        <v>0</v>
      </c>
    </row>
    <row r="96" spans="1:15" x14ac:dyDescent="0.2">
      <c r="A96" s="1" t="str">
        <f>HYPERLINK("http://www.twitter.com/banuakdenizli/status/1602345661973790722", "1602345661973790722")</f>
        <v>1602345661973790722</v>
      </c>
      <c r="B96" t="s">
        <v>15</v>
      </c>
      <c r="C96" s="2">
        <v>44907.703125</v>
      </c>
      <c r="D96">
        <v>0</v>
      </c>
      <c r="E96">
        <v>11</v>
      </c>
      <c r="F96" t="s">
        <v>18</v>
      </c>
      <c r="G96" t="s">
        <v>129</v>
      </c>
      <c r="H96" t="str">
        <f>HYPERLINK("http://pbs.twimg.com/media/Fjm6uewWIAEoHxe.jpg", "http://pbs.twimg.com/media/Fjm6uewWIAEoHxe.jpg")</f>
        <v>http://pbs.twimg.com/media/Fjm6uewWIAEoHxe.jpg</v>
      </c>
      <c r="L96">
        <v>0</v>
      </c>
      <c r="M96">
        <v>0</v>
      </c>
      <c r="N96">
        <v>1</v>
      </c>
      <c r="O96">
        <v>0</v>
      </c>
    </row>
    <row r="97" spans="1:15" x14ac:dyDescent="0.2">
      <c r="A97" s="1" t="str">
        <f>HYPERLINK("http://www.twitter.com/banuakdenizli/status/1602345645519605760", "1602345645519605760")</f>
        <v>1602345645519605760</v>
      </c>
      <c r="B97" t="s">
        <v>15</v>
      </c>
      <c r="C97" s="2">
        <v>44907.7030787037</v>
      </c>
      <c r="D97">
        <v>0</v>
      </c>
      <c r="E97">
        <v>7</v>
      </c>
      <c r="F97" t="s">
        <v>18</v>
      </c>
      <c r="G97" t="s">
        <v>130</v>
      </c>
      <c r="H97" t="str">
        <f>HYPERLINK("http://pbs.twimg.com/media/FjkWQkJWIAIMsMu.jpg", "http://pbs.twimg.com/media/FjkWQkJWIAIMsMu.jpg")</f>
        <v>http://pbs.twimg.com/media/FjkWQkJWIAIMsMu.jpg</v>
      </c>
      <c r="L97">
        <v>0.40189999999999998</v>
      </c>
      <c r="M97">
        <v>0</v>
      </c>
      <c r="N97">
        <v>0.89100000000000001</v>
      </c>
      <c r="O97">
        <v>0.109</v>
      </c>
    </row>
    <row r="98" spans="1:15" x14ac:dyDescent="0.2">
      <c r="A98" s="1" t="str">
        <f>HYPERLINK("http://www.twitter.com/banuakdenizli/status/1602345489021952000", "1602345489021952000")</f>
        <v>1602345489021952000</v>
      </c>
      <c r="B98" t="s">
        <v>15</v>
      </c>
      <c r="C98" s="2">
        <v>44907.702650462961</v>
      </c>
      <c r="D98">
        <v>0</v>
      </c>
      <c r="E98">
        <v>52</v>
      </c>
      <c r="F98" t="s">
        <v>20</v>
      </c>
      <c r="G98" t="s">
        <v>131</v>
      </c>
      <c r="H98" t="str">
        <f>HYPERLINK("http://pbs.twimg.com/media/FjxywgjWIAYESq-.jpg", "http://pbs.twimg.com/media/FjxywgjWIAYESq-.jpg")</f>
        <v>http://pbs.twimg.com/media/FjxywgjWIAYESq-.jpg</v>
      </c>
      <c r="I98" t="str">
        <f>HYPERLINK("http://pbs.twimg.com/media/FjxywglXoAAj0OF.jpg", "http://pbs.twimg.com/media/FjxywglXoAAj0OF.jpg")</f>
        <v>http://pbs.twimg.com/media/FjxywglXoAAj0OF.jpg</v>
      </c>
      <c r="L98">
        <v>0</v>
      </c>
      <c r="M98">
        <v>0</v>
      </c>
      <c r="N98">
        <v>1</v>
      </c>
      <c r="O98">
        <v>0</v>
      </c>
    </row>
    <row r="99" spans="1:15" x14ac:dyDescent="0.2">
      <c r="A99" s="1" t="str">
        <f>HYPERLINK("http://www.twitter.com/banuakdenizli/status/1602345474354253824", "1602345474354253824")</f>
        <v>1602345474354253824</v>
      </c>
      <c r="B99" t="s">
        <v>15</v>
      </c>
      <c r="C99" s="2">
        <v>44907.702604166669</v>
      </c>
      <c r="D99">
        <v>0</v>
      </c>
      <c r="E99">
        <v>15</v>
      </c>
      <c r="F99" t="s">
        <v>16</v>
      </c>
      <c r="G99" t="s">
        <v>132</v>
      </c>
      <c r="H99" t="str">
        <f>HYPERLINK("http://pbs.twimg.com/media/Fjxzvj4XkAE-5Oy.jpg", "http://pbs.twimg.com/media/Fjxzvj4XkAE-5Oy.jpg")</f>
        <v>http://pbs.twimg.com/media/Fjxzvj4XkAE-5Oy.jpg</v>
      </c>
      <c r="I99" t="str">
        <f>HYPERLINK("http://pbs.twimg.com/media/FjxzwpsWQAEWAXQ.jpg", "http://pbs.twimg.com/media/FjxzwpsWQAEWAXQ.jpg")</f>
        <v>http://pbs.twimg.com/media/FjxzwpsWQAEWAXQ.jpg</v>
      </c>
      <c r="L99">
        <v>0</v>
      </c>
      <c r="M99">
        <v>0</v>
      </c>
      <c r="N99">
        <v>1</v>
      </c>
      <c r="O99">
        <v>0</v>
      </c>
    </row>
    <row r="100" spans="1:15" x14ac:dyDescent="0.2">
      <c r="A100" s="1" t="str">
        <f>HYPERLINK("http://www.twitter.com/banuakdenizli/status/1602345464170414083", "1602345464170414083")</f>
        <v>1602345464170414083</v>
      </c>
      <c r="B100" t="s">
        <v>15</v>
      </c>
      <c r="C100" s="2">
        <v>44907.702581018522</v>
      </c>
      <c r="D100">
        <v>0</v>
      </c>
      <c r="E100">
        <v>9</v>
      </c>
      <c r="F100" t="s">
        <v>16</v>
      </c>
      <c r="G100" t="s">
        <v>133</v>
      </c>
      <c r="H100" t="str">
        <f>HYPERLINK("http://pbs.twimg.com/media/FjxtljMWAAApEsJ.jpg", "http://pbs.twimg.com/media/FjxtljMWAAApEsJ.jpg")</f>
        <v>http://pbs.twimg.com/media/FjxtljMWAAApEsJ.jpg</v>
      </c>
      <c r="I100" t="str">
        <f>HYPERLINK("http://pbs.twimg.com/media/FjxtljJXEAEWYVk.jpg", "http://pbs.twimg.com/media/FjxtljJXEAEWYVk.jpg")</f>
        <v>http://pbs.twimg.com/media/FjxtljJXEAEWYVk.jpg</v>
      </c>
      <c r="L100">
        <v>0</v>
      </c>
      <c r="M100">
        <v>0</v>
      </c>
      <c r="N100">
        <v>1</v>
      </c>
      <c r="O100">
        <v>0</v>
      </c>
    </row>
    <row r="101" spans="1:15" x14ac:dyDescent="0.2">
      <c r="A101" s="1" t="str">
        <f>HYPERLINK("http://www.twitter.com/banuakdenizli/status/1602345404485566464", "1602345404485566464")</f>
        <v>1602345404485566464</v>
      </c>
      <c r="B101" t="s">
        <v>15</v>
      </c>
      <c r="C101" s="2">
        <v>44907.702418981477</v>
      </c>
      <c r="D101">
        <v>0</v>
      </c>
      <c r="E101">
        <v>6</v>
      </c>
      <c r="F101" t="s">
        <v>16</v>
      </c>
      <c r="G101" t="s">
        <v>134</v>
      </c>
      <c r="H101" t="str">
        <f>HYPERLINK("http://pbs.twimg.com/media/Fjs9txwWIAcPpdQ.jpg", "http://pbs.twimg.com/media/Fjs9txwWIAcPpdQ.jpg")</f>
        <v>http://pbs.twimg.com/media/Fjs9txwWIAcPpdQ.jpg</v>
      </c>
      <c r="I101" t="str">
        <f>HYPERLINK("http://pbs.twimg.com/media/Fjs9tvuXEAEEuBf.jpg", "http://pbs.twimg.com/media/Fjs9tvuXEAEEuBf.jpg")</f>
        <v>http://pbs.twimg.com/media/Fjs9tvuXEAEEuBf.jpg</v>
      </c>
      <c r="L101">
        <v>0</v>
      </c>
      <c r="M101">
        <v>0</v>
      </c>
      <c r="N101">
        <v>1</v>
      </c>
      <c r="O101">
        <v>0</v>
      </c>
    </row>
    <row r="102" spans="1:15" x14ac:dyDescent="0.2">
      <c r="A102" s="1" t="str">
        <f>HYPERLINK("http://www.twitter.com/banuakdenizli/status/1602345390644281348", "1602345390644281348")</f>
        <v>1602345390644281348</v>
      </c>
      <c r="B102" t="s">
        <v>15</v>
      </c>
      <c r="C102" s="2">
        <v>44907.702372685177</v>
      </c>
      <c r="D102">
        <v>0</v>
      </c>
      <c r="E102">
        <v>14</v>
      </c>
      <c r="F102" t="s">
        <v>16</v>
      </c>
      <c r="G102" t="s">
        <v>135</v>
      </c>
      <c r="H102" t="str">
        <f>HYPERLINK("http://pbs.twimg.com/media/FjsMDRgXoAAGUnM.jpg", "http://pbs.twimg.com/media/FjsMDRgXoAAGUnM.jpg")</f>
        <v>http://pbs.twimg.com/media/FjsMDRgXoAAGUnM.jpg</v>
      </c>
      <c r="L102">
        <v>0</v>
      </c>
      <c r="M102">
        <v>0</v>
      </c>
      <c r="N102">
        <v>1</v>
      </c>
      <c r="O102">
        <v>0</v>
      </c>
    </row>
    <row r="103" spans="1:15" x14ac:dyDescent="0.2">
      <c r="A103" s="1" t="str">
        <f>HYPERLINK("http://www.twitter.com/banuakdenizli/status/1602345293621743618", "1602345293621743618")</f>
        <v>1602345293621743618</v>
      </c>
      <c r="B103" t="s">
        <v>15</v>
      </c>
      <c r="C103" s="2">
        <v>44907.702106481483</v>
      </c>
      <c r="D103">
        <v>0</v>
      </c>
      <c r="E103">
        <v>13</v>
      </c>
      <c r="F103" t="s">
        <v>16</v>
      </c>
      <c r="G103" t="s">
        <v>136</v>
      </c>
      <c r="H103" t="str">
        <f>HYPERLINK("http://pbs.twimg.com/media/Fjn82NgXgAEl1tI.jpg", "http://pbs.twimg.com/media/Fjn82NgXgAEl1tI.jpg")</f>
        <v>http://pbs.twimg.com/media/Fjn82NgXgAEl1tI.jpg</v>
      </c>
      <c r="L103">
        <v>0</v>
      </c>
      <c r="M103">
        <v>0</v>
      </c>
      <c r="N103">
        <v>1</v>
      </c>
      <c r="O103">
        <v>0</v>
      </c>
    </row>
    <row r="104" spans="1:15" x14ac:dyDescent="0.2">
      <c r="A104" s="1" t="str">
        <f>HYPERLINK("http://www.twitter.com/banuakdenizli/status/1602345280002822145", "1602345280002822145")</f>
        <v>1602345280002822145</v>
      </c>
      <c r="B104" t="s">
        <v>15</v>
      </c>
      <c r="C104" s="2">
        <v>44907.70207175926</v>
      </c>
      <c r="D104">
        <v>0</v>
      </c>
      <c r="E104">
        <v>9</v>
      </c>
      <c r="F104" t="s">
        <v>16</v>
      </c>
      <c r="G104" t="s">
        <v>137</v>
      </c>
      <c r="H104" t="str">
        <f>HYPERLINK("http://pbs.twimg.com/media/Fjn7nGqXkAIlfFs.jpg", "http://pbs.twimg.com/media/Fjn7nGqXkAIlfFs.jpg")</f>
        <v>http://pbs.twimg.com/media/Fjn7nGqXkAIlfFs.jpg</v>
      </c>
      <c r="L104">
        <v>0</v>
      </c>
      <c r="M104">
        <v>0</v>
      </c>
      <c r="N104">
        <v>1</v>
      </c>
      <c r="O104">
        <v>0</v>
      </c>
    </row>
    <row r="105" spans="1:15" x14ac:dyDescent="0.2">
      <c r="A105" s="1" t="str">
        <f>HYPERLINK("http://www.twitter.com/banuakdenizli/status/1602345178475659264", "1602345178475659264")</f>
        <v>1602345178475659264</v>
      </c>
      <c r="B105" t="s">
        <v>15</v>
      </c>
      <c r="C105" s="2">
        <v>44907.701793981483</v>
      </c>
      <c r="D105">
        <v>0</v>
      </c>
      <c r="E105">
        <v>12</v>
      </c>
      <c r="F105" t="s">
        <v>16</v>
      </c>
      <c r="G105" t="s">
        <v>138</v>
      </c>
      <c r="H105" t="str">
        <f>HYPERLINK("http://pbs.twimg.com/media/Fjm6VqkXwAIprIw.jpg", "http://pbs.twimg.com/media/Fjm6VqkXwAIprIw.jpg")</f>
        <v>http://pbs.twimg.com/media/Fjm6VqkXwAIprIw.jpg</v>
      </c>
      <c r="L105">
        <v>0</v>
      </c>
      <c r="M105">
        <v>0</v>
      </c>
      <c r="N105">
        <v>1</v>
      </c>
      <c r="O105">
        <v>0</v>
      </c>
    </row>
    <row r="106" spans="1:15" x14ac:dyDescent="0.2">
      <c r="A106" s="1" t="str">
        <f>HYPERLINK("http://www.twitter.com/banuakdenizli/status/1602345139250290690", "1602345139250290690")</f>
        <v>1602345139250290690</v>
      </c>
      <c r="B106" t="s">
        <v>15</v>
      </c>
      <c r="C106" s="2">
        <v>44907.701678240737</v>
      </c>
      <c r="D106">
        <v>0</v>
      </c>
      <c r="E106">
        <v>78</v>
      </c>
      <c r="F106" t="s">
        <v>23</v>
      </c>
      <c r="G106" t="s">
        <v>139</v>
      </c>
      <c r="H106" t="str">
        <f>HYPERLINK("http://pbs.twimg.com/media/FjhXTW-XwAAmLn8.jpg", "http://pbs.twimg.com/media/FjhXTW-XwAAmLn8.jpg")</f>
        <v>http://pbs.twimg.com/media/FjhXTW-XwAAmLn8.jpg</v>
      </c>
      <c r="L106">
        <v>0</v>
      </c>
      <c r="M106">
        <v>0</v>
      </c>
      <c r="N106">
        <v>1</v>
      </c>
      <c r="O106">
        <v>0</v>
      </c>
    </row>
    <row r="107" spans="1:15" x14ac:dyDescent="0.2">
      <c r="A107" s="1" t="str">
        <f>HYPERLINK("http://www.twitter.com/banuakdenizli/status/1602345122905133057", "1602345122905133057")</f>
        <v>1602345122905133057</v>
      </c>
      <c r="B107" t="s">
        <v>15</v>
      </c>
      <c r="C107" s="2">
        <v>44907.701643518521</v>
      </c>
      <c r="D107">
        <v>0</v>
      </c>
      <c r="E107">
        <v>52</v>
      </c>
      <c r="F107" t="s">
        <v>23</v>
      </c>
      <c r="G107" t="s">
        <v>140</v>
      </c>
      <c r="H107" t="str">
        <f>HYPERLINK("http://pbs.twimg.com/media/FjiJSabWAAU3m0v.jpg", "http://pbs.twimg.com/media/FjiJSabWAAU3m0v.jpg")</f>
        <v>http://pbs.twimg.com/media/FjiJSabWAAU3m0v.jpg</v>
      </c>
      <c r="L107">
        <v>0</v>
      </c>
      <c r="M107">
        <v>0</v>
      </c>
      <c r="N107">
        <v>1</v>
      </c>
      <c r="O107">
        <v>0</v>
      </c>
    </row>
    <row r="108" spans="1:15" x14ac:dyDescent="0.2">
      <c r="A108" s="1" t="str">
        <f>HYPERLINK("http://www.twitter.com/banuakdenizli/status/1602345114814349312", "1602345114814349312")</f>
        <v>1602345114814349312</v>
      </c>
      <c r="B108" t="s">
        <v>15</v>
      </c>
      <c r="C108" s="2">
        <v>44907.701620370368</v>
      </c>
      <c r="D108">
        <v>0</v>
      </c>
      <c r="E108">
        <v>57</v>
      </c>
      <c r="F108" t="s">
        <v>23</v>
      </c>
      <c r="G108" t="s">
        <v>141</v>
      </c>
      <c r="H108" t="str">
        <f>HYPERLINK("http://pbs.twimg.com/media/FjigNtjWQAAjwDx.jpg", "http://pbs.twimg.com/media/FjigNtjWQAAjwDx.jpg")</f>
        <v>http://pbs.twimg.com/media/FjigNtjWQAAjwDx.jpg</v>
      </c>
      <c r="L108">
        <v>0</v>
      </c>
      <c r="M108">
        <v>0</v>
      </c>
      <c r="N108">
        <v>1</v>
      </c>
      <c r="O108">
        <v>0</v>
      </c>
    </row>
    <row r="109" spans="1:15" x14ac:dyDescent="0.2">
      <c r="A109" s="1" t="str">
        <f>HYPERLINK("http://www.twitter.com/banuakdenizli/status/1602345104366346240", "1602345104366346240")</f>
        <v>1602345104366346240</v>
      </c>
      <c r="B109" t="s">
        <v>15</v>
      </c>
      <c r="C109" s="2">
        <v>44907.701585648138</v>
      </c>
      <c r="D109">
        <v>0</v>
      </c>
      <c r="E109">
        <v>2360</v>
      </c>
      <c r="F109" t="s">
        <v>22</v>
      </c>
      <c r="G109" t="s">
        <v>142</v>
      </c>
      <c r="H109" t="str">
        <f>HYPERLINK("http://pbs.twimg.com/media/FjjM0JvWYAYcpnQ.jpg", "http://pbs.twimg.com/media/FjjM0JvWYAYcpnQ.jpg")</f>
        <v>http://pbs.twimg.com/media/FjjM0JvWYAYcpnQ.jpg</v>
      </c>
      <c r="I109" t="str">
        <f>HYPERLINK("http://pbs.twimg.com/media/FjjM0JtX0AEVI9l.jpg", "http://pbs.twimg.com/media/FjjM0JtX0AEVI9l.jpg")</f>
        <v>http://pbs.twimg.com/media/FjjM0JtX0AEVI9l.jpg</v>
      </c>
      <c r="L109">
        <v>0</v>
      </c>
      <c r="M109">
        <v>0</v>
      </c>
      <c r="N109">
        <v>1</v>
      </c>
      <c r="O109">
        <v>0</v>
      </c>
    </row>
    <row r="110" spans="1:15" x14ac:dyDescent="0.2">
      <c r="A110" s="1" t="str">
        <f>HYPERLINK("http://www.twitter.com/banuakdenizli/status/1602345085198389249", "1602345085198389249")</f>
        <v>1602345085198389249</v>
      </c>
      <c r="B110" t="s">
        <v>15</v>
      </c>
      <c r="C110" s="2">
        <v>44907.701539351852</v>
      </c>
      <c r="D110">
        <v>0</v>
      </c>
      <c r="E110">
        <v>6</v>
      </c>
      <c r="F110" t="s">
        <v>16</v>
      </c>
      <c r="G110" t="s">
        <v>143</v>
      </c>
      <c r="H110" t="str">
        <f>HYPERLINK("http://pbs.twimg.com/media/FjjSo92XgAEvGGr.jpg", "http://pbs.twimg.com/media/FjjSo92XgAEvGGr.jpg")</f>
        <v>http://pbs.twimg.com/media/FjjSo92XgAEvGGr.jpg</v>
      </c>
      <c r="I110" t="str">
        <f>HYPERLINK("http://pbs.twimg.com/media/FjjSsVDXEAARVvy.jpg", "http://pbs.twimg.com/media/FjjSsVDXEAARVvy.jpg")</f>
        <v>http://pbs.twimg.com/media/FjjSsVDXEAARVvy.jpg</v>
      </c>
      <c r="L110">
        <v>0</v>
      </c>
      <c r="M110">
        <v>0</v>
      </c>
      <c r="N110">
        <v>1</v>
      </c>
      <c r="O110">
        <v>0</v>
      </c>
    </row>
    <row r="111" spans="1:15" x14ac:dyDescent="0.2">
      <c r="A111" s="1" t="str">
        <f>HYPERLINK("http://www.twitter.com/banuakdenizli/status/1600475860502388737", "1600475860502388737")</f>
        <v>1600475860502388737</v>
      </c>
      <c r="B111" t="s">
        <v>15</v>
      </c>
      <c r="C111" s="2">
        <v>44902.54346064815</v>
      </c>
      <c r="D111">
        <v>0</v>
      </c>
      <c r="E111">
        <v>5</v>
      </c>
      <c r="F111" t="s">
        <v>18</v>
      </c>
      <c r="G111" t="s">
        <v>144</v>
      </c>
      <c r="H111" t="str">
        <f>HYPERLINK("http://pbs.twimg.com/media/FjUgYCLWAAE_Fxb.jpg", "http://pbs.twimg.com/media/FjUgYCLWAAE_Fxb.jpg")</f>
        <v>http://pbs.twimg.com/media/FjUgYCLWAAE_Fxb.jpg</v>
      </c>
      <c r="L111">
        <v>0.79059999999999997</v>
      </c>
      <c r="M111">
        <v>0</v>
      </c>
      <c r="N111">
        <v>0.71399999999999997</v>
      </c>
      <c r="O111">
        <v>0.28599999999999998</v>
      </c>
    </row>
    <row r="112" spans="1:15" x14ac:dyDescent="0.2">
      <c r="A112" s="1" t="str">
        <f>HYPERLINK("http://www.twitter.com/banuakdenizli/status/1600475686132625408", "1600475686132625408")</f>
        <v>1600475686132625408</v>
      </c>
      <c r="B112" t="s">
        <v>15</v>
      </c>
      <c r="C112" s="2">
        <v>44902.542974537027</v>
      </c>
      <c r="D112">
        <v>0</v>
      </c>
      <c r="E112">
        <v>6</v>
      </c>
      <c r="F112" t="s">
        <v>16</v>
      </c>
      <c r="G112" t="s">
        <v>145</v>
      </c>
      <c r="H112" t="str">
        <f>HYPERLINK("http://pbs.twimg.com/media/FjWzr1NXgAEFYls.jpg", "http://pbs.twimg.com/media/FjWzr1NXgAEFYls.jpg")</f>
        <v>http://pbs.twimg.com/media/FjWzr1NXgAEFYls.jpg</v>
      </c>
      <c r="L112">
        <v>0</v>
      </c>
      <c r="M112">
        <v>0</v>
      </c>
      <c r="N112">
        <v>1</v>
      </c>
      <c r="O112">
        <v>0</v>
      </c>
    </row>
    <row r="113" spans="1:15" x14ac:dyDescent="0.2">
      <c r="A113" s="1" t="str">
        <f>HYPERLINK("http://www.twitter.com/banuakdenizli/status/1600475623289331713", "1600475623289331713")</f>
        <v>1600475623289331713</v>
      </c>
      <c r="B113" t="s">
        <v>15</v>
      </c>
      <c r="C113" s="2">
        <v>44902.542800925927</v>
      </c>
      <c r="D113">
        <v>0</v>
      </c>
      <c r="E113">
        <v>6</v>
      </c>
      <c r="F113" t="s">
        <v>18</v>
      </c>
      <c r="G113" t="s">
        <v>146</v>
      </c>
      <c r="H113" t="str">
        <f>HYPERLINK("http://pbs.twimg.com/media/FjUkBEwXEA8M7zn.jpg", "http://pbs.twimg.com/media/FjUkBEwXEA8M7zn.jpg")</f>
        <v>http://pbs.twimg.com/media/FjUkBEwXEA8M7zn.jpg</v>
      </c>
      <c r="L113">
        <v>0.62490000000000001</v>
      </c>
      <c r="M113">
        <v>0</v>
      </c>
      <c r="N113">
        <v>0.746</v>
      </c>
      <c r="O113">
        <v>0.254</v>
      </c>
    </row>
    <row r="114" spans="1:15" x14ac:dyDescent="0.2">
      <c r="A114" s="1" t="str">
        <f>HYPERLINK("http://www.twitter.com/banuakdenizli/status/1600475608017870849", "1600475608017870849")</f>
        <v>1600475608017870849</v>
      </c>
      <c r="B114" t="s">
        <v>15</v>
      </c>
      <c r="C114" s="2">
        <v>44902.542766203696</v>
      </c>
      <c r="D114">
        <v>0</v>
      </c>
      <c r="E114">
        <v>77</v>
      </c>
      <c r="F114" t="s">
        <v>147</v>
      </c>
      <c r="G114" t="s">
        <v>148</v>
      </c>
      <c r="H114" t="str">
        <f>HYPERLINK("http://pbs.twimg.com/media/FjTEM9OWIAU8L5Y.jpg", "http://pbs.twimg.com/media/FjTEM9OWIAU8L5Y.jpg")</f>
        <v>http://pbs.twimg.com/media/FjTEM9OWIAU8L5Y.jpg</v>
      </c>
      <c r="I114" t="str">
        <f>HYPERLINK("http://pbs.twimg.com/media/FjTEM9MXEAA3RCc.jpg", "http://pbs.twimg.com/media/FjTEM9MXEAA3RCc.jpg")</f>
        <v>http://pbs.twimg.com/media/FjTEM9MXEAA3RCc.jpg</v>
      </c>
      <c r="J114" t="str">
        <f>HYPERLINK("http://pbs.twimg.com/media/FjTEM9LWIAAvX7T.jpg", "http://pbs.twimg.com/media/FjTEM9LWIAAvX7T.jpg")</f>
        <v>http://pbs.twimg.com/media/FjTEM9LWIAAvX7T.jpg</v>
      </c>
      <c r="L114">
        <v>0</v>
      </c>
      <c r="M114">
        <v>0</v>
      </c>
      <c r="N114">
        <v>1</v>
      </c>
      <c r="O114">
        <v>0</v>
      </c>
    </row>
    <row r="115" spans="1:15" x14ac:dyDescent="0.2">
      <c r="A115" s="1" t="str">
        <f>HYPERLINK("http://www.twitter.com/banuakdenizli/status/1600475586236805123", "1600475586236805123")</f>
        <v>1600475586236805123</v>
      </c>
      <c r="B115" t="s">
        <v>15</v>
      </c>
      <c r="C115" s="2">
        <v>44902.542696759258</v>
      </c>
      <c r="D115">
        <v>0</v>
      </c>
      <c r="E115">
        <v>9</v>
      </c>
      <c r="F115" t="s">
        <v>16</v>
      </c>
      <c r="G115" t="s">
        <v>149</v>
      </c>
      <c r="H115" t="str">
        <f>HYPERLINK("http://pbs.twimg.com/media/FjW1i69XkAA7Qk6.jpg", "http://pbs.twimg.com/media/FjW1i69XkAA7Qk6.jpg")</f>
        <v>http://pbs.twimg.com/media/FjW1i69XkAA7Qk6.jpg</v>
      </c>
      <c r="I115" t="str">
        <f>HYPERLINK("http://pbs.twimg.com/media/FjW1i7BWIAAyMJa.jpg", "http://pbs.twimg.com/media/FjW1i7BWIAAyMJa.jpg")</f>
        <v>http://pbs.twimg.com/media/FjW1i7BWIAAyMJa.jpg</v>
      </c>
      <c r="L115">
        <v>0</v>
      </c>
      <c r="M115">
        <v>0</v>
      </c>
      <c r="N115">
        <v>1</v>
      </c>
      <c r="O115">
        <v>0</v>
      </c>
    </row>
    <row r="116" spans="1:15" x14ac:dyDescent="0.2">
      <c r="A116" s="1" t="str">
        <f>HYPERLINK("http://www.twitter.com/banuakdenizli/status/1600475564175134720", "1600475564175134720")</f>
        <v>1600475564175134720</v>
      </c>
      <c r="B116" t="s">
        <v>15</v>
      </c>
      <c r="C116" s="2">
        <v>44902.542638888888</v>
      </c>
      <c r="D116">
        <v>0</v>
      </c>
      <c r="E116">
        <v>8</v>
      </c>
      <c r="F116" t="s">
        <v>18</v>
      </c>
      <c r="G116" t="s">
        <v>150</v>
      </c>
      <c r="H116" t="str">
        <f>HYPERLINK("http://pbs.twimg.com/media/FjXjINSX0AA5cQt.jpg", "http://pbs.twimg.com/media/FjXjINSX0AA5cQt.jpg")</f>
        <v>http://pbs.twimg.com/media/FjXjINSX0AA5cQt.jpg</v>
      </c>
      <c r="I116" t="str">
        <f>HYPERLINK("http://pbs.twimg.com/media/FjXjIPrWIAAU1vt.jpg", "http://pbs.twimg.com/media/FjXjIPrWIAAU1vt.jpg")</f>
        <v>http://pbs.twimg.com/media/FjXjIPrWIAAU1vt.jpg</v>
      </c>
      <c r="L116">
        <v>0</v>
      </c>
      <c r="M116">
        <v>0</v>
      </c>
      <c r="N116">
        <v>1</v>
      </c>
      <c r="O116">
        <v>0</v>
      </c>
    </row>
    <row r="117" spans="1:15" x14ac:dyDescent="0.2">
      <c r="A117" s="1" t="str">
        <f>HYPERLINK("http://www.twitter.com/banuakdenizli/status/1600475552141361152", "1600475552141361152")</f>
        <v>1600475552141361152</v>
      </c>
      <c r="B117" t="s">
        <v>15</v>
      </c>
      <c r="C117" s="2">
        <v>44902.542604166672</v>
      </c>
      <c r="D117">
        <v>0</v>
      </c>
      <c r="E117">
        <v>8</v>
      </c>
      <c r="F117" t="s">
        <v>18</v>
      </c>
      <c r="G117" t="s">
        <v>151</v>
      </c>
      <c r="H117" t="str">
        <f>HYPERLINK("http://pbs.twimg.com/media/FjUmFRJXEBop4o3.jpg", "http://pbs.twimg.com/media/FjUmFRJXEBop4o3.jpg")</f>
        <v>http://pbs.twimg.com/media/FjUmFRJXEBop4o3.jpg</v>
      </c>
      <c r="I117" t="str">
        <f>HYPERLINK("http://pbs.twimg.com/media/FjUmFRPXEDAsAnn.jpg", "http://pbs.twimg.com/media/FjUmFRPXEDAsAnn.jpg")</f>
        <v>http://pbs.twimg.com/media/FjUmFRPXEDAsAnn.jpg</v>
      </c>
      <c r="J117" t="str">
        <f>HYPERLINK("http://pbs.twimg.com/media/FjUmFRIXEAAiC9V.jpg", "http://pbs.twimg.com/media/FjUmFRIXEAAiC9V.jpg")</f>
        <v>http://pbs.twimg.com/media/FjUmFRIXEAAiC9V.jpg</v>
      </c>
      <c r="L117">
        <v>0.128</v>
      </c>
      <c r="M117">
        <v>0</v>
      </c>
      <c r="N117">
        <v>0.92700000000000005</v>
      </c>
      <c r="O117">
        <v>7.2999999999999995E-2</v>
      </c>
    </row>
    <row r="118" spans="1:15" x14ac:dyDescent="0.2">
      <c r="A118" s="1" t="str">
        <f>HYPERLINK("http://www.twitter.com/banuakdenizli/status/1600475535007633409", "1600475535007633409")</f>
        <v>1600475535007633409</v>
      </c>
      <c r="B118" t="s">
        <v>15</v>
      </c>
      <c r="C118" s="2">
        <v>44902.542557870373</v>
      </c>
      <c r="D118">
        <v>0</v>
      </c>
      <c r="E118">
        <v>251</v>
      </c>
      <c r="F118" t="s">
        <v>20</v>
      </c>
      <c r="G118" t="s">
        <v>152</v>
      </c>
      <c r="H118" t="str">
        <f>HYPERLINK("http://pbs.twimg.com/media/FjUNmNIWAAcK9fi.jpg", "http://pbs.twimg.com/media/FjUNmNIWAAcK9fi.jpg")</f>
        <v>http://pbs.twimg.com/media/FjUNmNIWAAcK9fi.jpg</v>
      </c>
      <c r="L118">
        <v>0</v>
      </c>
      <c r="M118">
        <v>0</v>
      </c>
      <c r="N118">
        <v>1</v>
      </c>
      <c r="O118">
        <v>0</v>
      </c>
    </row>
    <row r="119" spans="1:15" x14ac:dyDescent="0.2">
      <c r="A119" s="1" t="str">
        <f>HYPERLINK("http://www.twitter.com/banuakdenizli/status/1600475514321371139", "1600475514321371139")</f>
        <v>1600475514321371139</v>
      </c>
      <c r="B119" t="s">
        <v>15</v>
      </c>
      <c r="C119" s="2">
        <v>44902.542500000003</v>
      </c>
      <c r="D119">
        <v>0</v>
      </c>
      <c r="E119">
        <v>13</v>
      </c>
      <c r="F119" t="s">
        <v>16</v>
      </c>
      <c r="G119" t="s">
        <v>153</v>
      </c>
      <c r="H119" t="str">
        <f>HYPERLINK("http://pbs.twimg.com/media/FjYDwkmXkAEEwXH.jpg", "http://pbs.twimg.com/media/FjYDwkmXkAEEwXH.jpg")</f>
        <v>http://pbs.twimg.com/media/FjYDwkmXkAEEwXH.jpg</v>
      </c>
      <c r="I119" t="str">
        <f>HYPERLINK("http://pbs.twimg.com/media/FjYDwkfX0AACn7j.jpg", "http://pbs.twimg.com/media/FjYDwkfX0AACn7j.jpg")</f>
        <v>http://pbs.twimg.com/media/FjYDwkfX0AACn7j.jpg</v>
      </c>
      <c r="J119" t="str">
        <f>HYPERLINK("http://pbs.twimg.com/media/FjYDwkfXkAMt_Rj.jpg", "http://pbs.twimg.com/media/FjYDwkfXkAMt_Rj.jpg")</f>
        <v>http://pbs.twimg.com/media/FjYDwkfXkAMt_Rj.jpg</v>
      </c>
      <c r="K119" t="str">
        <f>HYPERLINK("http://pbs.twimg.com/media/FjYDwkjXwAAzApW.jpg", "http://pbs.twimg.com/media/FjYDwkjXwAAzApW.jpg")</f>
        <v>http://pbs.twimg.com/media/FjYDwkjXwAAzApW.jpg</v>
      </c>
      <c r="L119">
        <v>0</v>
      </c>
      <c r="M119">
        <v>0</v>
      </c>
      <c r="N119">
        <v>1</v>
      </c>
      <c r="O119">
        <v>0</v>
      </c>
    </row>
    <row r="120" spans="1:15" x14ac:dyDescent="0.2">
      <c r="A120" s="1" t="str">
        <f>HYPERLINK("http://www.twitter.com/banuakdenizli/status/1600158722302492672", "1600158722302492672")</f>
        <v>1600158722302492672</v>
      </c>
      <c r="B120" t="s">
        <v>15</v>
      </c>
      <c r="C120" s="2">
        <v>44901.668321759258</v>
      </c>
      <c r="D120">
        <v>0</v>
      </c>
      <c r="E120">
        <v>2</v>
      </c>
      <c r="F120" t="s">
        <v>17</v>
      </c>
      <c r="G120" t="s">
        <v>154</v>
      </c>
      <c r="H120" t="str">
        <f>HYPERLINK("http://pbs.twimg.com/media/FjOTk2KXEAI-X0S.jpg", "http://pbs.twimg.com/media/FjOTk2KXEAI-X0S.jpg")</f>
        <v>http://pbs.twimg.com/media/FjOTk2KXEAI-X0S.jpg</v>
      </c>
      <c r="L120">
        <v>0</v>
      </c>
      <c r="M120">
        <v>0</v>
      </c>
      <c r="N120">
        <v>1</v>
      </c>
      <c r="O120">
        <v>0</v>
      </c>
    </row>
    <row r="121" spans="1:15" x14ac:dyDescent="0.2">
      <c r="A121" s="1" t="str">
        <f>HYPERLINK("http://www.twitter.com/banuakdenizli/status/1600158645819682816", "1600158645819682816")</f>
        <v>1600158645819682816</v>
      </c>
      <c r="B121" t="s">
        <v>15</v>
      </c>
      <c r="C121" s="2">
        <v>44901.668113425927</v>
      </c>
      <c r="D121">
        <v>0</v>
      </c>
      <c r="E121">
        <v>18</v>
      </c>
      <c r="F121" t="s">
        <v>20</v>
      </c>
      <c r="G121" t="s">
        <v>155</v>
      </c>
      <c r="L121">
        <v>0</v>
      </c>
      <c r="M121">
        <v>0</v>
      </c>
      <c r="N121">
        <v>1</v>
      </c>
      <c r="O121">
        <v>0</v>
      </c>
    </row>
    <row r="122" spans="1:15" x14ac:dyDescent="0.2">
      <c r="A122" s="1" t="str">
        <f>HYPERLINK("http://www.twitter.com/banuakdenizli/status/1600153956520370176", "1600153956520370176")</f>
        <v>1600153956520370176</v>
      </c>
      <c r="B122" t="s">
        <v>15</v>
      </c>
      <c r="C122" s="2">
        <v>44901.655173611107</v>
      </c>
      <c r="D122">
        <v>0</v>
      </c>
      <c r="E122">
        <v>8</v>
      </c>
      <c r="F122" t="s">
        <v>16</v>
      </c>
      <c r="G122" t="s">
        <v>156</v>
      </c>
      <c r="H122" t="str">
        <f>HYPERLINK("http://pbs.twimg.com/media/FjTi4EqXkAEduxE.jpg", "http://pbs.twimg.com/media/FjTi4EqXkAEduxE.jpg")</f>
        <v>http://pbs.twimg.com/media/FjTi4EqXkAEduxE.jpg</v>
      </c>
      <c r="L122">
        <v>0</v>
      </c>
      <c r="M122">
        <v>0</v>
      </c>
      <c r="N122">
        <v>1</v>
      </c>
      <c r="O122">
        <v>0</v>
      </c>
    </row>
    <row r="123" spans="1:15" x14ac:dyDescent="0.2">
      <c r="A123" s="1" t="str">
        <f>HYPERLINK("http://www.twitter.com/banuakdenizli/status/1600153924895244288", "1600153924895244288")</f>
        <v>1600153924895244288</v>
      </c>
      <c r="B123" t="s">
        <v>15</v>
      </c>
      <c r="C123" s="2">
        <v>44901.655081018522</v>
      </c>
      <c r="D123">
        <v>0</v>
      </c>
      <c r="E123">
        <v>13</v>
      </c>
      <c r="F123" t="s">
        <v>16</v>
      </c>
      <c r="G123" t="s">
        <v>157</v>
      </c>
      <c r="H123" t="str">
        <f>HYPERLINK("http://pbs.twimg.com/media/FjTfvv4X0AIo5f1.jpg", "http://pbs.twimg.com/media/FjTfvv4X0AIo5f1.jpg")</f>
        <v>http://pbs.twimg.com/media/FjTfvv4X0AIo5f1.jpg</v>
      </c>
      <c r="L123">
        <v>0</v>
      </c>
      <c r="M123">
        <v>0</v>
      </c>
      <c r="N123">
        <v>1</v>
      </c>
      <c r="O123">
        <v>0</v>
      </c>
    </row>
    <row r="124" spans="1:15" x14ac:dyDescent="0.2">
      <c r="A124" s="1" t="str">
        <f>HYPERLINK("http://www.twitter.com/banuakdenizli/status/1600111934803570689", "1600111934803570689")</f>
        <v>1600111934803570689</v>
      </c>
      <c r="B124" t="s">
        <v>15</v>
      </c>
      <c r="C124" s="2">
        <v>44901.539212962962</v>
      </c>
      <c r="D124">
        <v>0</v>
      </c>
      <c r="E124">
        <v>386</v>
      </c>
      <c r="F124" t="s">
        <v>23</v>
      </c>
      <c r="G124" t="s">
        <v>158</v>
      </c>
      <c r="H124" t="str">
        <f>HYPERLINK("https://video.twimg.com/ext_tw_video/1599803617195839493/pu/vid/1280x720/xRuconil493M21OR.mp4?tag=12", "https://video.twimg.com/ext_tw_video/1599803617195839493/pu/vid/1280x720/xRuconil493M21OR.mp4?tag=12")</f>
        <v>https://video.twimg.com/ext_tw_video/1599803617195839493/pu/vid/1280x720/xRuconil493M21OR.mp4?tag=12</v>
      </c>
      <c r="L124">
        <v>0</v>
      </c>
      <c r="M124">
        <v>0</v>
      </c>
      <c r="N124">
        <v>1</v>
      </c>
      <c r="O124">
        <v>0</v>
      </c>
    </row>
    <row r="125" spans="1:15" x14ac:dyDescent="0.2">
      <c r="A125" s="1" t="str">
        <f>HYPERLINK("http://www.twitter.com/banuakdenizli/status/1600111905309220867", "1600111905309220867")</f>
        <v>1600111905309220867</v>
      </c>
      <c r="B125" t="s">
        <v>15</v>
      </c>
      <c r="C125" s="2">
        <v>44901.539131944453</v>
      </c>
      <c r="D125">
        <v>0</v>
      </c>
      <c r="E125">
        <v>34</v>
      </c>
      <c r="F125" t="s">
        <v>20</v>
      </c>
      <c r="G125" t="s">
        <v>159</v>
      </c>
      <c r="L125">
        <v>0</v>
      </c>
      <c r="M125">
        <v>0</v>
      </c>
      <c r="N125">
        <v>1</v>
      </c>
      <c r="O125">
        <v>0</v>
      </c>
    </row>
    <row r="126" spans="1:15" x14ac:dyDescent="0.2">
      <c r="A126" s="1" t="str">
        <f>HYPERLINK("http://www.twitter.com/banuakdenizli/status/1599785511370883077", "1599785511370883077")</f>
        <v>1599785511370883077</v>
      </c>
      <c r="B126" t="s">
        <v>15</v>
      </c>
      <c r="C126" s="2">
        <v>44900.638460648152</v>
      </c>
      <c r="D126">
        <v>0</v>
      </c>
      <c r="E126">
        <v>9</v>
      </c>
      <c r="F126" t="s">
        <v>16</v>
      </c>
      <c r="G126" t="s">
        <v>160</v>
      </c>
      <c r="H126" t="str">
        <f>HYPERLINK("http://pbs.twimg.com/media/FjONsRPWIAIEe3C.jpg", "http://pbs.twimg.com/media/FjONsRPWIAIEe3C.jpg")</f>
        <v>http://pbs.twimg.com/media/FjONsRPWIAIEe3C.jpg</v>
      </c>
      <c r="L126">
        <v>0</v>
      </c>
      <c r="M126">
        <v>0</v>
      </c>
      <c r="N126">
        <v>1</v>
      </c>
      <c r="O126">
        <v>0</v>
      </c>
    </row>
    <row r="127" spans="1:15" x14ac:dyDescent="0.2">
      <c r="A127" s="1" t="str">
        <f>HYPERLINK("http://www.twitter.com/banuakdenizli/status/1599759459164647424", "1599759459164647424")</f>
        <v>1599759459164647424</v>
      </c>
      <c r="B127" t="s">
        <v>15</v>
      </c>
      <c r="C127" s="2">
        <v>44900.566562499997</v>
      </c>
      <c r="D127">
        <v>0</v>
      </c>
      <c r="E127">
        <v>64</v>
      </c>
      <c r="F127" t="s">
        <v>23</v>
      </c>
      <c r="G127" t="s">
        <v>161</v>
      </c>
      <c r="L127">
        <v>0</v>
      </c>
      <c r="M127">
        <v>0</v>
      </c>
      <c r="N127">
        <v>1</v>
      </c>
      <c r="O127">
        <v>0</v>
      </c>
    </row>
    <row r="128" spans="1:15" x14ac:dyDescent="0.2">
      <c r="A128" s="1" t="str">
        <f>HYPERLINK("http://www.twitter.com/banuakdenizli/status/1599759360242044929", "1599759360242044929")</f>
        <v>1599759360242044929</v>
      </c>
      <c r="B128" t="s">
        <v>15</v>
      </c>
      <c r="C128" s="2">
        <v>44900.566296296303</v>
      </c>
      <c r="D128">
        <v>0</v>
      </c>
      <c r="E128">
        <v>2894</v>
      </c>
      <c r="F128" t="s">
        <v>22</v>
      </c>
      <c r="G128" t="s">
        <v>162</v>
      </c>
      <c r="H128" t="str">
        <f>HYPERLINK("http://pbs.twimg.com/media/FjNduwXWIAIVEqm.jpg", "http://pbs.twimg.com/media/FjNduwXWIAIVEqm.jpg")</f>
        <v>http://pbs.twimg.com/media/FjNduwXWIAIVEqm.jpg</v>
      </c>
      <c r="I128" t="str">
        <f>HYPERLINK("http://pbs.twimg.com/media/FjNduwUX0AILiMW.jpg", "http://pbs.twimg.com/media/FjNduwUX0AILiMW.jpg")</f>
        <v>http://pbs.twimg.com/media/FjNduwUX0AILiMW.jpg</v>
      </c>
      <c r="L128">
        <v>0</v>
      </c>
      <c r="M128">
        <v>0</v>
      </c>
      <c r="N128">
        <v>1</v>
      </c>
      <c r="O128">
        <v>0</v>
      </c>
    </row>
    <row r="129" spans="1:15" x14ac:dyDescent="0.2">
      <c r="A129" s="1" t="str">
        <f>HYPERLINK("http://www.twitter.com/banuakdenizli/status/1599759348951306242", "1599759348951306242")</f>
        <v>1599759348951306242</v>
      </c>
      <c r="B129" t="s">
        <v>15</v>
      </c>
      <c r="C129" s="2">
        <v>44900.566261574073</v>
      </c>
      <c r="D129">
        <v>0</v>
      </c>
      <c r="E129">
        <v>139</v>
      </c>
      <c r="F129" t="s">
        <v>23</v>
      </c>
      <c r="G129" t="s">
        <v>163</v>
      </c>
      <c r="H129" t="str">
        <f>HYPERLINK("http://pbs.twimg.com/media/FjNS3gZXkAAeDFH.jpg", "http://pbs.twimg.com/media/FjNS3gZXkAAeDFH.jpg")</f>
        <v>http://pbs.twimg.com/media/FjNS3gZXkAAeDFH.jpg</v>
      </c>
      <c r="I129" t="str">
        <f>HYPERLINK("http://pbs.twimg.com/media/FjNS3gbX0AAdR5E.jpg", "http://pbs.twimg.com/media/FjNS3gbX0AAdR5E.jpg")</f>
        <v>http://pbs.twimg.com/media/FjNS3gbX0AAdR5E.jpg</v>
      </c>
      <c r="J129" t="str">
        <f>HYPERLINK("http://pbs.twimg.com/media/FjNS3gZXwAAEWpG.jpg", "http://pbs.twimg.com/media/FjNS3gZXwAAEWpG.jpg")</f>
        <v>http://pbs.twimg.com/media/FjNS3gZXwAAEWpG.jpg</v>
      </c>
      <c r="K129" t="str">
        <f>HYPERLINK("http://pbs.twimg.com/media/FjNS3gfXEAAKTAt.jpg", "http://pbs.twimg.com/media/FjNS3gfXEAAKTAt.jpg")</f>
        <v>http://pbs.twimg.com/media/FjNS3gfXEAAKTAt.jpg</v>
      </c>
      <c r="L129">
        <v>0</v>
      </c>
      <c r="M129">
        <v>0</v>
      </c>
      <c r="N129">
        <v>1</v>
      </c>
      <c r="O129">
        <v>0</v>
      </c>
    </row>
    <row r="130" spans="1:15" x14ac:dyDescent="0.2">
      <c r="A130" s="1" t="str">
        <f>HYPERLINK("http://www.twitter.com/banuakdenizli/status/1599759256412037121", "1599759256412037121")</f>
        <v>1599759256412037121</v>
      </c>
      <c r="B130" t="s">
        <v>15</v>
      </c>
      <c r="C130" s="2">
        <v>44900.566006944442</v>
      </c>
      <c r="D130">
        <v>0</v>
      </c>
      <c r="E130">
        <v>17</v>
      </c>
      <c r="F130" t="s">
        <v>16</v>
      </c>
      <c r="G130" t="s">
        <v>164</v>
      </c>
      <c r="H130" t="str">
        <f>HYPERLINK("http://pbs.twimg.com/media/Fi-Mu7mX0AQoFZ-.jpg", "http://pbs.twimg.com/media/Fi-Mu7mX0AQoFZ-.jpg")</f>
        <v>http://pbs.twimg.com/media/Fi-Mu7mX0AQoFZ-.jpg</v>
      </c>
      <c r="I130" t="str">
        <f>HYPERLINK("http://pbs.twimg.com/media/Fi-Mu9TXwAwF-oE.jpg", "http://pbs.twimg.com/media/Fi-Mu9TXwAwF-oE.jpg")</f>
        <v>http://pbs.twimg.com/media/Fi-Mu9TXwAwF-oE.jpg</v>
      </c>
      <c r="L130">
        <v>0</v>
      </c>
      <c r="M130">
        <v>0</v>
      </c>
      <c r="N130">
        <v>1</v>
      </c>
      <c r="O130">
        <v>0</v>
      </c>
    </row>
    <row r="131" spans="1:15" x14ac:dyDescent="0.2">
      <c r="A131" s="1" t="str">
        <f>HYPERLINK("http://www.twitter.com/banuakdenizli/status/1599718228703731713", "1599718228703731713")</f>
        <v>1599718228703731713</v>
      </c>
      <c r="B131" t="s">
        <v>15</v>
      </c>
      <c r="C131" s="2">
        <v>44900.452789351853</v>
      </c>
      <c r="D131">
        <v>0</v>
      </c>
      <c r="E131">
        <v>3</v>
      </c>
      <c r="F131" t="s">
        <v>17</v>
      </c>
      <c r="G131" t="s">
        <v>165</v>
      </c>
      <c r="H131" t="str">
        <f>HYPERLINK("http://pbs.twimg.com/media/FizMh1qXgAAFJ5M.jpg", "http://pbs.twimg.com/media/FizMh1qXgAAFJ5M.jpg")</f>
        <v>http://pbs.twimg.com/media/FizMh1qXgAAFJ5M.jpg</v>
      </c>
      <c r="L131">
        <v>0</v>
      </c>
      <c r="M131">
        <v>0</v>
      </c>
      <c r="N131">
        <v>1</v>
      </c>
      <c r="O131">
        <v>0</v>
      </c>
    </row>
    <row r="132" spans="1:15" x14ac:dyDescent="0.2">
      <c r="A132" s="1" t="str">
        <f>HYPERLINK("http://www.twitter.com/banuakdenizli/status/1599718191030095872", "1599718191030095872")</f>
        <v>1599718191030095872</v>
      </c>
      <c r="B132" t="s">
        <v>15</v>
      </c>
      <c r="C132" s="2">
        <v>44900.452685185177</v>
      </c>
      <c r="D132">
        <v>0</v>
      </c>
      <c r="E132">
        <v>5</v>
      </c>
      <c r="F132" t="s">
        <v>17</v>
      </c>
      <c r="G132" t="s">
        <v>166</v>
      </c>
      <c r="H132" t="str">
        <f>HYPERLINK("http://pbs.twimg.com/media/FizNvHCWQAAy7Is.jpg", "http://pbs.twimg.com/media/FizNvHCWQAAy7Is.jpg")</f>
        <v>http://pbs.twimg.com/media/FizNvHCWQAAy7Is.jpg</v>
      </c>
      <c r="L132">
        <v>0.34</v>
      </c>
      <c r="M132">
        <v>0</v>
      </c>
      <c r="N132">
        <v>0.94699999999999995</v>
      </c>
      <c r="O132">
        <v>5.2999999999999999E-2</v>
      </c>
    </row>
    <row r="133" spans="1:15" x14ac:dyDescent="0.2">
      <c r="A133" s="1" t="str">
        <f>HYPERLINK("http://www.twitter.com/banuakdenizli/status/1599718156448464901", "1599718156448464901")</f>
        <v>1599718156448464901</v>
      </c>
      <c r="B133" t="s">
        <v>15</v>
      </c>
      <c r="C133" s="2">
        <v>44900.452592592592</v>
      </c>
      <c r="D133">
        <v>0</v>
      </c>
      <c r="E133">
        <v>4</v>
      </c>
      <c r="F133" t="s">
        <v>17</v>
      </c>
      <c r="G133" t="s">
        <v>167</v>
      </c>
      <c r="H133" t="str">
        <f>HYPERLINK("http://pbs.twimg.com/media/FizPI5JWQAEQOFW.jpg", "http://pbs.twimg.com/media/FizPI5JWQAEQOFW.jpg")</f>
        <v>http://pbs.twimg.com/media/FizPI5JWQAEQOFW.jpg</v>
      </c>
      <c r="L133">
        <v>0</v>
      </c>
      <c r="M133">
        <v>0</v>
      </c>
      <c r="N133">
        <v>1</v>
      </c>
      <c r="O133">
        <v>0</v>
      </c>
    </row>
    <row r="134" spans="1:15" x14ac:dyDescent="0.2">
      <c r="A134" s="1" t="str">
        <f>HYPERLINK("http://www.twitter.com/banuakdenizli/status/1599718080477028352", "1599718080477028352")</f>
        <v>1599718080477028352</v>
      </c>
      <c r="B134" t="s">
        <v>15</v>
      </c>
      <c r="C134" s="2">
        <v>44900.452384259261</v>
      </c>
      <c r="D134">
        <v>0</v>
      </c>
      <c r="E134">
        <v>2</v>
      </c>
      <c r="F134" t="s">
        <v>17</v>
      </c>
      <c r="G134" t="s">
        <v>168</v>
      </c>
      <c r="H134" t="str">
        <f>HYPERLINK("http://pbs.twimg.com/media/FizQY-lWQAA06YN.jpg", "http://pbs.twimg.com/media/FizQY-lWQAA06YN.jpg")</f>
        <v>http://pbs.twimg.com/media/FizQY-lWQAA06YN.jpg</v>
      </c>
      <c r="L134">
        <v>0</v>
      </c>
      <c r="M134">
        <v>0</v>
      </c>
      <c r="N134">
        <v>1</v>
      </c>
      <c r="O134">
        <v>0</v>
      </c>
    </row>
    <row r="135" spans="1:15" x14ac:dyDescent="0.2">
      <c r="A135" s="1" t="str">
        <f>HYPERLINK("http://www.twitter.com/banuakdenizli/status/1599717973694246912", "1599717973694246912")</f>
        <v>1599717973694246912</v>
      </c>
      <c r="B135" t="s">
        <v>15</v>
      </c>
      <c r="C135" s="2">
        <v>44900.45208333333</v>
      </c>
      <c r="D135">
        <v>0</v>
      </c>
      <c r="E135">
        <v>4</v>
      </c>
      <c r="F135" t="s">
        <v>17</v>
      </c>
      <c r="G135" t="s">
        <v>169</v>
      </c>
      <c r="H135" t="str">
        <f>HYPERLINK("http://pbs.twimg.com/media/Fi6avjCXgAoUAoW.jpg", "http://pbs.twimg.com/media/Fi6avjCXgAoUAoW.jpg")</f>
        <v>http://pbs.twimg.com/media/Fi6avjCXgAoUAoW.jpg</v>
      </c>
      <c r="L135">
        <v>0</v>
      </c>
      <c r="M135">
        <v>0</v>
      </c>
      <c r="N135">
        <v>1</v>
      </c>
      <c r="O135">
        <v>0</v>
      </c>
    </row>
    <row r="136" spans="1:15" x14ac:dyDescent="0.2">
      <c r="A136" s="1" t="str">
        <f>HYPERLINK("http://www.twitter.com/banuakdenizli/status/1599717940211101696", "1599717940211101696")</f>
        <v>1599717940211101696</v>
      </c>
      <c r="B136" t="s">
        <v>15</v>
      </c>
      <c r="C136" s="2">
        <v>44900.451990740738</v>
      </c>
      <c r="D136">
        <v>0</v>
      </c>
      <c r="E136">
        <v>4</v>
      </c>
      <c r="F136" t="s">
        <v>17</v>
      </c>
      <c r="G136" t="s">
        <v>170</v>
      </c>
      <c r="H136" t="str">
        <f>HYPERLINK("http://pbs.twimg.com/media/FjDILmiWAAEj_FW.jpg", "http://pbs.twimg.com/media/FjDILmiWAAEj_FW.jpg")</f>
        <v>http://pbs.twimg.com/media/FjDILmiWAAEj_FW.jpg</v>
      </c>
      <c r="L136">
        <v>0</v>
      </c>
      <c r="M136">
        <v>0</v>
      </c>
      <c r="N136">
        <v>1</v>
      </c>
      <c r="O136">
        <v>0</v>
      </c>
    </row>
    <row r="137" spans="1:15" x14ac:dyDescent="0.2">
      <c r="A137" s="1" t="str">
        <f>HYPERLINK("http://www.twitter.com/banuakdenizli/status/1599717677089816576", "1599717677089816576")</f>
        <v>1599717677089816576</v>
      </c>
      <c r="B137" t="s">
        <v>15</v>
      </c>
      <c r="C137" s="2">
        <v>44900.451273148137</v>
      </c>
      <c r="D137">
        <v>0</v>
      </c>
      <c r="E137">
        <v>8</v>
      </c>
      <c r="F137" t="s">
        <v>18</v>
      </c>
      <c r="G137" t="s">
        <v>171</v>
      </c>
      <c r="H137" t="str">
        <f>HYPERLINK("http://pbs.twimg.com/media/Fi5NRxRWIAgRDbK.jpg", "http://pbs.twimg.com/media/Fi5NRxRWIAgRDbK.jpg")</f>
        <v>http://pbs.twimg.com/media/Fi5NRxRWIAgRDbK.jpg</v>
      </c>
      <c r="L137">
        <v>0.29599999999999999</v>
      </c>
      <c r="M137">
        <v>0</v>
      </c>
      <c r="N137">
        <v>0.86399999999999999</v>
      </c>
      <c r="O137">
        <v>0.13600000000000001</v>
      </c>
    </row>
    <row r="138" spans="1:15" x14ac:dyDescent="0.2">
      <c r="A138" s="1" t="str">
        <f>HYPERLINK("http://www.twitter.com/banuakdenizli/status/1599717626825306112", "1599717626825306112")</f>
        <v>1599717626825306112</v>
      </c>
      <c r="B138" t="s">
        <v>15</v>
      </c>
      <c r="C138" s="2">
        <v>44900.45113425926</v>
      </c>
      <c r="D138">
        <v>0</v>
      </c>
      <c r="E138">
        <v>13</v>
      </c>
      <c r="F138" t="s">
        <v>18</v>
      </c>
      <c r="G138" t="s">
        <v>172</v>
      </c>
      <c r="H138" t="str">
        <f>HYPERLINK("http://pbs.twimg.com/media/Fi56xGkWQAEY9FU.jpg", "http://pbs.twimg.com/media/Fi56xGkWQAEY9FU.jpg")</f>
        <v>http://pbs.twimg.com/media/Fi56xGkWQAEY9FU.jpg</v>
      </c>
      <c r="L138">
        <v>0.75060000000000004</v>
      </c>
      <c r="M138">
        <v>0</v>
      </c>
      <c r="N138">
        <v>0.65400000000000003</v>
      </c>
      <c r="O138">
        <v>0.34599999999999997</v>
      </c>
    </row>
    <row r="139" spans="1:15" x14ac:dyDescent="0.2">
      <c r="A139" s="1" t="str">
        <f>HYPERLINK("http://www.twitter.com/banuakdenizli/status/1599717596391444481", "1599717596391444481")</f>
        <v>1599717596391444481</v>
      </c>
      <c r="B139" t="s">
        <v>15</v>
      </c>
      <c r="C139" s="2">
        <v>44900.451041666667</v>
      </c>
      <c r="D139">
        <v>0</v>
      </c>
      <c r="E139">
        <v>9</v>
      </c>
      <c r="F139" t="s">
        <v>18</v>
      </c>
      <c r="G139" t="s">
        <v>173</v>
      </c>
      <c r="H139" t="str">
        <f>HYPERLINK("http://pbs.twimg.com/media/Fi6Hca_WAAAXWdQ.jpg", "http://pbs.twimg.com/media/Fi6Hca_WAAAXWdQ.jpg")</f>
        <v>http://pbs.twimg.com/media/Fi6Hca_WAAAXWdQ.jpg</v>
      </c>
      <c r="L139">
        <v>-0.38179999999999997</v>
      </c>
      <c r="M139">
        <v>8.5000000000000006E-2</v>
      </c>
      <c r="N139">
        <v>0.91500000000000004</v>
      </c>
      <c r="O139">
        <v>0</v>
      </c>
    </row>
    <row r="140" spans="1:15" x14ac:dyDescent="0.2">
      <c r="A140" s="1" t="str">
        <f>HYPERLINK("http://www.twitter.com/banuakdenizli/status/1599717577659674624", "1599717577659674624")</f>
        <v>1599717577659674624</v>
      </c>
      <c r="B140" t="s">
        <v>15</v>
      </c>
      <c r="C140" s="2">
        <v>44900.450995370367</v>
      </c>
      <c r="D140">
        <v>0</v>
      </c>
      <c r="E140">
        <v>14</v>
      </c>
      <c r="F140" t="s">
        <v>18</v>
      </c>
      <c r="G140" t="s">
        <v>174</v>
      </c>
      <c r="H140" t="str">
        <f>HYPERLINK("http://pbs.twimg.com/media/Fi6V6_1XEA0mUvm.jpg", "http://pbs.twimg.com/media/Fi6V6_1XEA0mUvm.jpg")</f>
        <v>http://pbs.twimg.com/media/Fi6V6_1XEA0mUvm.jpg</v>
      </c>
      <c r="L140">
        <v>0.40189999999999998</v>
      </c>
      <c r="M140">
        <v>6.5000000000000002E-2</v>
      </c>
      <c r="N140">
        <v>0.80200000000000005</v>
      </c>
      <c r="O140">
        <v>0.13300000000000001</v>
      </c>
    </row>
    <row r="141" spans="1:15" x14ac:dyDescent="0.2">
      <c r="A141" s="1" t="str">
        <f>HYPERLINK("http://www.twitter.com/banuakdenizli/status/1599717337619660800", "1599717337619660800")</f>
        <v>1599717337619660800</v>
      </c>
      <c r="B141" t="s">
        <v>15</v>
      </c>
      <c r="C141" s="2">
        <v>44900.450335648151</v>
      </c>
      <c r="D141">
        <v>0</v>
      </c>
      <c r="E141">
        <v>9</v>
      </c>
      <c r="F141" t="s">
        <v>18</v>
      </c>
      <c r="G141" t="s">
        <v>175</v>
      </c>
      <c r="H141" t="str">
        <f>HYPERLINK("http://pbs.twimg.com/media/Fi_RDAxXgAAYbsb.jpg", "http://pbs.twimg.com/media/Fi_RDAxXgAAYbsb.jpg")</f>
        <v>http://pbs.twimg.com/media/Fi_RDAxXgAAYbsb.jpg</v>
      </c>
      <c r="I141" t="str">
        <f>HYPERLINK("http://pbs.twimg.com/media/Fi_RDA1XkAI49up.jpg", "http://pbs.twimg.com/media/Fi_RDA1XkAI49up.jpg")</f>
        <v>http://pbs.twimg.com/media/Fi_RDA1XkAI49up.jpg</v>
      </c>
      <c r="L141">
        <v>-0.73509999999999998</v>
      </c>
      <c r="M141">
        <v>0.34100000000000003</v>
      </c>
      <c r="N141">
        <v>0.65900000000000003</v>
      </c>
      <c r="O141">
        <v>0</v>
      </c>
    </row>
    <row r="142" spans="1:15" x14ac:dyDescent="0.2">
      <c r="A142" s="1" t="str">
        <f>HYPERLINK("http://www.twitter.com/banuakdenizli/status/1599717292149182471", "1599717292149182471")</f>
        <v>1599717292149182471</v>
      </c>
      <c r="B142" t="s">
        <v>15</v>
      </c>
      <c r="C142" s="2">
        <v>44900.450208333343</v>
      </c>
      <c r="D142">
        <v>0</v>
      </c>
      <c r="E142">
        <v>15</v>
      </c>
      <c r="F142" t="s">
        <v>18</v>
      </c>
      <c r="G142" t="s">
        <v>176</v>
      </c>
      <c r="H142" t="str">
        <f>HYPERLINK("http://pbs.twimg.com/media/FjCazChWAAEJgdH.jpg", "http://pbs.twimg.com/media/FjCazChWAAEJgdH.jpg")</f>
        <v>http://pbs.twimg.com/media/FjCazChWAAEJgdH.jpg</v>
      </c>
      <c r="L142">
        <v>-0.51060000000000005</v>
      </c>
      <c r="M142">
        <v>0.23100000000000001</v>
      </c>
      <c r="N142">
        <v>0.76900000000000002</v>
      </c>
      <c r="O142">
        <v>0</v>
      </c>
    </row>
    <row r="143" spans="1:15" x14ac:dyDescent="0.2">
      <c r="A143" s="1" t="str">
        <f>HYPERLINK("http://www.twitter.com/banuakdenizli/status/1597554072457859072", "1597554072457859072")</f>
        <v>1597554072457859072</v>
      </c>
      <c r="B143" t="s">
        <v>15</v>
      </c>
      <c r="C143" s="2">
        <v>44894.480856481481</v>
      </c>
      <c r="D143">
        <v>0</v>
      </c>
      <c r="E143">
        <v>15</v>
      </c>
      <c r="F143" t="s">
        <v>18</v>
      </c>
      <c r="G143" t="s">
        <v>177</v>
      </c>
      <c r="H143" t="str">
        <f>HYPERLINK("http://pbs.twimg.com/media/FiqprQTXoAw8Iqd.jpg", "http://pbs.twimg.com/media/FiqprQTXoAw8Iqd.jpg")</f>
        <v>http://pbs.twimg.com/media/FiqprQTXoAw8Iqd.jpg</v>
      </c>
      <c r="L143">
        <v>-0.64859999999999995</v>
      </c>
      <c r="M143">
        <v>0.441</v>
      </c>
      <c r="N143">
        <v>0.41399999999999998</v>
      </c>
      <c r="O143">
        <v>0.14499999999999999</v>
      </c>
    </row>
    <row r="144" spans="1:15" x14ac:dyDescent="0.2">
      <c r="A144" s="1" t="str">
        <f>HYPERLINK("http://www.twitter.com/banuakdenizli/status/1597553949737119744", "1597553949737119744")</f>
        <v>1597553949737119744</v>
      </c>
      <c r="B144" t="s">
        <v>15</v>
      </c>
      <c r="C144" s="2">
        <v>44894.480520833327</v>
      </c>
      <c r="D144">
        <v>0</v>
      </c>
      <c r="E144">
        <v>10</v>
      </c>
      <c r="F144" t="s">
        <v>18</v>
      </c>
      <c r="G144" t="s">
        <v>178</v>
      </c>
      <c r="H144" t="str">
        <f>HYPERLINK("http://pbs.twimg.com/media/FiqqoL3XoAEOT1s.jpg", "http://pbs.twimg.com/media/FiqqoL3XoAEOT1s.jpg")</f>
        <v>http://pbs.twimg.com/media/FiqqoL3XoAEOT1s.jpg</v>
      </c>
      <c r="L144">
        <v>0</v>
      </c>
      <c r="M144">
        <v>0</v>
      </c>
      <c r="N144">
        <v>1</v>
      </c>
      <c r="O144">
        <v>0</v>
      </c>
    </row>
    <row r="145" spans="1:15" x14ac:dyDescent="0.2">
      <c r="A145" s="1" t="str">
        <f>HYPERLINK("http://www.twitter.com/banuakdenizli/status/1597553925414354945", "1597553925414354945")</f>
        <v>1597553925414354945</v>
      </c>
      <c r="B145" t="s">
        <v>15</v>
      </c>
      <c r="C145" s="2">
        <v>44894.480451388888</v>
      </c>
      <c r="D145">
        <v>0</v>
      </c>
      <c r="E145">
        <v>14</v>
      </c>
      <c r="F145" t="s">
        <v>18</v>
      </c>
      <c r="G145" t="s">
        <v>179</v>
      </c>
      <c r="H145" t="str">
        <f>HYPERLINK("http://pbs.twimg.com/media/FitrwgHXoAAV_k1.jpg", "http://pbs.twimg.com/media/FitrwgHXoAAV_k1.jpg")</f>
        <v>http://pbs.twimg.com/media/FitrwgHXoAAV_k1.jpg</v>
      </c>
      <c r="L145">
        <v>0.42149999999999999</v>
      </c>
      <c r="M145">
        <v>0</v>
      </c>
      <c r="N145">
        <v>0.90900000000000003</v>
      </c>
      <c r="O145">
        <v>9.0999999999999998E-2</v>
      </c>
    </row>
    <row r="146" spans="1:15" x14ac:dyDescent="0.2">
      <c r="A146" s="1" t="str">
        <f>HYPERLINK("http://www.twitter.com/banuakdenizli/status/1597553856489357312", "1597553856489357312")</f>
        <v>1597553856489357312</v>
      </c>
      <c r="B146" t="s">
        <v>15</v>
      </c>
      <c r="C146" s="2">
        <v>44894.480266203696</v>
      </c>
      <c r="D146">
        <v>0</v>
      </c>
      <c r="E146">
        <v>14</v>
      </c>
      <c r="F146" t="s">
        <v>18</v>
      </c>
      <c r="G146" t="s">
        <v>180</v>
      </c>
      <c r="H146" t="str">
        <f>HYPERLINK("http://pbs.twimg.com/media/FiuDSnoXoAAwLRX.jpg", "http://pbs.twimg.com/media/FiuDSnoXoAAwLRX.jpg")</f>
        <v>http://pbs.twimg.com/media/FiuDSnoXoAAwLRX.jpg</v>
      </c>
      <c r="L146">
        <v>0</v>
      </c>
      <c r="M146">
        <v>0</v>
      </c>
      <c r="N146">
        <v>1</v>
      </c>
      <c r="O146">
        <v>0</v>
      </c>
    </row>
    <row r="147" spans="1:15" x14ac:dyDescent="0.2">
      <c r="A147" s="1" t="str">
        <f>HYPERLINK("http://www.twitter.com/banuakdenizli/status/1597553831097040897", "1597553831097040897")</f>
        <v>1597553831097040897</v>
      </c>
      <c r="B147" t="s">
        <v>15</v>
      </c>
      <c r="C147" s="2">
        <v>44894.480196759258</v>
      </c>
      <c r="D147">
        <v>0</v>
      </c>
      <c r="E147">
        <v>15</v>
      </c>
      <c r="F147" t="s">
        <v>18</v>
      </c>
      <c r="G147" t="s">
        <v>181</v>
      </c>
      <c r="H147" t="str">
        <f>HYPERLINK("http://pbs.twimg.com/media/FiugjEDWIAAO5Ws.jpg", "http://pbs.twimg.com/media/FiugjEDWIAAO5Ws.jpg")</f>
        <v>http://pbs.twimg.com/media/FiugjEDWIAAO5Ws.jpg</v>
      </c>
      <c r="L147">
        <v>0.51060000000000005</v>
      </c>
      <c r="M147">
        <v>5.3999999999999999E-2</v>
      </c>
      <c r="N147">
        <v>0.82099999999999995</v>
      </c>
      <c r="O147">
        <v>0.125</v>
      </c>
    </row>
    <row r="148" spans="1:15" x14ac:dyDescent="0.2">
      <c r="A148" s="1" t="str">
        <f>HYPERLINK("http://www.twitter.com/banuakdenizli/status/1597257257011802112", "1597257257011802112")</f>
        <v>1597257257011802112</v>
      </c>
      <c r="B148" t="s">
        <v>15</v>
      </c>
      <c r="C148" s="2">
        <v>44893.661805555559</v>
      </c>
      <c r="D148">
        <v>0</v>
      </c>
      <c r="E148">
        <v>0</v>
      </c>
      <c r="G148" t="s">
        <v>182</v>
      </c>
      <c r="L148">
        <v>0</v>
      </c>
      <c r="M148">
        <v>0</v>
      </c>
      <c r="N148">
        <v>1</v>
      </c>
      <c r="O148">
        <v>0</v>
      </c>
    </row>
    <row r="149" spans="1:15" x14ac:dyDescent="0.2">
      <c r="A149" s="1" t="str">
        <f>HYPERLINK("http://www.twitter.com/banuakdenizli/status/1597257017395404801", "1597257017395404801")</f>
        <v>1597257017395404801</v>
      </c>
      <c r="B149" t="s">
        <v>15</v>
      </c>
      <c r="C149" s="2">
        <v>44893.661145833343</v>
      </c>
      <c r="D149">
        <v>1</v>
      </c>
      <c r="E149">
        <v>0</v>
      </c>
      <c r="G149" t="s">
        <v>183</v>
      </c>
      <c r="H149" t="str">
        <f>HYPERLINK("http://pbs.twimg.com/media/FiqYx6_WQAMPpi5.jpg", "http://pbs.twimg.com/media/FiqYx6_WQAMPpi5.jpg")</f>
        <v>http://pbs.twimg.com/media/FiqYx6_WQAMPpi5.jpg</v>
      </c>
      <c r="I149" t="str">
        <f>HYPERLINK("http://pbs.twimg.com/media/FiqYx7BWAAAz84G.jpg", "http://pbs.twimg.com/media/FiqYx7BWAAAz84G.jpg")</f>
        <v>http://pbs.twimg.com/media/FiqYx7BWAAAz84G.jpg</v>
      </c>
      <c r="J149" t="str">
        <f>HYPERLINK("http://pbs.twimg.com/media/FiqYx7BXkAAjJaU.jpg", "http://pbs.twimg.com/media/FiqYx7BXkAAjJaU.jpg")</f>
        <v>http://pbs.twimg.com/media/FiqYx7BXkAAjJaU.jpg</v>
      </c>
      <c r="K149" t="str">
        <f>HYPERLINK("http://pbs.twimg.com/media/FiqYx7BWIAQny4s.jpg", "http://pbs.twimg.com/media/FiqYx7BWIAQny4s.jpg")</f>
        <v>http://pbs.twimg.com/media/FiqYx7BWIAQny4s.jpg</v>
      </c>
      <c r="L149">
        <v>0</v>
      </c>
      <c r="M149">
        <v>0</v>
      </c>
      <c r="N149">
        <v>1</v>
      </c>
      <c r="O149">
        <v>0</v>
      </c>
    </row>
    <row r="150" spans="1:15" x14ac:dyDescent="0.2">
      <c r="A150" s="1" t="str">
        <f>HYPERLINK("http://www.twitter.com/banuakdenizli/status/1597252111300820995", "1597252111300820995")</f>
        <v>1597252111300820995</v>
      </c>
      <c r="B150" t="s">
        <v>15</v>
      </c>
      <c r="C150" s="2">
        <v>44893.647604166668</v>
      </c>
      <c r="D150">
        <v>0</v>
      </c>
      <c r="E150">
        <v>0</v>
      </c>
      <c r="G150" t="s">
        <v>184</v>
      </c>
      <c r="L150">
        <v>0</v>
      </c>
      <c r="M150">
        <v>0</v>
      </c>
      <c r="N150">
        <v>1</v>
      </c>
      <c r="O150">
        <v>0</v>
      </c>
    </row>
    <row r="151" spans="1:15" x14ac:dyDescent="0.2">
      <c r="A151" s="1" t="str">
        <f>HYPERLINK("http://www.twitter.com/banuakdenizli/status/1597209930871996417", "1597209930871996417")</f>
        <v>1597209930871996417</v>
      </c>
      <c r="B151" t="s">
        <v>15</v>
      </c>
      <c r="C151" s="2">
        <v>44893.5312037037</v>
      </c>
      <c r="D151">
        <v>0</v>
      </c>
      <c r="E151">
        <v>5</v>
      </c>
      <c r="F151" t="s">
        <v>17</v>
      </c>
      <c r="G151" t="s">
        <v>185</v>
      </c>
      <c r="H151" t="str">
        <f>HYPERLINK("http://pbs.twimg.com/media/FikQ0p9XgAcLspk.jpg", "http://pbs.twimg.com/media/FikQ0p9XgAcLspk.jpg")</f>
        <v>http://pbs.twimg.com/media/FikQ0p9XgAcLspk.jpg</v>
      </c>
      <c r="L151">
        <v>0</v>
      </c>
      <c r="M151">
        <v>0</v>
      </c>
      <c r="N151">
        <v>1</v>
      </c>
      <c r="O151">
        <v>0</v>
      </c>
    </row>
    <row r="152" spans="1:15" x14ac:dyDescent="0.2">
      <c r="A152" s="1" t="str">
        <f>HYPERLINK("http://www.twitter.com/banuakdenizli/status/1597209827058790401", "1597209827058790401")</f>
        <v>1597209827058790401</v>
      </c>
      <c r="B152" t="s">
        <v>15</v>
      </c>
      <c r="C152" s="2">
        <v>44893.530925925923</v>
      </c>
      <c r="D152">
        <v>0</v>
      </c>
      <c r="E152">
        <v>15</v>
      </c>
      <c r="F152" t="s">
        <v>18</v>
      </c>
      <c r="G152" t="s">
        <v>186</v>
      </c>
      <c r="H152" t="str">
        <f>HYPERLINK("http://pbs.twimg.com/media/FikQF04WIAIhMse.jpg", "http://pbs.twimg.com/media/FikQF04WIAIhMse.jpg")</f>
        <v>http://pbs.twimg.com/media/FikQF04WIAIhMse.jpg</v>
      </c>
      <c r="L152">
        <v>0.65969999999999995</v>
      </c>
      <c r="M152">
        <v>0</v>
      </c>
      <c r="N152">
        <v>0.77900000000000003</v>
      </c>
      <c r="O152">
        <v>0.221</v>
      </c>
    </row>
    <row r="153" spans="1:15" x14ac:dyDescent="0.2">
      <c r="A153" s="1" t="str">
        <f>HYPERLINK("http://www.twitter.com/banuakdenizli/status/1596821426866376705", "1596821426866376705")</f>
        <v>1596821426866376705</v>
      </c>
      <c r="B153" t="s">
        <v>15</v>
      </c>
      <c r="C153" s="2">
        <v>44892.459143518521</v>
      </c>
      <c r="D153">
        <v>0</v>
      </c>
      <c r="E153">
        <v>16</v>
      </c>
      <c r="F153" t="s">
        <v>18</v>
      </c>
      <c r="G153" t="s">
        <v>187</v>
      </c>
      <c r="H153" t="str">
        <f>HYPERLINK("http://pbs.twimg.com/media/FigaPh2WYAM6ax2.jpg", "http://pbs.twimg.com/media/FigaPh2WYAM6ax2.jpg")</f>
        <v>http://pbs.twimg.com/media/FigaPh2WYAM6ax2.jpg</v>
      </c>
      <c r="I153" t="str">
        <f>HYPERLINK("http://pbs.twimg.com/media/FigaPhwXgAMpTKU.jpg", "http://pbs.twimg.com/media/FigaPhwXgAMpTKU.jpg")</f>
        <v>http://pbs.twimg.com/media/FigaPhwXgAMpTKU.jpg</v>
      </c>
      <c r="L153">
        <v>0.40189999999999998</v>
      </c>
      <c r="M153">
        <v>0</v>
      </c>
      <c r="N153">
        <v>0.86299999999999999</v>
      </c>
      <c r="O153">
        <v>0.13700000000000001</v>
      </c>
    </row>
    <row r="154" spans="1:15" x14ac:dyDescent="0.2">
      <c r="A154" s="1" t="str">
        <f>HYPERLINK("http://www.twitter.com/banuakdenizli/status/1596821393496100865", "1596821393496100865")</f>
        <v>1596821393496100865</v>
      </c>
      <c r="B154" t="s">
        <v>15</v>
      </c>
      <c r="C154" s="2">
        <v>44892.459050925929</v>
      </c>
      <c r="D154">
        <v>0</v>
      </c>
      <c r="E154">
        <v>28</v>
      </c>
      <c r="F154" t="s">
        <v>18</v>
      </c>
      <c r="G154" t="s">
        <v>188</v>
      </c>
      <c r="H154" t="str">
        <f>HYPERLINK("https://video.twimg.com/ext_tw_video/1596557262482538504/pu/vid/1280x720/pIjeEVLBcAOb4DHI.mp4?tag=12", "https://video.twimg.com/ext_tw_video/1596557262482538504/pu/vid/1280x720/pIjeEVLBcAOb4DHI.mp4?tag=12")</f>
        <v>https://video.twimg.com/ext_tw_video/1596557262482538504/pu/vid/1280x720/pIjeEVLBcAOb4DHI.mp4?tag=12</v>
      </c>
      <c r="L154">
        <v>0.82250000000000001</v>
      </c>
      <c r="M154">
        <v>0</v>
      </c>
      <c r="N154">
        <v>0.81899999999999995</v>
      </c>
      <c r="O154">
        <v>0.18099999999999999</v>
      </c>
    </row>
    <row r="155" spans="1:15" x14ac:dyDescent="0.2">
      <c r="A155" s="1" t="str">
        <f>HYPERLINK("http://www.twitter.com/banuakdenizli/status/1596821380724498442", "1596821380724498442")</f>
        <v>1596821380724498442</v>
      </c>
      <c r="B155" t="s">
        <v>15</v>
      </c>
      <c r="C155" s="2">
        <v>44892.459016203713</v>
      </c>
      <c r="D155">
        <v>0</v>
      </c>
      <c r="E155">
        <v>19</v>
      </c>
      <c r="F155" t="s">
        <v>18</v>
      </c>
      <c r="G155" t="s">
        <v>189</v>
      </c>
      <c r="H155" t="str">
        <f>HYPERLINK("https://video.twimg.com/ext_tw_video/1596583874116583425/pu/vid/1280x720/2c79P4X58pchy3-_.mp4?tag=12", "https://video.twimg.com/ext_tw_video/1596583874116583425/pu/vid/1280x720/2c79P4X58pchy3-_.mp4?tag=12")</f>
        <v>https://video.twimg.com/ext_tw_video/1596583874116583425/pu/vid/1280x720/2c79P4X58pchy3-_.mp4?tag=12</v>
      </c>
      <c r="L155">
        <v>0.80200000000000005</v>
      </c>
      <c r="M155">
        <v>0</v>
      </c>
      <c r="N155">
        <v>0.76400000000000001</v>
      </c>
      <c r="O155">
        <v>0.23599999999999999</v>
      </c>
    </row>
    <row r="156" spans="1:15" x14ac:dyDescent="0.2">
      <c r="A156" s="1" t="str">
        <f>HYPERLINK("http://www.twitter.com/banuakdenizli/status/1596821340438560770", "1596821340438560770")</f>
        <v>1596821340438560770</v>
      </c>
      <c r="B156" t="s">
        <v>15</v>
      </c>
      <c r="C156" s="2">
        <v>44892.45890046296</v>
      </c>
      <c r="D156">
        <v>0</v>
      </c>
      <c r="E156">
        <v>15</v>
      </c>
      <c r="F156" t="s">
        <v>18</v>
      </c>
      <c r="G156" t="s">
        <v>190</v>
      </c>
      <c r="H156" t="str">
        <f>HYPERLINK("http://pbs.twimg.com/media/Fig_rfYWIAcwRJ9.jpg", "http://pbs.twimg.com/media/Fig_rfYWIAcwRJ9.jpg")</f>
        <v>http://pbs.twimg.com/media/Fig_rfYWIAcwRJ9.jpg</v>
      </c>
      <c r="L156">
        <v>0.34</v>
      </c>
      <c r="M156">
        <v>0</v>
      </c>
      <c r="N156">
        <v>0.90600000000000003</v>
      </c>
      <c r="O156">
        <v>9.4E-2</v>
      </c>
    </row>
    <row r="157" spans="1:15" x14ac:dyDescent="0.2">
      <c r="A157" s="1" t="str">
        <f>HYPERLINK("http://www.twitter.com/banuakdenizli/status/1596132687781441537", "1596132687781441537")</f>
        <v>1596132687781441537</v>
      </c>
      <c r="B157" t="s">
        <v>15</v>
      </c>
      <c r="C157" s="2">
        <v>44890.558587962973</v>
      </c>
      <c r="D157">
        <v>0</v>
      </c>
      <c r="E157">
        <v>7</v>
      </c>
      <c r="F157" t="s">
        <v>18</v>
      </c>
      <c r="G157" t="s">
        <v>191</v>
      </c>
      <c r="H157" t="str">
        <f>HYPERLINK("http://pbs.twimg.com/media/FiNRepwXwAYz7D8.jpg", "http://pbs.twimg.com/media/FiNRepwXwAYz7D8.jpg")</f>
        <v>http://pbs.twimg.com/media/FiNRepwXwAYz7D8.jpg</v>
      </c>
      <c r="L157">
        <v>0.42149999999999999</v>
      </c>
      <c r="M157">
        <v>0</v>
      </c>
      <c r="N157">
        <v>0.86499999999999999</v>
      </c>
      <c r="O157">
        <v>0.13500000000000001</v>
      </c>
    </row>
    <row r="158" spans="1:15" x14ac:dyDescent="0.2">
      <c r="A158" s="1" t="str">
        <f>HYPERLINK("http://www.twitter.com/banuakdenizli/status/1596132647331573761", "1596132647331573761")</f>
        <v>1596132647331573761</v>
      </c>
      <c r="B158" t="s">
        <v>15</v>
      </c>
      <c r="C158" s="2">
        <v>44890.558472222219</v>
      </c>
      <c r="D158">
        <v>0</v>
      </c>
      <c r="E158">
        <v>9</v>
      </c>
      <c r="F158" t="s">
        <v>18</v>
      </c>
      <c r="G158" t="s">
        <v>192</v>
      </c>
      <c r="H158" t="str">
        <f>HYPERLINK("http://pbs.twimg.com/media/FiOwh7fXoAEE22-.jpg", "http://pbs.twimg.com/media/FiOwh7fXoAEE22-.jpg")</f>
        <v>http://pbs.twimg.com/media/FiOwh7fXoAEE22-.jpg</v>
      </c>
      <c r="L158">
        <v>0.42149999999999999</v>
      </c>
      <c r="M158">
        <v>0</v>
      </c>
      <c r="N158">
        <v>0.86499999999999999</v>
      </c>
      <c r="O158">
        <v>0.13500000000000001</v>
      </c>
    </row>
    <row r="159" spans="1:15" x14ac:dyDescent="0.2">
      <c r="A159" s="1" t="str">
        <f>HYPERLINK("http://www.twitter.com/banuakdenizli/status/1596132628671115264", "1596132628671115264")</f>
        <v>1596132628671115264</v>
      </c>
      <c r="B159" t="s">
        <v>15</v>
      </c>
      <c r="C159" s="2">
        <v>44890.558425925927</v>
      </c>
      <c r="D159">
        <v>0</v>
      </c>
      <c r="E159">
        <v>13</v>
      </c>
      <c r="F159" t="s">
        <v>18</v>
      </c>
      <c r="G159" t="s">
        <v>193</v>
      </c>
      <c r="H159" t="str">
        <f>HYPERLINK("http://pbs.twimg.com/media/FiOqwV_WIAA9HK9.jpg", "http://pbs.twimg.com/media/FiOqwV_WIAA9HK9.jpg")</f>
        <v>http://pbs.twimg.com/media/FiOqwV_WIAA9HK9.jpg</v>
      </c>
      <c r="L159">
        <v>0.59840000000000004</v>
      </c>
      <c r="M159">
        <v>0</v>
      </c>
      <c r="N159">
        <v>0.83099999999999996</v>
      </c>
      <c r="O159">
        <v>0.16900000000000001</v>
      </c>
    </row>
    <row r="160" spans="1:15" x14ac:dyDescent="0.2">
      <c r="A160" s="1" t="str">
        <f>HYPERLINK("http://www.twitter.com/banuakdenizli/status/1596132608391499776", "1596132608391499776")</f>
        <v>1596132608391499776</v>
      </c>
      <c r="B160" t="s">
        <v>15</v>
      </c>
      <c r="C160" s="2">
        <v>44890.558368055557</v>
      </c>
      <c r="D160">
        <v>0</v>
      </c>
      <c r="E160">
        <v>10</v>
      </c>
      <c r="F160" t="s">
        <v>18</v>
      </c>
      <c r="G160" t="s">
        <v>194</v>
      </c>
      <c r="H160" t="str">
        <f>HYPERLINK("http://pbs.twimg.com/media/FiOjyeHWAAAX91V.jpg", "http://pbs.twimg.com/media/FiOjyeHWAAAX91V.jpg")</f>
        <v>http://pbs.twimg.com/media/FiOjyeHWAAAX91V.jpg</v>
      </c>
      <c r="L160">
        <v>0.42149999999999999</v>
      </c>
      <c r="M160">
        <v>0</v>
      </c>
      <c r="N160">
        <v>0.92200000000000004</v>
      </c>
      <c r="O160">
        <v>7.8E-2</v>
      </c>
    </row>
    <row r="161" spans="1:15" x14ac:dyDescent="0.2">
      <c r="A161" s="1" t="str">
        <f>HYPERLINK("http://www.twitter.com/banuakdenizli/status/1595457502170304512", "1595457502170304512")</f>
        <v>1595457502170304512</v>
      </c>
      <c r="B161" t="s">
        <v>15</v>
      </c>
      <c r="C161" s="2">
        <v>44888.695428240739</v>
      </c>
      <c r="D161">
        <v>0</v>
      </c>
      <c r="E161">
        <v>3</v>
      </c>
      <c r="F161" t="s">
        <v>17</v>
      </c>
      <c r="G161" t="s">
        <v>195</v>
      </c>
      <c r="H161" t="str">
        <f>HYPERLINK("http://pbs.twimg.com/media/FiPpLVvXoAIyAPQ.jpg", "http://pbs.twimg.com/media/FiPpLVvXoAIyAPQ.jpg")</f>
        <v>http://pbs.twimg.com/media/FiPpLVvXoAIyAPQ.jpg</v>
      </c>
      <c r="L161">
        <v>0</v>
      </c>
      <c r="M161">
        <v>0</v>
      </c>
      <c r="N161">
        <v>1</v>
      </c>
      <c r="O161">
        <v>0</v>
      </c>
    </row>
    <row r="162" spans="1:15" x14ac:dyDescent="0.2">
      <c r="A162" s="1" t="str">
        <f>HYPERLINK("http://www.twitter.com/banuakdenizli/status/1595457469261971456", "1595457469261971456")</f>
        <v>1595457469261971456</v>
      </c>
      <c r="B162" t="s">
        <v>15</v>
      </c>
      <c r="C162" s="2">
        <v>44888.695335648154</v>
      </c>
      <c r="D162">
        <v>0</v>
      </c>
      <c r="E162">
        <v>3</v>
      </c>
      <c r="F162" t="s">
        <v>17</v>
      </c>
      <c r="G162" t="s">
        <v>196</v>
      </c>
      <c r="H162" t="str">
        <f>HYPERLINK("http://pbs.twimg.com/media/FiPp2L5XEAASKGX.jpg", "http://pbs.twimg.com/media/FiPp2L5XEAASKGX.jpg")</f>
        <v>http://pbs.twimg.com/media/FiPp2L5XEAASKGX.jpg</v>
      </c>
      <c r="L162">
        <v>0</v>
      </c>
      <c r="M162">
        <v>0</v>
      </c>
      <c r="N162">
        <v>1</v>
      </c>
      <c r="O162">
        <v>0</v>
      </c>
    </row>
    <row r="163" spans="1:15" x14ac:dyDescent="0.2">
      <c r="A163" s="1" t="str">
        <f>HYPERLINK("http://www.twitter.com/banuakdenizli/status/1595457332061904896", "1595457332061904896")</f>
        <v>1595457332061904896</v>
      </c>
      <c r="B163" t="s">
        <v>15</v>
      </c>
      <c r="C163" s="2">
        <v>44888.694953703707</v>
      </c>
      <c r="D163">
        <v>0</v>
      </c>
      <c r="E163">
        <v>3</v>
      </c>
      <c r="F163" t="s">
        <v>17</v>
      </c>
      <c r="G163" t="s">
        <v>197</v>
      </c>
      <c r="H163" t="str">
        <f>HYPERLINK("http://pbs.twimg.com/media/FiPqaeDWYAEy493.jpg", "http://pbs.twimg.com/media/FiPqaeDWYAEy493.jpg")</f>
        <v>http://pbs.twimg.com/media/FiPqaeDWYAEy493.jpg</v>
      </c>
      <c r="L163">
        <v>0</v>
      </c>
      <c r="M163">
        <v>0</v>
      </c>
      <c r="N163">
        <v>1</v>
      </c>
      <c r="O163">
        <v>0</v>
      </c>
    </row>
    <row r="164" spans="1:15" x14ac:dyDescent="0.2">
      <c r="A164" s="1" t="str">
        <f>HYPERLINK("http://www.twitter.com/banuakdenizli/status/1595454517348544512", "1595454517348544512")</f>
        <v>1595454517348544512</v>
      </c>
      <c r="B164" t="s">
        <v>15</v>
      </c>
      <c r="C164" s="2">
        <v>44888.6871875</v>
      </c>
      <c r="D164">
        <v>0</v>
      </c>
      <c r="E164">
        <v>0</v>
      </c>
      <c r="G164" t="s">
        <v>198</v>
      </c>
      <c r="L164">
        <v>0</v>
      </c>
      <c r="M164">
        <v>0</v>
      </c>
      <c r="N164">
        <v>1</v>
      </c>
      <c r="O164">
        <v>0</v>
      </c>
    </row>
    <row r="165" spans="1:15" x14ac:dyDescent="0.2">
      <c r="A165" s="1" t="str">
        <f>HYPERLINK("http://www.twitter.com/banuakdenizli/status/1595454433663782912", "1595454433663782912")</f>
        <v>1595454433663782912</v>
      </c>
      <c r="B165" t="s">
        <v>15</v>
      </c>
      <c r="C165" s="2">
        <v>44888.686956018522</v>
      </c>
      <c r="D165">
        <v>0</v>
      </c>
      <c r="E165">
        <v>0</v>
      </c>
      <c r="G165" t="s">
        <v>199</v>
      </c>
      <c r="H165" t="str">
        <f>HYPERLINK("http://pbs.twimg.com/media/FiQxV8SXEAEUGsA.jpg", "http://pbs.twimg.com/media/FiQxV8SXEAEUGsA.jpg")</f>
        <v>http://pbs.twimg.com/media/FiQxV8SXEAEUGsA.jpg</v>
      </c>
      <c r="L165">
        <v>0</v>
      </c>
      <c r="M165">
        <v>0</v>
      </c>
      <c r="N165">
        <v>1</v>
      </c>
      <c r="O165">
        <v>0</v>
      </c>
    </row>
    <row r="166" spans="1:15" x14ac:dyDescent="0.2">
      <c r="A166" s="1" t="str">
        <f>HYPERLINK("http://www.twitter.com/banuakdenizli/status/1595030111967154178", "1595030111967154178")</f>
        <v>1595030111967154178</v>
      </c>
      <c r="B166" t="s">
        <v>15</v>
      </c>
      <c r="C166" s="2">
        <v>44887.516053240739</v>
      </c>
      <c r="D166">
        <v>0</v>
      </c>
      <c r="E166">
        <v>7</v>
      </c>
      <c r="F166" t="s">
        <v>17</v>
      </c>
      <c r="G166" t="s">
        <v>200</v>
      </c>
      <c r="H166" t="str">
        <f>HYPERLINK("http://pbs.twimg.com/media/Fh72K9CXgAA347R.jpg", "http://pbs.twimg.com/media/Fh72K9CXgAA347R.jpg")</f>
        <v>http://pbs.twimg.com/media/Fh72K9CXgAA347R.jpg</v>
      </c>
      <c r="L166">
        <v>0</v>
      </c>
      <c r="M166">
        <v>0</v>
      </c>
      <c r="N166">
        <v>1</v>
      </c>
      <c r="O166">
        <v>0</v>
      </c>
    </row>
    <row r="167" spans="1:15" x14ac:dyDescent="0.2">
      <c r="A167" s="1" t="str">
        <f>HYPERLINK("http://www.twitter.com/banuakdenizli/status/1594481564150386691", "1594481564150386691")</f>
        <v>1594481564150386691</v>
      </c>
      <c r="B167" t="s">
        <v>15</v>
      </c>
      <c r="C167" s="2">
        <v>44886.002349537041</v>
      </c>
      <c r="D167">
        <v>0</v>
      </c>
      <c r="E167">
        <v>5</v>
      </c>
      <c r="F167" t="s">
        <v>201</v>
      </c>
      <c r="G167" t="s">
        <v>202</v>
      </c>
      <c r="H167" t="str">
        <f>HYPERLINK("http://pbs.twimg.com/media/FiCv274XEAEHe5c.jpg", "http://pbs.twimg.com/media/FiCv274XEAEHe5c.jpg")</f>
        <v>http://pbs.twimg.com/media/FiCv274XEAEHe5c.jpg</v>
      </c>
      <c r="I167" t="str">
        <f>HYPERLINK("http://pbs.twimg.com/media/FiCv275XkAIALMn.jpg", "http://pbs.twimg.com/media/FiCv275XkAIALMn.jpg")</f>
        <v>http://pbs.twimg.com/media/FiCv275XkAIALMn.jpg</v>
      </c>
      <c r="J167" t="str">
        <f>HYPERLINK("http://pbs.twimg.com/media/FiCv27TXEAAt-lT.jpg", "http://pbs.twimg.com/media/FiCv27TXEAAt-lT.jpg")</f>
        <v>http://pbs.twimg.com/media/FiCv27TXEAAt-lT.jpg</v>
      </c>
      <c r="K167" t="str">
        <f>HYPERLINK("http://pbs.twimg.com/media/FiCv273XgAEW6IA.jpg", "http://pbs.twimg.com/media/FiCv273XgAEW6IA.jpg")</f>
        <v>http://pbs.twimg.com/media/FiCv273XgAEW6IA.jpg</v>
      </c>
      <c r="L167">
        <v>0.45879999999999999</v>
      </c>
      <c r="M167">
        <v>0</v>
      </c>
      <c r="N167">
        <v>0.88</v>
      </c>
      <c r="O167">
        <v>0.12</v>
      </c>
    </row>
    <row r="168" spans="1:15" x14ac:dyDescent="0.2">
      <c r="A168" s="1" t="str">
        <f>HYPERLINK("http://www.twitter.com/banuakdenizli/status/1594481409225363458", "1594481409225363458")</f>
        <v>1594481409225363458</v>
      </c>
      <c r="B168" t="s">
        <v>15</v>
      </c>
      <c r="C168" s="2">
        <v>44886.001921296287</v>
      </c>
      <c r="D168">
        <v>0</v>
      </c>
      <c r="E168">
        <v>7</v>
      </c>
      <c r="F168" t="s">
        <v>18</v>
      </c>
      <c r="G168" t="s">
        <v>203</v>
      </c>
      <c r="H168" t="str">
        <f>HYPERLINK("http://pbs.twimg.com/media/FiAPL_uXEAMs7Ki.jpg", "http://pbs.twimg.com/media/FiAPL_uXEAMs7Ki.jpg")</f>
        <v>http://pbs.twimg.com/media/FiAPL_uXEAMs7Ki.jpg</v>
      </c>
      <c r="L168">
        <v>-0.52669999999999995</v>
      </c>
      <c r="M168">
        <v>0.21099999999999999</v>
      </c>
      <c r="N168">
        <v>0.68799999999999994</v>
      </c>
      <c r="O168">
        <v>0.10100000000000001</v>
      </c>
    </row>
    <row r="169" spans="1:15" x14ac:dyDescent="0.2">
      <c r="A169" s="1" t="str">
        <f>HYPERLINK("http://www.twitter.com/banuakdenizli/status/1594481350609887235", "1594481350609887235")</f>
        <v>1594481350609887235</v>
      </c>
      <c r="B169" t="s">
        <v>15</v>
      </c>
      <c r="C169" s="2">
        <v>44886.001759259263</v>
      </c>
      <c r="D169">
        <v>0</v>
      </c>
      <c r="E169">
        <v>13</v>
      </c>
      <c r="F169" t="s">
        <v>24</v>
      </c>
      <c r="G169" t="s">
        <v>204</v>
      </c>
      <c r="H169" t="str">
        <f>HYPERLINK("http://pbs.twimg.com/media/FiA6PU_WQAE3amN.jpg", "http://pbs.twimg.com/media/FiA6PU_WQAE3amN.jpg")</f>
        <v>http://pbs.twimg.com/media/FiA6PU_WQAE3amN.jpg</v>
      </c>
      <c r="L169">
        <v>2.58E-2</v>
      </c>
      <c r="M169">
        <v>0</v>
      </c>
      <c r="N169">
        <v>0.96499999999999997</v>
      </c>
      <c r="O169">
        <v>3.5000000000000003E-2</v>
      </c>
    </row>
    <row r="170" spans="1:15" x14ac:dyDescent="0.2">
      <c r="A170" s="1" t="str">
        <f>HYPERLINK("http://www.twitter.com/banuakdenizli/status/1594481298135023616", "1594481298135023616")</f>
        <v>1594481298135023616</v>
      </c>
      <c r="B170" t="s">
        <v>15</v>
      </c>
      <c r="C170" s="2">
        <v>44886.001620370371</v>
      </c>
      <c r="D170">
        <v>0</v>
      </c>
      <c r="E170">
        <v>203</v>
      </c>
      <c r="F170" t="s">
        <v>201</v>
      </c>
      <c r="G170" t="s">
        <v>205</v>
      </c>
      <c r="H170" t="str">
        <f>HYPERLINK("https://video.twimg.com/ext_tw_video/1594354227924635648/pu/vid/640x360/V1Kpnv3Hf8qRbK1M.mp4?tag=14", "https://video.twimg.com/ext_tw_video/1594354227924635648/pu/vid/640x360/V1Kpnv3Hf8qRbK1M.mp4?tag=14")</f>
        <v>https://video.twimg.com/ext_tw_video/1594354227924635648/pu/vid/640x360/V1Kpnv3Hf8qRbK1M.mp4?tag=14</v>
      </c>
      <c r="L170">
        <v>0</v>
      </c>
      <c r="M170">
        <v>0</v>
      </c>
      <c r="N170">
        <v>1</v>
      </c>
      <c r="O170">
        <v>0</v>
      </c>
    </row>
    <row r="171" spans="1:15" x14ac:dyDescent="0.2">
      <c r="A171" s="1" t="str">
        <f>HYPERLINK("http://www.twitter.com/banuakdenizli/status/1594420982562770944", "1594420982562770944")</f>
        <v>1594420982562770944</v>
      </c>
      <c r="B171" t="s">
        <v>15</v>
      </c>
      <c r="C171" s="2">
        <v>44885.835173611107</v>
      </c>
      <c r="D171">
        <v>0</v>
      </c>
      <c r="E171">
        <v>1</v>
      </c>
      <c r="F171" t="s">
        <v>206</v>
      </c>
      <c r="G171" t="s">
        <v>207</v>
      </c>
      <c r="L171">
        <v>-0.29599999999999999</v>
      </c>
      <c r="M171">
        <v>6.2E-2</v>
      </c>
      <c r="N171">
        <v>0.93700000000000006</v>
      </c>
      <c r="O171">
        <v>0</v>
      </c>
    </row>
    <row r="172" spans="1:15" x14ac:dyDescent="0.2">
      <c r="A172" s="1" t="str">
        <f>HYPERLINK("http://www.twitter.com/banuakdenizli/status/1594333301170388992", "1594333301170388992")</f>
        <v>1594333301170388992</v>
      </c>
      <c r="B172" t="s">
        <v>15</v>
      </c>
      <c r="C172" s="2">
        <v>44885.593217592592</v>
      </c>
      <c r="D172">
        <v>0</v>
      </c>
      <c r="E172">
        <v>0</v>
      </c>
      <c r="G172" t="s">
        <v>208</v>
      </c>
      <c r="L172">
        <v>0</v>
      </c>
      <c r="M172">
        <v>0</v>
      </c>
      <c r="N172">
        <v>1</v>
      </c>
      <c r="O172">
        <v>0</v>
      </c>
    </row>
    <row r="173" spans="1:15" x14ac:dyDescent="0.2">
      <c r="A173" s="1" t="str">
        <f>HYPERLINK("http://www.twitter.com/banuakdenizli/status/1594333087181295617", "1594333087181295617")</f>
        <v>1594333087181295617</v>
      </c>
      <c r="B173" t="s">
        <v>15</v>
      </c>
      <c r="C173" s="2">
        <v>44885.592627314807</v>
      </c>
      <c r="D173">
        <v>2</v>
      </c>
      <c r="E173">
        <v>2</v>
      </c>
      <c r="G173" t="s">
        <v>209</v>
      </c>
      <c r="H173" t="str">
        <f>HYPERLINK("http://pbs.twimg.com/media/FiA1e5qXwAUzWib.jpg", "http://pbs.twimg.com/media/FiA1e5qXwAUzWib.jpg")</f>
        <v>http://pbs.twimg.com/media/FiA1e5qXwAUzWib.jpg</v>
      </c>
      <c r="I173" t="str">
        <f>HYPERLINK("http://pbs.twimg.com/media/FiA1e5rWIAAMVf2.jpg", "http://pbs.twimg.com/media/FiA1e5rWIAAMVf2.jpg")</f>
        <v>http://pbs.twimg.com/media/FiA1e5rWIAAMVf2.jpg</v>
      </c>
      <c r="J173" t="str">
        <f>HYPERLINK("http://pbs.twimg.com/media/FiA1e5uXgAA0zxQ.jpg", "http://pbs.twimg.com/media/FiA1e5uXgAA0zxQ.jpg")</f>
        <v>http://pbs.twimg.com/media/FiA1e5uXgAA0zxQ.jpg</v>
      </c>
      <c r="K173" t="str">
        <f>HYPERLINK("http://pbs.twimg.com/media/FiA1e5rXgAAZb8m.jpg", "http://pbs.twimg.com/media/FiA1e5rXgAAZb8m.jpg")</f>
        <v>http://pbs.twimg.com/media/FiA1e5rXgAAZb8m.jpg</v>
      </c>
      <c r="L173">
        <v>0</v>
      </c>
      <c r="M173">
        <v>0</v>
      </c>
      <c r="N173">
        <v>1</v>
      </c>
      <c r="O173">
        <v>0</v>
      </c>
    </row>
    <row r="174" spans="1:15" x14ac:dyDescent="0.2">
      <c r="A174" s="1" t="str">
        <f>HYPERLINK("http://www.twitter.com/banuakdenizli/status/1593366239249924096", "1593366239249924096")</f>
        <v>1593366239249924096</v>
      </c>
      <c r="B174" t="s">
        <v>15</v>
      </c>
      <c r="C174" s="2">
        <v>44882.924641203703</v>
      </c>
      <c r="D174">
        <v>0</v>
      </c>
      <c r="E174">
        <v>5</v>
      </c>
      <c r="F174" t="s">
        <v>17</v>
      </c>
      <c r="G174" t="s">
        <v>210</v>
      </c>
      <c r="H174" t="str">
        <f>HYPERLINK("http://pbs.twimg.com/media/FhyzjmQX0AAMnz_.jpg", "http://pbs.twimg.com/media/FhyzjmQX0AAMnz_.jpg")</f>
        <v>http://pbs.twimg.com/media/FhyzjmQX0AAMnz_.jpg</v>
      </c>
      <c r="L174">
        <v>0</v>
      </c>
      <c r="M174">
        <v>0</v>
      </c>
      <c r="N174">
        <v>1</v>
      </c>
      <c r="O174">
        <v>0</v>
      </c>
    </row>
    <row r="175" spans="1:15" x14ac:dyDescent="0.2">
      <c r="A175" s="1" t="str">
        <f>HYPERLINK("http://www.twitter.com/banuakdenizli/status/1593366137735110658", "1593366137735110658")</f>
        <v>1593366137735110658</v>
      </c>
      <c r="B175" t="s">
        <v>15</v>
      </c>
      <c r="C175" s="2">
        <v>44882.924363425933</v>
      </c>
      <c r="D175">
        <v>0</v>
      </c>
      <c r="E175">
        <v>7</v>
      </c>
      <c r="F175" t="s">
        <v>17</v>
      </c>
      <c r="G175" t="s">
        <v>211</v>
      </c>
      <c r="H175" t="str">
        <f>HYPERLINK("http://pbs.twimg.com/media/FhyzawMWQAAtIy6.jpg", "http://pbs.twimg.com/media/FhyzawMWQAAtIy6.jpg")</f>
        <v>http://pbs.twimg.com/media/FhyzawMWQAAtIy6.jpg</v>
      </c>
      <c r="L175">
        <v>0</v>
      </c>
      <c r="M175">
        <v>0</v>
      </c>
      <c r="N175">
        <v>1</v>
      </c>
      <c r="O175">
        <v>0</v>
      </c>
    </row>
    <row r="176" spans="1:15" x14ac:dyDescent="0.2">
      <c r="A176" s="1" t="str">
        <f>HYPERLINK("http://www.twitter.com/banuakdenizli/status/1593298362601820162", "1593298362601820162")</f>
        <v>1593298362601820162</v>
      </c>
      <c r="B176" t="s">
        <v>15</v>
      </c>
      <c r="C176" s="2">
        <v>44882.737337962957</v>
      </c>
      <c r="D176">
        <v>0</v>
      </c>
      <c r="E176">
        <v>7</v>
      </c>
      <c r="F176" t="s">
        <v>18</v>
      </c>
      <c r="G176" t="s">
        <v>212</v>
      </c>
      <c r="H176" t="str">
        <f>HYPERLINK("http://pbs.twimg.com/media/Fhp3YV3X0AEArAX.jpg", "http://pbs.twimg.com/media/Fhp3YV3X0AEArAX.jpg")</f>
        <v>http://pbs.twimg.com/media/Fhp3YV3X0AEArAX.jpg</v>
      </c>
      <c r="L176">
        <v>-0.58589999999999998</v>
      </c>
      <c r="M176">
        <v>0.29599999999999999</v>
      </c>
      <c r="N176">
        <v>0.52500000000000002</v>
      </c>
      <c r="O176">
        <v>0.17899999999999999</v>
      </c>
    </row>
    <row r="177" spans="1:15" x14ac:dyDescent="0.2">
      <c r="A177" s="1" t="str">
        <f>HYPERLINK("http://www.twitter.com/banuakdenizli/status/1593298298252632064", "1593298298252632064")</f>
        <v>1593298298252632064</v>
      </c>
      <c r="B177" t="s">
        <v>15</v>
      </c>
      <c r="C177" s="2">
        <v>44882.737164351849</v>
      </c>
      <c r="D177">
        <v>0</v>
      </c>
      <c r="E177">
        <v>5</v>
      </c>
      <c r="F177" t="s">
        <v>18</v>
      </c>
      <c r="G177" t="s">
        <v>213</v>
      </c>
      <c r="H177" t="str">
        <f>HYPERLINK("http://pbs.twimg.com/media/FhmSD5UXkAAaP7-.jpg", "http://pbs.twimg.com/media/FhmSD5UXkAAaP7-.jpg")</f>
        <v>http://pbs.twimg.com/media/FhmSD5UXkAAaP7-.jpg</v>
      </c>
      <c r="L177">
        <v>0</v>
      </c>
      <c r="M177">
        <v>0</v>
      </c>
      <c r="N177">
        <v>1</v>
      </c>
      <c r="O177">
        <v>0</v>
      </c>
    </row>
    <row r="178" spans="1:15" x14ac:dyDescent="0.2">
      <c r="A178" s="1" t="str">
        <f>HYPERLINK("http://www.twitter.com/banuakdenizli/status/1593298244179828740", "1593298244179828740")</f>
        <v>1593298244179828740</v>
      </c>
      <c r="B178" t="s">
        <v>15</v>
      </c>
      <c r="C178" s="2">
        <v>44882.737013888887</v>
      </c>
      <c r="D178">
        <v>0</v>
      </c>
      <c r="E178">
        <v>7</v>
      </c>
      <c r="F178" t="s">
        <v>18</v>
      </c>
      <c r="G178" t="s">
        <v>214</v>
      </c>
      <c r="H178" t="str">
        <f>HYPERLINK("http://pbs.twimg.com/media/FhltmGHXgAAxpxc.jpg", "http://pbs.twimg.com/media/FhltmGHXgAAxpxc.jpg")</f>
        <v>http://pbs.twimg.com/media/FhltmGHXgAAxpxc.jpg</v>
      </c>
      <c r="I178" t="str">
        <f>HYPERLINK("http://pbs.twimg.com/media/FhltmGFWAAMZCTV.jpg", "http://pbs.twimg.com/media/FhltmGFWAAMZCTV.jpg")</f>
        <v>http://pbs.twimg.com/media/FhltmGFWAAMZCTV.jpg</v>
      </c>
      <c r="L178">
        <v>0</v>
      </c>
      <c r="M178">
        <v>0</v>
      </c>
      <c r="N178">
        <v>1</v>
      </c>
      <c r="O178">
        <v>0</v>
      </c>
    </row>
    <row r="179" spans="1:15" x14ac:dyDescent="0.2">
      <c r="A179" s="1" t="str">
        <f>HYPERLINK("http://www.twitter.com/banuakdenizli/status/1593297675050434565", "1593297675050434565")</f>
        <v>1593297675050434565</v>
      </c>
      <c r="B179" t="s">
        <v>15</v>
      </c>
      <c r="C179" s="2">
        <v>44882.735439814824</v>
      </c>
      <c r="D179">
        <v>0</v>
      </c>
      <c r="E179">
        <v>2</v>
      </c>
      <c r="F179" t="s">
        <v>201</v>
      </c>
      <c r="G179" t="s">
        <v>215</v>
      </c>
      <c r="H179" t="str">
        <f>HYPERLINK("https://video.twimg.com/ext_tw_video/1592944472077352962/pu/vid/1920x1080/ZaRAcAJTwJDJKq3s.mp4?tag=14", "https://video.twimg.com/ext_tw_video/1592944472077352962/pu/vid/1920x1080/ZaRAcAJTwJDJKq3s.mp4?tag=14")</f>
        <v>https://video.twimg.com/ext_tw_video/1592944472077352962/pu/vid/1920x1080/ZaRAcAJTwJDJKq3s.mp4?tag=14</v>
      </c>
      <c r="L179">
        <v>0</v>
      </c>
      <c r="M179">
        <v>0</v>
      </c>
      <c r="N179">
        <v>1</v>
      </c>
      <c r="O179">
        <v>0</v>
      </c>
    </row>
    <row r="180" spans="1:15" x14ac:dyDescent="0.2">
      <c r="A180" s="1" t="str">
        <f>HYPERLINK("http://www.twitter.com/banuakdenizli/status/1593280390604767236", "1593280390604767236")</f>
        <v>1593280390604767236</v>
      </c>
      <c r="B180" t="s">
        <v>15</v>
      </c>
      <c r="C180" s="2">
        <v>44882.687743055547</v>
      </c>
      <c r="D180">
        <v>0</v>
      </c>
      <c r="E180">
        <v>0</v>
      </c>
      <c r="G180" t="s">
        <v>216</v>
      </c>
      <c r="L180">
        <v>0</v>
      </c>
      <c r="M180">
        <v>0</v>
      </c>
      <c r="N180">
        <v>1</v>
      </c>
      <c r="O180">
        <v>0</v>
      </c>
    </row>
    <row r="181" spans="1:15" x14ac:dyDescent="0.2">
      <c r="A181" s="1" t="str">
        <f>HYPERLINK("http://www.twitter.com/banuakdenizli/status/1593280224761987072", "1593280224761987072")</f>
        <v>1593280224761987072</v>
      </c>
      <c r="B181" t="s">
        <v>15</v>
      </c>
      <c r="C181" s="2">
        <v>44882.687280092592</v>
      </c>
      <c r="D181">
        <v>0</v>
      </c>
      <c r="E181">
        <v>0</v>
      </c>
      <c r="G181" t="s">
        <v>217</v>
      </c>
      <c r="H181" t="str">
        <f>HYPERLINK("http://pbs.twimg.com/media/Fhx36WvXkAQUb2r.jpg", "http://pbs.twimg.com/media/Fhx36WvXkAQUb2r.jpg")</f>
        <v>http://pbs.twimg.com/media/Fhx36WvXkAQUb2r.jpg</v>
      </c>
      <c r="L181">
        <v>0</v>
      </c>
      <c r="M181">
        <v>0</v>
      </c>
      <c r="N181">
        <v>1</v>
      </c>
      <c r="O181">
        <v>0</v>
      </c>
    </row>
    <row r="182" spans="1:15" x14ac:dyDescent="0.2">
      <c r="A182" s="1" t="str">
        <f>HYPERLINK("http://www.twitter.com/banuakdenizli/status/1593279683516407808", "1593279683516407808")</f>
        <v>1593279683516407808</v>
      </c>
      <c r="B182" t="s">
        <v>15</v>
      </c>
      <c r="C182" s="2">
        <v>44882.685787037037</v>
      </c>
      <c r="D182">
        <v>0</v>
      </c>
      <c r="E182">
        <v>0</v>
      </c>
      <c r="G182" t="s">
        <v>218</v>
      </c>
      <c r="L182">
        <v>0</v>
      </c>
      <c r="M182">
        <v>0</v>
      </c>
      <c r="N182">
        <v>1</v>
      </c>
      <c r="O182">
        <v>0</v>
      </c>
    </row>
    <row r="183" spans="1:15" x14ac:dyDescent="0.2">
      <c r="A183" s="1" t="str">
        <f>HYPERLINK("http://www.twitter.com/banuakdenizli/status/1593279541543305216", "1593279541543305216")</f>
        <v>1593279541543305216</v>
      </c>
      <c r="B183" t="s">
        <v>15</v>
      </c>
      <c r="C183" s="2">
        <v>44882.68540509259</v>
      </c>
      <c r="D183">
        <v>0</v>
      </c>
      <c r="E183">
        <v>8</v>
      </c>
      <c r="F183" t="s">
        <v>18</v>
      </c>
      <c r="G183" t="s">
        <v>219</v>
      </c>
      <c r="H183" t="str">
        <f>HYPERLINK("http://pbs.twimg.com/media/FhxqjFWWAAAiGbP.jpg", "http://pbs.twimg.com/media/FhxqjFWWAAAiGbP.jpg")</f>
        <v>http://pbs.twimg.com/media/FhxqjFWWAAAiGbP.jpg</v>
      </c>
      <c r="L183">
        <v>0.70960000000000001</v>
      </c>
      <c r="M183">
        <v>0</v>
      </c>
      <c r="N183">
        <v>0.71799999999999997</v>
      </c>
      <c r="O183">
        <v>0.28199999999999997</v>
      </c>
    </row>
    <row r="184" spans="1:15" x14ac:dyDescent="0.2">
      <c r="A184" s="1" t="str">
        <f>HYPERLINK("http://www.twitter.com/banuakdenizli/status/1592860627835686914", "1592860627835686914")</f>
        <v>1592860627835686914</v>
      </c>
      <c r="B184" t="s">
        <v>15</v>
      </c>
      <c r="C184" s="2">
        <v>44881.529421296298</v>
      </c>
      <c r="D184">
        <v>0</v>
      </c>
      <c r="E184">
        <v>6</v>
      </c>
      <c r="F184" t="s">
        <v>17</v>
      </c>
      <c r="G184" t="s">
        <v>220</v>
      </c>
      <c r="H184" t="str">
        <f>HYPERLINK("http://pbs.twimg.com/media/Fg_h4FtXEAExzDM.jpg", "http://pbs.twimg.com/media/Fg_h4FtXEAExzDM.jpg")</f>
        <v>http://pbs.twimg.com/media/Fg_h4FtXEAExzDM.jpg</v>
      </c>
      <c r="L184">
        <v>0.34</v>
      </c>
      <c r="M184">
        <v>0</v>
      </c>
      <c r="N184">
        <v>0.93400000000000005</v>
      </c>
      <c r="O184">
        <v>6.6000000000000003E-2</v>
      </c>
    </row>
    <row r="185" spans="1:15" x14ac:dyDescent="0.2">
      <c r="A185" s="1" t="str">
        <f>HYPERLINK("http://www.twitter.com/banuakdenizli/status/1592860556398309381", "1592860556398309381")</f>
        <v>1592860556398309381</v>
      </c>
      <c r="B185" t="s">
        <v>15</v>
      </c>
      <c r="C185" s="2">
        <v>44881.529224537036</v>
      </c>
      <c r="D185">
        <v>0</v>
      </c>
      <c r="E185">
        <v>6</v>
      </c>
      <c r="F185" t="s">
        <v>17</v>
      </c>
      <c r="G185" t="s">
        <v>221</v>
      </c>
      <c r="H185" t="str">
        <f>HYPERLINK("http://pbs.twimg.com/media/FhJl4XSWQAICJ20.jpg", "http://pbs.twimg.com/media/FhJl4XSWQAICJ20.jpg")</f>
        <v>http://pbs.twimg.com/media/FhJl4XSWQAICJ20.jpg</v>
      </c>
      <c r="L185">
        <v>0</v>
      </c>
      <c r="M185">
        <v>0</v>
      </c>
      <c r="N185">
        <v>1</v>
      </c>
      <c r="O185">
        <v>0</v>
      </c>
    </row>
    <row r="186" spans="1:15" x14ac:dyDescent="0.2">
      <c r="A186" s="1" t="str">
        <f>HYPERLINK("http://www.twitter.com/banuakdenizli/status/1592860515281567744", "1592860515281567744")</f>
        <v>1592860515281567744</v>
      </c>
      <c r="B186" t="s">
        <v>15</v>
      </c>
      <c r="C186" s="2">
        <v>44881.529108796298</v>
      </c>
      <c r="D186">
        <v>0</v>
      </c>
      <c r="E186">
        <v>4</v>
      </c>
      <c r="F186" t="s">
        <v>17</v>
      </c>
      <c r="G186" t="s">
        <v>222</v>
      </c>
      <c r="H186" t="str">
        <f>HYPERLINK("http://pbs.twimg.com/media/FhX2shqXgAAdB-A.jpg", "http://pbs.twimg.com/media/FhX2shqXgAAdB-A.jpg")</f>
        <v>http://pbs.twimg.com/media/FhX2shqXgAAdB-A.jpg</v>
      </c>
      <c r="I186" t="str">
        <f>HYPERLINK("http://pbs.twimg.com/media/FhX2shjXkAICD1-.jpg", "http://pbs.twimg.com/media/FhX2shjXkAICD1-.jpg")</f>
        <v>http://pbs.twimg.com/media/FhX2shjXkAICD1-.jpg</v>
      </c>
      <c r="J186" t="str">
        <f>HYPERLINK("http://pbs.twimg.com/media/FhX2shkWYAACvwl.jpg", "http://pbs.twimg.com/media/FhX2shkWYAACvwl.jpg")</f>
        <v>http://pbs.twimg.com/media/FhX2shkWYAACvwl.jpg</v>
      </c>
      <c r="K186" t="str">
        <f>HYPERLINK("http://pbs.twimg.com/media/FhX2shoXkAARD8R.jpg", "http://pbs.twimg.com/media/FhX2shoXkAARD8R.jpg")</f>
        <v>http://pbs.twimg.com/media/FhX2shoXkAARD8R.jpg</v>
      </c>
      <c r="L186">
        <v>0</v>
      </c>
      <c r="M186">
        <v>0</v>
      </c>
      <c r="N186">
        <v>1</v>
      </c>
      <c r="O186">
        <v>0</v>
      </c>
    </row>
    <row r="187" spans="1:15" x14ac:dyDescent="0.2">
      <c r="A187" s="1" t="str">
        <f>HYPERLINK("http://www.twitter.com/banuakdenizli/status/1592860459580858369", "1592860459580858369")</f>
        <v>1592860459580858369</v>
      </c>
      <c r="B187" t="s">
        <v>15</v>
      </c>
      <c r="C187" s="2">
        <v>44881.528958333343</v>
      </c>
      <c r="D187">
        <v>0</v>
      </c>
      <c r="E187">
        <v>1</v>
      </c>
      <c r="F187" t="s">
        <v>17</v>
      </c>
      <c r="G187" t="s">
        <v>223</v>
      </c>
      <c r="H187" t="str">
        <f>HYPERLINK("http://pbs.twimg.com/media/FhjBj-yX0AIy6Yd.jpg", "http://pbs.twimg.com/media/FhjBj-yX0AIy6Yd.jpg")</f>
        <v>http://pbs.twimg.com/media/FhjBj-yX0AIy6Yd.jpg</v>
      </c>
      <c r="I187" t="str">
        <f>HYPERLINK("http://pbs.twimg.com/media/FhjBj-vWQAAdc4j.jpg", "http://pbs.twimg.com/media/FhjBj-vWQAAdc4j.jpg")</f>
        <v>http://pbs.twimg.com/media/FhjBj-vWQAAdc4j.jpg</v>
      </c>
      <c r="J187" t="str">
        <f>HYPERLINK("http://pbs.twimg.com/media/FhjBj-yX0AAZZUo.jpg", "http://pbs.twimg.com/media/FhjBj-yX0AAZZUo.jpg")</f>
        <v>http://pbs.twimg.com/media/FhjBj-yX0AAZZUo.jpg</v>
      </c>
      <c r="K187" t="str">
        <f>HYPERLINK("http://pbs.twimg.com/media/FhjBj-1XkAMvf-A.jpg", "http://pbs.twimg.com/media/FhjBj-1XkAMvf-A.jpg")</f>
        <v>http://pbs.twimg.com/media/FhjBj-1XkAMvf-A.jpg</v>
      </c>
      <c r="L187">
        <v>0</v>
      </c>
      <c r="M187">
        <v>0</v>
      </c>
      <c r="N187">
        <v>1</v>
      </c>
      <c r="O187">
        <v>0</v>
      </c>
    </row>
    <row r="188" spans="1:15" x14ac:dyDescent="0.2">
      <c r="A188" s="1" t="str">
        <f>HYPERLINK("http://www.twitter.com/banuakdenizli/status/1592860318719692806", "1592860318719692806")</f>
        <v>1592860318719692806</v>
      </c>
      <c r="B188" t="s">
        <v>15</v>
      </c>
      <c r="C188" s="2">
        <v>44881.528564814813</v>
      </c>
      <c r="D188">
        <v>0</v>
      </c>
      <c r="E188">
        <v>3</v>
      </c>
      <c r="F188" t="s">
        <v>17</v>
      </c>
      <c r="G188" t="s">
        <v>224</v>
      </c>
      <c r="H188" t="str">
        <f>HYPERLINK("http://pbs.twimg.com/media/FhmS0DlXwAAVTqg.jpg", "http://pbs.twimg.com/media/FhmS0DlXwAAVTqg.jpg")</f>
        <v>http://pbs.twimg.com/media/FhmS0DlXwAAVTqg.jpg</v>
      </c>
      <c r="L188">
        <v>0</v>
      </c>
      <c r="M188">
        <v>0</v>
      </c>
      <c r="N188">
        <v>1</v>
      </c>
      <c r="O188">
        <v>0</v>
      </c>
    </row>
    <row r="189" spans="1:15" x14ac:dyDescent="0.2">
      <c r="A189" s="1" t="str">
        <f>HYPERLINK("http://www.twitter.com/banuakdenizli/status/1592579081442570241", "1592579081442570241")</f>
        <v>1592579081442570241</v>
      </c>
      <c r="B189" t="s">
        <v>15</v>
      </c>
      <c r="C189" s="2">
        <v>44880.752500000002</v>
      </c>
      <c r="D189">
        <v>4</v>
      </c>
      <c r="E189">
        <v>2</v>
      </c>
      <c r="G189" t="s">
        <v>225</v>
      </c>
      <c r="H189" t="str">
        <f>HYPERLINK("http://pbs.twimg.com/media/Fhn6OlCXwAEgb21.jpg", "http://pbs.twimg.com/media/Fhn6OlCXwAEgb21.jpg")</f>
        <v>http://pbs.twimg.com/media/Fhn6OlCXwAEgb21.jpg</v>
      </c>
      <c r="L189">
        <v>0</v>
      </c>
      <c r="M189">
        <v>0</v>
      </c>
      <c r="N189">
        <v>1</v>
      </c>
      <c r="O189">
        <v>0</v>
      </c>
    </row>
    <row r="190" spans="1:15" x14ac:dyDescent="0.2">
      <c r="A190" s="1" t="str">
        <f>HYPERLINK("http://www.twitter.com/banuakdenizli/status/1592185214604050437", "1592185214604050437")</f>
        <v>1592185214604050437</v>
      </c>
      <c r="B190" t="s">
        <v>15</v>
      </c>
      <c r="C190" s="2">
        <v>44879.665636574071</v>
      </c>
      <c r="D190">
        <v>0</v>
      </c>
      <c r="E190">
        <v>0</v>
      </c>
      <c r="G190" t="s">
        <v>226</v>
      </c>
      <c r="L190">
        <v>0</v>
      </c>
      <c r="M190">
        <v>0</v>
      </c>
      <c r="N190">
        <v>1</v>
      </c>
      <c r="O190">
        <v>0</v>
      </c>
    </row>
    <row r="191" spans="1:15" x14ac:dyDescent="0.2">
      <c r="A191" s="1" t="str">
        <f>HYPERLINK("http://www.twitter.com/banuakdenizli/status/1592183897378689024", "1592183897378689024")</f>
        <v>1592183897378689024</v>
      </c>
      <c r="B191" t="s">
        <v>15</v>
      </c>
      <c r="C191" s="2">
        <v>44879.662002314813</v>
      </c>
      <c r="D191">
        <v>0</v>
      </c>
      <c r="E191">
        <v>0</v>
      </c>
      <c r="G191" t="s">
        <v>227</v>
      </c>
      <c r="L191">
        <v>0</v>
      </c>
      <c r="M191">
        <v>0</v>
      </c>
      <c r="N191">
        <v>1</v>
      </c>
      <c r="O191">
        <v>0</v>
      </c>
    </row>
    <row r="192" spans="1:15" x14ac:dyDescent="0.2">
      <c r="A192" s="1" t="str">
        <f>HYPERLINK("http://www.twitter.com/banuakdenizli/status/1592170290729164805", "1592170290729164805")</f>
        <v>1592170290729164805</v>
      </c>
      <c r="B192" t="s">
        <v>15</v>
      </c>
      <c r="C192" s="2">
        <v>44879.624456018522</v>
      </c>
      <c r="D192">
        <v>0</v>
      </c>
      <c r="E192">
        <v>0</v>
      </c>
      <c r="G192" t="s">
        <v>228</v>
      </c>
      <c r="L192">
        <v>0</v>
      </c>
      <c r="M192">
        <v>0</v>
      </c>
      <c r="N192">
        <v>1</v>
      </c>
      <c r="O192">
        <v>0</v>
      </c>
    </row>
    <row r="193" spans="1:15" x14ac:dyDescent="0.2">
      <c r="A193" s="1" t="str">
        <f>HYPERLINK("http://www.twitter.com/banuakdenizli/status/1592170223385432064", "1592170223385432064")</f>
        <v>1592170223385432064</v>
      </c>
      <c r="B193" t="s">
        <v>15</v>
      </c>
      <c r="C193" s="2">
        <v>44879.62427083333</v>
      </c>
      <c r="D193">
        <v>0</v>
      </c>
      <c r="E193">
        <v>0</v>
      </c>
      <c r="G193" t="s">
        <v>229</v>
      </c>
      <c r="H193" t="str">
        <f>HYPERLINK("http://pbs.twimg.com/media/FhiGX7xWQAA1uxl.jpg", "http://pbs.twimg.com/media/FhiGX7xWQAA1uxl.jpg")</f>
        <v>http://pbs.twimg.com/media/FhiGX7xWQAA1uxl.jpg</v>
      </c>
      <c r="L193">
        <v>0</v>
      </c>
      <c r="M193">
        <v>0</v>
      </c>
      <c r="N193">
        <v>1</v>
      </c>
      <c r="O193">
        <v>0</v>
      </c>
    </row>
    <row r="194" spans="1:15" x14ac:dyDescent="0.2">
      <c r="A194" s="1" t="str">
        <f>HYPERLINK("http://www.twitter.com/banuakdenizli/status/1592167509259849730", "1592167509259849730")</f>
        <v>1592167509259849730</v>
      </c>
      <c r="B194" t="s">
        <v>15</v>
      </c>
      <c r="C194" s="2">
        <v>44879.616770833331</v>
      </c>
      <c r="D194">
        <v>0</v>
      </c>
      <c r="E194">
        <v>5</v>
      </c>
      <c r="F194" t="s">
        <v>24</v>
      </c>
      <c r="G194" t="s">
        <v>230</v>
      </c>
      <c r="H194" t="str">
        <f>HYPERLINK("https://video.twimg.com/ext_tw_video/1592066820877553664/pu/vid/1280x720/idMtNmWyCUA9Rq5M.mp4?tag=12", "https://video.twimg.com/ext_tw_video/1592066820877553664/pu/vid/1280x720/idMtNmWyCUA9Rq5M.mp4?tag=12")</f>
        <v>https://video.twimg.com/ext_tw_video/1592066820877553664/pu/vid/1280x720/idMtNmWyCUA9Rq5M.mp4?tag=12</v>
      </c>
      <c r="L194">
        <v>0.84419999999999995</v>
      </c>
      <c r="M194">
        <v>0</v>
      </c>
      <c r="N194">
        <v>0.71699999999999997</v>
      </c>
      <c r="O194">
        <v>0.28299999999999997</v>
      </c>
    </row>
    <row r="195" spans="1:15" x14ac:dyDescent="0.2">
      <c r="A195" s="1" t="str">
        <f>HYPERLINK("http://www.twitter.com/banuakdenizli/status/1592167463084789760", "1592167463084789760")</f>
        <v>1592167463084789760</v>
      </c>
      <c r="B195" t="s">
        <v>15</v>
      </c>
      <c r="C195" s="2">
        <v>44879.616643518522</v>
      </c>
      <c r="D195">
        <v>0</v>
      </c>
      <c r="E195">
        <v>4</v>
      </c>
      <c r="F195" t="s">
        <v>201</v>
      </c>
      <c r="G195" t="s">
        <v>231</v>
      </c>
      <c r="H195" t="str">
        <f>HYPERLINK("http://pbs.twimg.com/media/FhdjzKkWQAgzuuB.jpg", "http://pbs.twimg.com/media/FhdjzKkWQAgzuuB.jpg")</f>
        <v>http://pbs.twimg.com/media/FhdjzKkWQAgzuuB.jpg</v>
      </c>
      <c r="I195" t="str">
        <f>HYPERLINK("http://pbs.twimg.com/media/FhdjzKSXwAAjpQj.jpg", "http://pbs.twimg.com/media/FhdjzKSXwAAjpQj.jpg")</f>
        <v>http://pbs.twimg.com/media/FhdjzKSXwAAjpQj.jpg</v>
      </c>
      <c r="J195" t="str">
        <f>HYPERLINK("http://pbs.twimg.com/media/FhdjzJ9WAAcrwgW.jpg", "http://pbs.twimg.com/media/FhdjzJ9WAAcrwgW.jpg")</f>
        <v>http://pbs.twimg.com/media/FhdjzJ9WAAcrwgW.jpg</v>
      </c>
      <c r="K195" t="str">
        <f>HYPERLINK("http://pbs.twimg.com/media/FhdjzKpXoAE6oZX.jpg", "http://pbs.twimg.com/media/FhdjzKpXoAE6oZX.jpg")</f>
        <v>http://pbs.twimg.com/media/FhdjzKpXoAE6oZX.jpg</v>
      </c>
      <c r="L195">
        <v>0</v>
      </c>
      <c r="M195">
        <v>0</v>
      </c>
      <c r="N195">
        <v>1</v>
      </c>
      <c r="O195">
        <v>0</v>
      </c>
    </row>
    <row r="196" spans="1:15" x14ac:dyDescent="0.2">
      <c r="A196" s="1" t="str">
        <f>HYPERLINK("http://www.twitter.com/banuakdenizli/status/1592167376526663680", "1592167376526663680")</f>
        <v>1592167376526663680</v>
      </c>
      <c r="B196" t="s">
        <v>15</v>
      </c>
      <c r="C196" s="2">
        <v>44879.616412037038</v>
      </c>
      <c r="D196">
        <v>0</v>
      </c>
      <c r="E196">
        <v>5</v>
      </c>
      <c r="F196" t="s">
        <v>24</v>
      </c>
      <c r="G196" t="s">
        <v>232</v>
      </c>
      <c r="H196" t="str">
        <f>HYPERLINK("https://video.twimg.com/ext_tw_video/1592096606429614081/pu/vid/1280x720/HmxGtn1aU9OG2fOh.mp4?tag=12", "https://video.twimg.com/ext_tw_video/1592096606429614081/pu/vid/1280x720/HmxGtn1aU9OG2fOh.mp4?tag=12")</f>
        <v>https://video.twimg.com/ext_tw_video/1592096606429614081/pu/vid/1280x720/HmxGtn1aU9OG2fOh.mp4?tag=12</v>
      </c>
      <c r="L196">
        <v>0.71840000000000004</v>
      </c>
      <c r="M196">
        <v>0</v>
      </c>
      <c r="N196">
        <v>0.82899999999999996</v>
      </c>
      <c r="O196">
        <v>0.17100000000000001</v>
      </c>
    </row>
    <row r="197" spans="1:15" x14ac:dyDescent="0.2">
      <c r="A197" s="1" t="str">
        <f>HYPERLINK("http://www.twitter.com/banuakdenizli/status/1592167274844422144", "1592167274844422144")</f>
        <v>1592167274844422144</v>
      </c>
      <c r="B197" t="s">
        <v>15</v>
      </c>
      <c r="C197" s="2">
        <v>44879.61613425926</v>
      </c>
      <c r="D197">
        <v>0</v>
      </c>
      <c r="E197">
        <v>9</v>
      </c>
      <c r="F197" t="s">
        <v>24</v>
      </c>
      <c r="G197" t="s">
        <v>233</v>
      </c>
      <c r="H197" t="str">
        <f>HYPERLINK("https://video.twimg.com/ext_tw_video/1592049765705039872/pu/vid/1280x720/JImqdBJ1aZcDKL0H.mp4?tag=12", "https://video.twimg.com/ext_tw_video/1592049765705039872/pu/vid/1280x720/JImqdBJ1aZcDKL0H.mp4?tag=12")</f>
        <v>https://video.twimg.com/ext_tw_video/1592049765705039872/pu/vid/1280x720/JImqdBJ1aZcDKL0H.mp4?tag=12</v>
      </c>
      <c r="L197">
        <v>0.47670000000000001</v>
      </c>
      <c r="M197">
        <v>0</v>
      </c>
      <c r="N197">
        <v>0.86799999999999999</v>
      </c>
      <c r="O197">
        <v>0.13200000000000001</v>
      </c>
    </row>
    <row r="198" spans="1:15" x14ac:dyDescent="0.2">
      <c r="A198" s="1" t="str">
        <f>HYPERLINK("http://www.twitter.com/banuakdenizli/status/1592167244930613249", "1592167244930613249")</f>
        <v>1592167244930613249</v>
      </c>
      <c r="B198" t="s">
        <v>15</v>
      </c>
      <c r="C198" s="2">
        <v>44879.616041666668</v>
      </c>
      <c r="D198">
        <v>0</v>
      </c>
      <c r="E198">
        <v>17</v>
      </c>
      <c r="F198" t="s">
        <v>234</v>
      </c>
      <c r="G198" t="s">
        <v>235</v>
      </c>
      <c r="H198" t="str">
        <f>HYPERLINK("http://pbs.twimg.com/media/FhgRDUdXgAAjDnd.jpg", "http://pbs.twimg.com/media/FhgRDUdXgAAjDnd.jpg")</f>
        <v>http://pbs.twimg.com/media/FhgRDUdXgAAjDnd.jpg</v>
      </c>
      <c r="L198">
        <v>0</v>
      </c>
      <c r="M198">
        <v>0</v>
      </c>
      <c r="N198">
        <v>1</v>
      </c>
      <c r="O198">
        <v>0</v>
      </c>
    </row>
    <row r="199" spans="1:15" x14ac:dyDescent="0.2">
      <c r="A199" s="1" t="str">
        <f>HYPERLINK("http://www.twitter.com/banuakdenizli/status/1592167180984258560", "1592167180984258560")</f>
        <v>1592167180984258560</v>
      </c>
      <c r="B199" t="s">
        <v>15</v>
      </c>
      <c r="C199" s="2">
        <v>44879.615868055553</v>
      </c>
      <c r="D199">
        <v>0</v>
      </c>
      <c r="E199">
        <v>12</v>
      </c>
      <c r="F199" t="s">
        <v>24</v>
      </c>
      <c r="G199" t="s">
        <v>236</v>
      </c>
      <c r="H199" t="str">
        <f>HYPERLINK("https://video.twimg.com/ext_tw_video/1592049104909213696/pu/vid/1280x720/5VoIkvPzM3CTH07_.mp4?tag=12", "https://video.twimg.com/ext_tw_video/1592049104909213696/pu/vid/1280x720/5VoIkvPzM3CTH07_.mp4?tag=12")</f>
        <v>https://video.twimg.com/ext_tw_video/1592049104909213696/pu/vid/1280x720/5VoIkvPzM3CTH07_.mp4?tag=12</v>
      </c>
      <c r="L199">
        <v>0</v>
      </c>
      <c r="M199">
        <v>0</v>
      </c>
      <c r="N199">
        <v>1</v>
      </c>
      <c r="O199">
        <v>0</v>
      </c>
    </row>
    <row r="200" spans="1:15" x14ac:dyDescent="0.2">
      <c r="A200" s="1" t="str">
        <f>HYPERLINK("http://www.twitter.com/banuakdenizli/status/1592167075686289409", "1592167075686289409")</f>
        <v>1592167075686289409</v>
      </c>
      <c r="B200" t="s">
        <v>15</v>
      </c>
      <c r="C200" s="2">
        <v>44879.615578703713</v>
      </c>
      <c r="D200">
        <v>0</v>
      </c>
      <c r="E200">
        <v>4</v>
      </c>
      <c r="F200" t="s">
        <v>17</v>
      </c>
      <c r="G200" t="s">
        <v>237</v>
      </c>
      <c r="H200" t="str">
        <f>HYPERLINK("http://pbs.twimg.com/media/FhdqthpWQAksSBI.jpg", "http://pbs.twimg.com/media/FhdqthpWQAksSBI.jpg")</f>
        <v>http://pbs.twimg.com/media/FhdqthpWQAksSBI.jpg</v>
      </c>
      <c r="L200">
        <v>0</v>
      </c>
      <c r="M200">
        <v>0</v>
      </c>
      <c r="N200">
        <v>1</v>
      </c>
      <c r="O200">
        <v>0</v>
      </c>
    </row>
    <row r="201" spans="1:15" x14ac:dyDescent="0.2">
      <c r="A201" s="1" t="str">
        <f>HYPERLINK("http://www.twitter.com/banuakdenizli/status/1592167054186094593", "1592167054186094593")</f>
        <v>1592167054186094593</v>
      </c>
      <c r="B201" t="s">
        <v>15</v>
      </c>
      <c r="C201" s="2">
        <v>44879.615520833337</v>
      </c>
      <c r="D201">
        <v>0</v>
      </c>
      <c r="E201">
        <v>73</v>
      </c>
      <c r="F201" t="s">
        <v>23</v>
      </c>
      <c r="G201" t="s">
        <v>238</v>
      </c>
      <c r="L201">
        <v>0</v>
      </c>
      <c r="M201">
        <v>0</v>
      </c>
      <c r="N201">
        <v>1</v>
      </c>
      <c r="O201">
        <v>0</v>
      </c>
    </row>
    <row r="202" spans="1:15" x14ac:dyDescent="0.2">
      <c r="A202" s="1" t="str">
        <f>HYPERLINK("http://www.twitter.com/banuakdenizli/status/1592135308639981569", "1592135308639981569")</f>
        <v>1592135308639981569</v>
      </c>
      <c r="B202" t="s">
        <v>15</v>
      </c>
      <c r="C202" s="2">
        <v>44879.527916666673</v>
      </c>
      <c r="D202">
        <v>0</v>
      </c>
      <c r="E202">
        <v>31</v>
      </c>
      <c r="F202" t="s">
        <v>32</v>
      </c>
      <c r="G202" t="s">
        <v>239</v>
      </c>
      <c r="L202">
        <v>0</v>
      </c>
      <c r="M202">
        <v>0</v>
      </c>
      <c r="N202">
        <v>1</v>
      </c>
      <c r="O202">
        <v>0</v>
      </c>
    </row>
    <row r="203" spans="1:15" x14ac:dyDescent="0.2">
      <c r="A203" s="1" t="str">
        <f>HYPERLINK("http://www.twitter.com/banuakdenizli/status/1592135260594376705", "1592135260594376705")</f>
        <v>1592135260594376705</v>
      </c>
      <c r="B203" t="s">
        <v>15</v>
      </c>
      <c r="C203" s="2">
        <v>44879.527789351851</v>
      </c>
      <c r="D203">
        <v>0</v>
      </c>
      <c r="E203">
        <v>5</v>
      </c>
      <c r="F203" t="s">
        <v>16</v>
      </c>
      <c r="G203" t="s">
        <v>240</v>
      </c>
      <c r="H203" t="str">
        <f>HYPERLINK("http://pbs.twimg.com/media/FhNvTvmWIAM8Bn8.jpg", "http://pbs.twimg.com/media/FhNvTvmWIAM8Bn8.jpg")</f>
        <v>http://pbs.twimg.com/media/FhNvTvmWIAM8Bn8.jpg</v>
      </c>
      <c r="L203">
        <v>0</v>
      </c>
      <c r="M203">
        <v>0</v>
      </c>
      <c r="N203">
        <v>1</v>
      </c>
      <c r="O203">
        <v>0</v>
      </c>
    </row>
    <row r="204" spans="1:15" x14ac:dyDescent="0.2">
      <c r="A204" s="1" t="str">
        <f>HYPERLINK("http://www.twitter.com/banuakdenizli/status/1592135196484456451", "1592135196484456451")</f>
        <v>1592135196484456451</v>
      </c>
      <c r="B204" t="s">
        <v>15</v>
      </c>
      <c r="C204" s="2">
        <v>44879.527604166673</v>
      </c>
      <c r="D204">
        <v>0</v>
      </c>
      <c r="E204">
        <v>48</v>
      </c>
      <c r="F204" t="s">
        <v>31</v>
      </c>
      <c r="G204" t="s">
        <v>241</v>
      </c>
      <c r="H204" t="str">
        <f>HYPERLINK("https://video.twimg.com/amplify_video/1590689718202572800/vid/1280x720/t3pYT2k1PKbGcDxC.mp4?tag=14", "https://video.twimg.com/amplify_video/1590689718202572800/vid/1280x720/t3pYT2k1PKbGcDxC.mp4?tag=14")</f>
        <v>https://video.twimg.com/amplify_video/1590689718202572800/vid/1280x720/t3pYT2k1PKbGcDxC.mp4?tag=14</v>
      </c>
      <c r="L204">
        <v>0</v>
      </c>
      <c r="M204">
        <v>0</v>
      </c>
      <c r="N204">
        <v>1</v>
      </c>
      <c r="O204">
        <v>0</v>
      </c>
    </row>
    <row r="205" spans="1:15" x14ac:dyDescent="0.2">
      <c r="A205" s="1" t="str">
        <f>HYPERLINK("http://www.twitter.com/banuakdenizli/status/1592135155019583488", "1592135155019583488")</f>
        <v>1592135155019583488</v>
      </c>
      <c r="B205" t="s">
        <v>15</v>
      </c>
      <c r="C205" s="2">
        <v>44879.527499999997</v>
      </c>
      <c r="D205">
        <v>0</v>
      </c>
      <c r="E205">
        <v>38</v>
      </c>
      <c r="F205" t="s">
        <v>24</v>
      </c>
      <c r="G205" t="s">
        <v>242</v>
      </c>
      <c r="H205" t="str">
        <f>HYPERLINK("https://video.twimg.com/ext_tw_video/1590760062003417092/pu/vid/960x540/u3QcacEwUJqX2LSh.mp4?tag=12", "https://video.twimg.com/ext_tw_video/1590760062003417092/pu/vid/960x540/u3QcacEwUJqX2LSh.mp4?tag=12")</f>
        <v>https://video.twimg.com/ext_tw_video/1590760062003417092/pu/vid/960x540/u3QcacEwUJqX2LSh.mp4?tag=12</v>
      </c>
      <c r="L205">
        <v>0</v>
      </c>
      <c r="M205">
        <v>0</v>
      </c>
      <c r="N205">
        <v>1</v>
      </c>
      <c r="O205">
        <v>0</v>
      </c>
    </row>
    <row r="206" spans="1:15" x14ac:dyDescent="0.2">
      <c r="A206" s="1" t="str">
        <f>HYPERLINK("http://www.twitter.com/banuakdenizli/status/1591090384456687618", "1591090384456687618")</f>
        <v>1591090384456687618</v>
      </c>
      <c r="B206" t="s">
        <v>15</v>
      </c>
      <c r="C206" s="2">
        <v>44876.644479166673</v>
      </c>
      <c r="D206">
        <v>1</v>
      </c>
      <c r="E206">
        <v>0</v>
      </c>
      <c r="G206" t="s">
        <v>243</v>
      </c>
      <c r="L206">
        <v>0</v>
      </c>
      <c r="M206">
        <v>0</v>
      </c>
      <c r="N206">
        <v>1</v>
      </c>
      <c r="O206">
        <v>0</v>
      </c>
    </row>
    <row r="207" spans="1:15" x14ac:dyDescent="0.2">
      <c r="A207" s="1" t="str">
        <f>HYPERLINK("http://www.twitter.com/banuakdenizli/status/1591090286503276547", "1591090286503276547")</f>
        <v>1591090286503276547</v>
      </c>
      <c r="B207" t="s">
        <v>15</v>
      </c>
      <c r="C207" s="2">
        <v>44876.644201388888</v>
      </c>
      <c r="D207">
        <v>1</v>
      </c>
      <c r="E207">
        <v>0</v>
      </c>
      <c r="G207" t="s">
        <v>244</v>
      </c>
      <c r="H207" t="str">
        <f>HYPERLINK("http://pbs.twimg.com/media/FhSwK_uWQAAsr-S.jpg", "http://pbs.twimg.com/media/FhSwK_uWQAAsr-S.jpg")</f>
        <v>http://pbs.twimg.com/media/FhSwK_uWQAAsr-S.jpg</v>
      </c>
      <c r="I207" t="str">
        <f>HYPERLINK("http://pbs.twimg.com/media/FhSwK_xXwAEz-JF.jpg", "http://pbs.twimg.com/media/FhSwK_xXwAEz-JF.jpg")</f>
        <v>http://pbs.twimg.com/media/FhSwK_xXwAEz-JF.jpg</v>
      </c>
      <c r="J207" t="str">
        <f>HYPERLINK("http://pbs.twimg.com/media/FhSwK_zWAAAJ3Jv.jpg", "http://pbs.twimg.com/media/FhSwK_zWAAAJ3Jv.jpg")</f>
        <v>http://pbs.twimg.com/media/FhSwK_zWAAAJ3Jv.jpg</v>
      </c>
      <c r="L207">
        <v>0</v>
      </c>
      <c r="M207">
        <v>0</v>
      </c>
      <c r="N207">
        <v>1</v>
      </c>
      <c r="O207">
        <v>0</v>
      </c>
    </row>
    <row r="208" spans="1:15" x14ac:dyDescent="0.2">
      <c r="A208" s="1" t="str">
        <f>HYPERLINK("http://www.twitter.com/banuakdenizli/status/1588553454611755010", "1588553454611755010")</f>
        <v>1588553454611755010</v>
      </c>
      <c r="B208" t="s">
        <v>15</v>
      </c>
      <c r="C208" s="2">
        <v>44869.643888888888</v>
      </c>
      <c r="D208">
        <v>0</v>
      </c>
      <c r="E208">
        <v>26</v>
      </c>
      <c r="F208" t="s">
        <v>24</v>
      </c>
      <c r="G208" t="s">
        <v>245</v>
      </c>
      <c r="H208" t="str">
        <f>HYPERLINK("https://video.twimg.com/ext_tw_video/1588215162103791618/pu/vid/1280x720/sVRpkSs9Q9HWBxL9.mp4?tag=12", "https://video.twimg.com/ext_tw_video/1588215162103791618/pu/vid/1280x720/sVRpkSs9Q9HWBxL9.mp4?tag=12")</f>
        <v>https://video.twimg.com/ext_tw_video/1588215162103791618/pu/vid/1280x720/sVRpkSs9Q9HWBxL9.mp4?tag=12</v>
      </c>
      <c r="L208">
        <v>0.57189999999999996</v>
      </c>
      <c r="M208">
        <v>0</v>
      </c>
      <c r="N208">
        <v>0.86099999999999999</v>
      </c>
      <c r="O208">
        <v>0.13900000000000001</v>
      </c>
    </row>
    <row r="209" spans="1:15" x14ac:dyDescent="0.2">
      <c r="A209" s="1" t="str">
        <f>HYPERLINK("http://www.twitter.com/banuakdenizli/status/1588552703302828032", "1588552703302828032")</f>
        <v>1588552703302828032</v>
      </c>
      <c r="B209" t="s">
        <v>15</v>
      </c>
      <c r="C209" s="2">
        <v>44869.641817129632</v>
      </c>
      <c r="D209">
        <v>0</v>
      </c>
      <c r="E209">
        <v>4</v>
      </c>
      <c r="F209" t="s">
        <v>29</v>
      </c>
      <c r="G209" t="s">
        <v>246</v>
      </c>
      <c r="H209" t="str">
        <f>HYPERLINK("http://pbs.twimg.com/media/FgpxuKiWIAQZvtN.jpg", "http://pbs.twimg.com/media/FgpxuKiWIAQZvtN.jpg")</f>
        <v>http://pbs.twimg.com/media/FgpxuKiWIAQZvtN.jpg</v>
      </c>
      <c r="L209">
        <v>-0.82709999999999995</v>
      </c>
      <c r="M209">
        <v>0.252</v>
      </c>
      <c r="N209">
        <v>0.64600000000000002</v>
      </c>
      <c r="O209">
        <v>0.10199999999999999</v>
      </c>
    </row>
    <row r="210" spans="1:15" x14ac:dyDescent="0.2">
      <c r="A210" s="1" t="str">
        <f>HYPERLINK("http://www.twitter.com/banuakdenizli/status/1588552680326430720", "1588552680326430720")</f>
        <v>1588552680326430720</v>
      </c>
      <c r="B210" t="s">
        <v>15</v>
      </c>
      <c r="C210" s="2">
        <v>44869.641747685193</v>
      </c>
      <c r="D210">
        <v>0</v>
      </c>
      <c r="E210">
        <v>7</v>
      </c>
      <c r="F210" t="s">
        <v>18</v>
      </c>
      <c r="G210" t="s">
        <v>247</v>
      </c>
      <c r="H210" t="str">
        <f>HYPERLINK("http://pbs.twimg.com/media/FgqhKRdXoAM72r8.jpg", "http://pbs.twimg.com/media/FgqhKRdXoAM72r8.jpg")</f>
        <v>http://pbs.twimg.com/media/FgqhKRdXoAM72r8.jpg</v>
      </c>
      <c r="L210">
        <v>-0.128</v>
      </c>
      <c r="M210">
        <v>0.182</v>
      </c>
      <c r="N210">
        <v>0.66700000000000004</v>
      </c>
      <c r="O210">
        <v>0.152</v>
      </c>
    </row>
    <row r="211" spans="1:15" x14ac:dyDescent="0.2">
      <c r="A211" s="1" t="str">
        <f>HYPERLINK("http://www.twitter.com/banuakdenizli/status/1588552602995740677", "1588552602995740677")</f>
        <v>1588552602995740677</v>
      </c>
      <c r="B211" t="s">
        <v>15</v>
      </c>
      <c r="C211" s="2">
        <v>44869.641539351847</v>
      </c>
      <c r="D211">
        <v>0</v>
      </c>
      <c r="E211">
        <v>16</v>
      </c>
      <c r="F211" t="s">
        <v>16</v>
      </c>
      <c r="G211" t="s">
        <v>248</v>
      </c>
      <c r="H211" t="str">
        <f>HYPERLINK("http://pbs.twimg.com/media/FgpxJcwWIAUlrXy.jpg", "http://pbs.twimg.com/media/FgpxJcwWIAUlrXy.jpg")</f>
        <v>http://pbs.twimg.com/media/FgpxJcwWIAUlrXy.jpg</v>
      </c>
      <c r="L211">
        <v>0</v>
      </c>
      <c r="M211">
        <v>0</v>
      </c>
      <c r="N211">
        <v>1</v>
      </c>
      <c r="O211">
        <v>0</v>
      </c>
    </row>
    <row r="212" spans="1:15" x14ac:dyDescent="0.2">
      <c r="A212" s="1" t="str">
        <f>HYPERLINK("http://www.twitter.com/banuakdenizli/status/1588552593361752066", "1588552593361752066")</f>
        <v>1588552593361752066</v>
      </c>
      <c r="B212" t="s">
        <v>15</v>
      </c>
      <c r="C212" s="2">
        <v>44869.641504629632</v>
      </c>
      <c r="D212">
        <v>0</v>
      </c>
      <c r="E212">
        <v>10</v>
      </c>
      <c r="F212" t="s">
        <v>16</v>
      </c>
      <c r="G212" t="s">
        <v>249</v>
      </c>
      <c r="H212" t="str">
        <f>HYPERLINK("http://pbs.twimg.com/media/FgtWH-eXEAQHGcg.jpg", "http://pbs.twimg.com/media/FgtWH-eXEAQHGcg.jpg")</f>
        <v>http://pbs.twimg.com/media/FgtWH-eXEAQHGcg.jpg</v>
      </c>
      <c r="L212">
        <v>0</v>
      </c>
      <c r="M212">
        <v>0</v>
      </c>
      <c r="N212">
        <v>1</v>
      </c>
      <c r="O212">
        <v>0</v>
      </c>
    </row>
    <row r="213" spans="1:15" x14ac:dyDescent="0.2">
      <c r="A213" s="1" t="str">
        <f>HYPERLINK("http://www.twitter.com/banuakdenizli/status/1588546269735440384", "1588546269735440384")</f>
        <v>1588546269735440384</v>
      </c>
      <c r="B213" t="s">
        <v>15</v>
      </c>
      <c r="C213" s="2">
        <v>44869.624062499999</v>
      </c>
      <c r="D213">
        <v>0</v>
      </c>
      <c r="E213">
        <v>0</v>
      </c>
      <c r="G213" t="s">
        <v>250</v>
      </c>
      <c r="H213" t="str">
        <f>HYPERLINK("http://pbs.twimg.com/media/FgumXHsWIAAfLpC.jpg", "http://pbs.twimg.com/media/FgumXHsWIAAfLpC.jpg")</f>
        <v>http://pbs.twimg.com/media/FgumXHsWIAAfLpC.jpg</v>
      </c>
      <c r="L213">
        <v>0</v>
      </c>
      <c r="M213">
        <v>0</v>
      </c>
      <c r="N213">
        <v>1</v>
      </c>
      <c r="O213">
        <v>0</v>
      </c>
    </row>
    <row r="214" spans="1:15" x14ac:dyDescent="0.2">
      <c r="A214" s="1" t="str">
        <f>HYPERLINK("http://www.twitter.com/banuakdenizli/status/1588545390651277312", "1588545390651277312")</f>
        <v>1588545390651277312</v>
      </c>
      <c r="B214" t="s">
        <v>15</v>
      </c>
      <c r="C214" s="2">
        <v>44869.621631944443</v>
      </c>
      <c r="D214">
        <v>0</v>
      </c>
      <c r="E214">
        <v>233</v>
      </c>
      <c r="F214" t="s">
        <v>23</v>
      </c>
      <c r="G214" t="s">
        <v>251</v>
      </c>
      <c r="H214" t="str">
        <f>HYPERLINK("https://video.twimg.com/ext_tw_video/1588252028417019910/pu/vid/1280x720/CoxHzT0R6h_Omhi0.mp4?tag=12", "https://video.twimg.com/ext_tw_video/1588252028417019910/pu/vid/1280x720/CoxHzT0R6h_Omhi0.mp4?tag=12")</f>
        <v>https://video.twimg.com/ext_tw_video/1588252028417019910/pu/vid/1280x720/CoxHzT0R6h_Omhi0.mp4?tag=12</v>
      </c>
      <c r="L214">
        <v>0</v>
      </c>
      <c r="M214">
        <v>0</v>
      </c>
      <c r="N214">
        <v>1</v>
      </c>
      <c r="O214">
        <v>0</v>
      </c>
    </row>
    <row r="215" spans="1:15" x14ac:dyDescent="0.2">
      <c r="A215" s="1" t="str">
        <f>HYPERLINK("http://www.twitter.com/banuakdenizli/status/1588545382752976896", "1588545382752976896")</f>
        <v>1588545382752976896</v>
      </c>
      <c r="B215" t="s">
        <v>15</v>
      </c>
      <c r="C215" s="2">
        <v>44869.621608796297</v>
      </c>
      <c r="D215">
        <v>0</v>
      </c>
      <c r="E215">
        <v>37</v>
      </c>
      <c r="F215" t="s">
        <v>18</v>
      </c>
      <c r="G215" t="s">
        <v>252</v>
      </c>
      <c r="H215" t="str">
        <f>HYPERLINK("http://pbs.twimg.com/media/FgrPmFdXEAIabSj.jpg", "http://pbs.twimg.com/media/FgrPmFdXEAIabSj.jpg")</f>
        <v>http://pbs.twimg.com/media/FgrPmFdXEAIabSj.jpg</v>
      </c>
      <c r="L215">
        <v>-0.72689999999999999</v>
      </c>
      <c r="M215">
        <v>0.373</v>
      </c>
      <c r="N215">
        <v>0.51800000000000002</v>
      </c>
      <c r="O215">
        <v>0.109</v>
      </c>
    </row>
    <row r="216" spans="1:15" x14ac:dyDescent="0.2">
      <c r="A216" s="1" t="str">
        <f>HYPERLINK("http://www.twitter.com/banuakdenizli/status/1588545375090053121", "1588545375090053121")</f>
        <v>1588545375090053121</v>
      </c>
      <c r="B216" t="s">
        <v>15</v>
      </c>
      <c r="C216" s="2">
        <v>44869.62158564815</v>
      </c>
      <c r="D216">
        <v>0</v>
      </c>
      <c r="E216">
        <v>3</v>
      </c>
      <c r="F216" t="s">
        <v>17</v>
      </c>
      <c r="G216" t="s">
        <v>253</v>
      </c>
      <c r="H216" t="str">
        <f>HYPERLINK("http://pbs.twimg.com/media/Fgq5mDEXEAQEtNJ.jpg", "http://pbs.twimg.com/media/Fgq5mDEXEAQEtNJ.jpg")</f>
        <v>http://pbs.twimg.com/media/Fgq5mDEXEAQEtNJ.jpg</v>
      </c>
      <c r="L216">
        <v>0</v>
      </c>
      <c r="M216">
        <v>0</v>
      </c>
      <c r="N216">
        <v>1</v>
      </c>
      <c r="O216">
        <v>0</v>
      </c>
    </row>
    <row r="217" spans="1:15" x14ac:dyDescent="0.2">
      <c r="A217" s="1" t="str">
        <f>HYPERLINK("http://www.twitter.com/banuakdenizli/status/1588545367997812736", "1588545367997812736")</f>
        <v>1588545367997812736</v>
      </c>
      <c r="B217" t="s">
        <v>15</v>
      </c>
      <c r="C217" s="2">
        <v>44869.621574074074</v>
      </c>
      <c r="D217">
        <v>0</v>
      </c>
      <c r="E217">
        <v>38</v>
      </c>
      <c r="F217" t="s">
        <v>16</v>
      </c>
      <c r="G217" t="s">
        <v>254</v>
      </c>
      <c r="H217" t="str">
        <f>HYPERLINK("http://pbs.twimg.com/media/Fgqxt04WQAI7KmK.jpg", "http://pbs.twimg.com/media/Fgqxt04WQAI7KmK.jpg")</f>
        <v>http://pbs.twimg.com/media/Fgqxt04WQAI7KmK.jpg</v>
      </c>
      <c r="L217">
        <v>0</v>
      </c>
      <c r="M217">
        <v>0</v>
      </c>
      <c r="N217">
        <v>1</v>
      </c>
      <c r="O217">
        <v>0</v>
      </c>
    </row>
    <row r="218" spans="1:15" x14ac:dyDescent="0.2">
      <c r="A218" s="1" t="str">
        <f>HYPERLINK("http://www.twitter.com/banuakdenizli/status/1588197397250949122", "1588197397250949122")</f>
        <v>1588197397250949122</v>
      </c>
      <c r="B218" t="s">
        <v>15</v>
      </c>
      <c r="C218" s="2">
        <v>44868.661354166667</v>
      </c>
      <c r="D218">
        <v>1</v>
      </c>
      <c r="E218">
        <v>0</v>
      </c>
      <c r="G218" t="s">
        <v>255</v>
      </c>
      <c r="H218" t="str">
        <f>HYPERLINK("http://pbs.twimg.com/media/FgpUniTX0AA-HvL.jpg", "http://pbs.twimg.com/media/FgpUniTX0AA-HvL.jpg")</f>
        <v>http://pbs.twimg.com/media/FgpUniTX0AA-HvL.jpg</v>
      </c>
      <c r="I218" t="str">
        <f>HYPERLINK("http://pbs.twimg.com/media/FgpUniOWAAMN2Mu.jpg", "http://pbs.twimg.com/media/FgpUniOWAAMN2Mu.jpg")</f>
        <v>http://pbs.twimg.com/media/FgpUniOWAAMN2Mu.jpg</v>
      </c>
      <c r="J218" t="str">
        <f>HYPERLINK("http://pbs.twimg.com/media/FgpUniOWQAEdiZE.jpg", "http://pbs.twimg.com/media/FgpUniOWQAEdiZE.jpg")</f>
        <v>http://pbs.twimg.com/media/FgpUniOWQAEdiZE.jpg</v>
      </c>
      <c r="L218">
        <v>0</v>
      </c>
      <c r="M218">
        <v>0</v>
      </c>
      <c r="N218">
        <v>1</v>
      </c>
      <c r="O218">
        <v>0</v>
      </c>
    </row>
    <row r="219" spans="1:15" x14ac:dyDescent="0.2">
      <c r="A219" s="1" t="str">
        <f>HYPERLINK("http://www.twitter.com/banuakdenizli/status/1588172293464694788", "1588172293464694788")</f>
        <v>1588172293464694788</v>
      </c>
      <c r="B219" t="s">
        <v>15</v>
      </c>
      <c r="C219" s="2">
        <v>44868.592083333337</v>
      </c>
      <c r="D219">
        <v>0</v>
      </c>
      <c r="E219">
        <v>3</v>
      </c>
      <c r="F219" t="s">
        <v>17</v>
      </c>
      <c r="G219" t="s">
        <v>256</v>
      </c>
      <c r="H219" t="str">
        <f>HYPERLINK("http://pbs.twimg.com/media/Fgo-lFRX0AEaPf1.jpg", "http://pbs.twimg.com/media/Fgo-lFRX0AEaPf1.jpg")</f>
        <v>http://pbs.twimg.com/media/Fgo-lFRX0AEaPf1.jpg</v>
      </c>
      <c r="L219">
        <v>0</v>
      </c>
      <c r="M219">
        <v>0</v>
      </c>
      <c r="N219">
        <v>1</v>
      </c>
      <c r="O219">
        <v>0</v>
      </c>
    </row>
    <row r="220" spans="1:15" x14ac:dyDescent="0.2">
      <c r="A220" s="1" t="str">
        <f>HYPERLINK("http://www.twitter.com/banuakdenizli/status/1588172282983161856", "1588172282983161856")</f>
        <v>1588172282983161856</v>
      </c>
      <c r="B220" t="s">
        <v>15</v>
      </c>
      <c r="C220" s="2">
        <v>44868.592048611114</v>
      </c>
      <c r="D220">
        <v>0</v>
      </c>
      <c r="E220">
        <v>4</v>
      </c>
      <c r="F220" t="s">
        <v>17</v>
      </c>
      <c r="G220" t="s">
        <v>257</v>
      </c>
      <c r="H220" t="str">
        <f>HYPERLINK("http://pbs.twimg.com/media/Fgo8Rk_XEAQqahf.jpg", "http://pbs.twimg.com/media/Fgo8Rk_XEAQqahf.jpg")</f>
        <v>http://pbs.twimg.com/media/Fgo8Rk_XEAQqahf.jpg</v>
      </c>
      <c r="L220">
        <v>0</v>
      </c>
      <c r="M220">
        <v>0</v>
      </c>
      <c r="N220">
        <v>1</v>
      </c>
      <c r="O220">
        <v>0</v>
      </c>
    </row>
    <row r="221" spans="1:15" x14ac:dyDescent="0.2">
      <c r="A221" s="1" t="str">
        <f>HYPERLINK("http://www.twitter.com/banuakdenizli/status/1588172251635265537", "1588172251635265537")</f>
        <v>1588172251635265537</v>
      </c>
      <c r="B221" t="s">
        <v>15</v>
      </c>
      <c r="C221" s="2">
        <v>44868.591967592591</v>
      </c>
      <c r="D221">
        <v>0</v>
      </c>
      <c r="E221">
        <v>10</v>
      </c>
      <c r="F221" t="s">
        <v>17</v>
      </c>
      <c r="G221" t="s">
        <v>258</v>
      </c>
      <c r="H221" t="str">
        <f>HYPERLINK("http://pbs.twimg.com/media/Fgn4N4fWQAAV9m_.jpg", "http://pbs.twimg.com/media/Fgn4N4fWQAAV9m_.jpg")</f>
        <v>http://pbs.twimg.com/media/Fgn4N4fWQAAV9m_.jpg</v>
      </c>
      <c r="L221">
        <v>0</v>
      </c>
      <c r="M221">
        <v>0</v>
      </c>
      <c r="N221">
        <v>1</v>
      </c>
      <c r="O221">
        <v>0</v>
      </c>
    </row>
    <row r="222" spans="1:15" x14ac:dyDescent="0.2">
      <c r="A222" s="1" t="str">
        <f>HYPERLINK("http://www.twitter.com/banuakdenizli/status/1588172241937670144", "1588172241937670144")</f>
        <v>1588172241937670144</v>
      </c>
      <c r="B222" t="s">
        <v>15</v>
      </c>
      <c r="C222" s="2">
        <v>44868.591932870368</v>
      </c>
      <c r="D222">
        <v>0</v>
      </c>
      <c r="E222">
        <v>4</v>
      </c>
      <c r="F222" t="s">
        <v>259</v>
      </c>
      <c r="G222" t="s">
        <v>260</v>
      </c>
      <c r="L222">
        <v>0</v>
      </c>
      <c r="M222">
        <v>0</v>
      </c>
      <c r="N222">
        <v>1</v>
      </c>
      <c r="O222">
        <v>0</v>
      </c>
    </row>
    <row r="223" spans="1:15" x14ac:dyDescent="0.2">
      <c r="A223" s="1" t="str">
        <f>HYPERLINK("http://www.twitter.com/banuakdenizli/status/1588172146248806401", "1588172146248806401")</f>
        <v>1588172146248806401</v>
      </c>
      <c r="B223" t="s">
        <v>15</v>
      </c>
      <c r="C223" s="2">
        <v>44868.591678240737</v>
      </c>
      <c r="D223">
        <v>0</v>
      </c>
      <c r="E223">
        <v>11</v>
      </c>
      <c r="F223" t="s">
        <v>18</v>
      </c>
      <c r="G223" t="s">
        <v>261</v>
      </c>
      <c r="H223" t="str">
        <f>HYPERLINK("http://pbs.twimg.com/media/FglVWnAXEAAYdKR.jpg", "http://pbs.twimg.com/media/FglVWnAXEAAYdKR.jpg")</f>
        <v>http://pbs.twimg.com/media/FglVWnAXEAAYdKR.jpg</v>
      </c>
      <c r="L223">
        <v>0.40189999999999998</v>
      </c>
      <c r="M223">
        <v>0</v>
      </c>
      <c r="N223">
        <v>0.93700000000000006</v>
      </c>
      <c r="O223">
        <v>6.3E-2</v>
      </c>
    </row>
    <row r="224" spans="1:15" x14ac:dyDescent="0.2">
      <c r="A224" s="1" t="str">
        <f>HYPERLINK("http://www.twitter.com/banuakdenizli/status/1588172135419105282", "1588172135419105282")</f>
        <v>1588172135419105282</v>
      </c>
      <c r="B224" t="s">
        <v>15</v>
      </c>
      <c r="C224" s="2">
        <v>44868.591643518521</v>
      </c>
      <c r="D224">
        <v>0</v>
      </c>
      <c r="E224">
        <v>9</v>
      </c>
      <c r="F224" t="s">
        <v>18</v>
      </c>
      <c r="G224" t="s">
        <v>262</v>
      </c>
      <c r="H224" t="str">
        <f>HYPERLINK("http://pbs.twimg.com/media/FgpGYMRWAAArUOU.jpg", "http://pbs.twimg.com/media/FgpGYMRWAAArUOU.jpg")</f>
        <v>http://pbs.twimg.com/media/FgpGYMRWAAArUOU.jpg</v>
      </c>
      <c r="L224">
        <v>0.40189999999999998</v>
      </c>
      <c r="M224">
        <v>0</v>
      </c>
      <c r="N224">
        <v>0.748</v>
      </c>
      <c r="O224">
        <v>0.252</v>
      </c>
    </row>
    <row r="225" spans="1:15" x14ac:dyDescent="0.2">
      <c r="A225" s="1" t="str">
        <f>HYPERLINK("http://www.twitter.com/banuakdenizli/status/1588172124979855360", "1588172124979855360")</f>
        <v>1588172124979855360</v>
      </c>
      <c r="B225" t="s">
        <v>15</v>
      </c>
      <c r="C225" s="2">
        <v>44868.591620370367</v>
      </c>
      <c r="D225">
        <v>0</v>
      </c>
      <c r="E225">
        <v>10</v>
      </c>
      <c r="F225" t="s">
        <v>18</v>
      </c>
      <c r="G225" t="s">
        <v>263</v>
      </c>
      <c r="H225" t="str">
        <f>HYPERLINK("http://pbs.twimg.com/media/Fgo-dXRXwAEuIVN.jpg", "http://pbs.twimg.com/media/Fgo-dXRXwAEuIVN.jpg")</f>
        <v>http://pbs.twimg.com/media/Fgo-dXRXwAEuIVN.jpg</v>
      </c>
      <c r="L225">
        <v>0.40189999999999998</v>
      </c>
      <c r="M225">
        <v>0</v>
      </c>
      <c r="N225">
        <v>0.76900000000000002</v>
      </c>
      <c r="O225">
        <v>0.23100000000000001</v>
      </c>
    </row>
    <row r="226" spans="1:15" x14ac:dyDescent="0.2">
      <c r="A226" s="1" t="str">
        <f>HYPERLINK("http://www.twitter.com/banuakdenizli/status/1588172109452554242", "1588172109452554242")</f>
        <v>1588172109452554242</v>
      </c>
      <c r="B226" t="s">
        <v>15</v>
      </c>
      <c r="C226" s="2">
        <v>44868.591574074067</v>
      </c>
      <c r="D226">
        <v>0</v>
      </c>
      <c r="E226">
        <v>10</v>
      </c>
      <c r="F226" t="s">
        <v>18</v>
      </c>
      <c r="G226" t="s">
        <v>264</v>
      </c>
      <c r="H226" t="str">
        <f>HYPERLINK("http://pbs.twimg.com/media/Fgo8IYRXkAAeKwa.jpg", "http://pbs.twimg.com/media/Fgo8IYRXkAAeKwa.jpg")</f>
        <v>http://pbs.twimg.com/media/Fgo8IYRXkAAeKwa.jpg</v>
      </c>
      <c r="L226">
        <v>0.42149999999999999</v>
      </c>
      <c r="M226">
        <v>0.14099999999999999</v>
      </c>
      <c r="N226">
        <v>0.59099999999999997</v>
      </c>
      <c r="O226">
        <v>0.26800000000000002</v>
      </c>
    </row>
    <row r="227" spans="1:15" x14ac:dyDescent="0.2">
      <c r="A227" s="1" t="str">
        <f>HYPERLINK("http://www.twitter.com/banuakdenizli/status/1588172072248901635", "1588172072248901635")</f>
        <v>1588172072248901635</v>
      </c>
      <c r="B227" t="s">
        <v>15</v>
      </c>
      <c r="C227" s="2">
        <v>44868.591469907413</v>
      </c>
      <c r="D227">
        <v>0</v>
      </c>
      <c r="E227">
        <v>16</v>
      </c>
      <c r="F227" t="s">
        <v>18</v>
      </c>
      <c r="G227" t="s">
        <v>265</v>
      </c>
      <c r="H227" t="str">
        <f>HYPERLINK("http://pbs.twimg.com/media/Fgnf-P0X0AA89_-.jpg", "http://pbs.twimg.com/media/Fgnf-P0X0AA89_-.jpg")</f>
        <v>http://pbs.twimg.com/media/Fgnf-P0X0AA89_-.jpg</v>
      </c>
      <c r="L227">
        <v>0.40189999999999998</v>
      </c>
      <c r="M227">
        <v>0</v>
      </c>
      <c r="N227">
        <v>0.82799999999999996</v>
      </c>
      <c r="O227">
        <v>0.17199999999999999</v>
      </c>
    </row>
    <row r="228" spans="1:15" x14ac:dyDescent="0.2">
      <c r="A228" s="1" t="str">
        <f>HYPERLINK("http://www.twitter.com/banuakdenizli/status/1588172062345949185", "1588172062345949185")</f>
        <v>1588172062345949185</v>
      </c>
      <c r="B228" t="s">
        <v>15</v>
      </c>
      <c r="C228" s="2">
        <v>44868.591446759259</v>
      </c>
      <c r="D228">
        <v>0</v>
      </c>
      <c r="E228">
        <v>7</v>
      </c>
      <c r="F228" t="s">
        <v>25</v>
      </c>
      <c r="G228" t="s">
        <v>266</v>
      </c>
      <c r="H228" t="str">
        <f>HYPERLINK("http://pbs.twimg.com/media/FgnuqICWIAIX8Fh.jpg", "http://pbs.twimg.com/media/FgnuqICWIAIX8Fh.jpg")</f>
        <v>http://pbs.twimg.com/media/FgnuqICWIAIX8Fh.jpg</v>
      </c>
      <c r="I228" t="str">
        <f>HYPERLINK("http://pbs.twimg.com/media/FgnuqIDWYAI_x9l.jpg", "http://pbs.twimg.com/media/FgnuqIDWYAI_x9l.jpg")</f>
        <v>http://pbs.twimg.com/media/FgnuqIDWYAI_x9l.jpg</v>
      </c>
      <c r="J228" t="str">
        <f>HYPERLINK("http://pbs.twimg.com/media/FgnuqIAWQAE2pmx.jpg", "http://pbs.twimg.com/media/FgnuqIAWQAE2pmx.jpg")</f>
        <v>http://pbs.twimg.com/media/FgnuqIAWQAE2pmx.jpg</v>
      </c>
      <c r="L228">
        <v>0.59940000000000004</v>
      </c>
      <c r="M228">
        <v>0</v>
      </c>
      <c r="N228">
        <v>0.89100000000000001</v>
      </c>
      <c r="O228">
        <v>0.109</v>
      </c>
    </row>
    <row r="229" spans="1:15" x14ac:dyDescent="0.2">
      <c r="A229" s="1" t="str">
        <f>HYPERLINK("http://www.twitter.com/banuakdenizli/status/1588172036714942464", "1588172036714942464")</f>
        <v>1588172036714942464</v>
      </c>
      <c r="B229" t="s">
        <v>15</v>
      </c>
      <c r="C229" s="2">
        <v>44868.591377314813</v>
      </c>
      <c r="D229">
        <v>0</v>
      </c>
      <c r="E229">
        <v>7</v>
      </c>
      <c r="F229" t="s">
        <v>18</v>
      </c>
      <c r="G229" t="s">
        <v>267</v>
      </c>
      <c r="H229" t="str">
        <f>HYPERLINK("http://pbs.twimg.com/media/Fgl5-ZpWIAAA-85.jpg", "http://pbs.twimg.com/media/Fgl5-ZpWIAAA-85.jpg")</f>
        <v>http://pbs.twimg.com/media/Fgl5-ZpWIAAA-85.jpg</v>
      </c>
      <c r="L229">
        <v>0.40189999999999998</v>
      </c>
      <c r="M229">
        <v>0</v>
      </c>
      <c r="N229">
        <v>0.90900000000000003</v>
      </c>
      <c r="O229">
        <v>9.0999999999999998E-2</v>
      </c>
    </row>
    <row r="230" spans="1:15" x14ac:dyDescent="0.2">
      <c r="A230" s="1" t="str">
        <f>HYPERLINK("http://www.twitter.com/banuakdenizli/status/1588172023146352647", "1588172023146352647")</f>
        <v>1588172023146352647</v>
      </c>
      <c r="B230" t="s">
        <v>15</v>
      </c>
      <c r="C230" s="2">
        <v>44868.591331018521</v>
      </c>
      <c r="D230">
        <v>0</v>
      </c>
      <c r="E230">
        <v>6</v>
      </c>
      <c r="F230" t="s">
        <v>18</v>
      </c>
      <c r="G230" t="s">
        <v>268</v>
      </c>
      <c r="H230" t="str">
        <f>HYPERLINK("http://pbs.twimg.com/media/Fgl4z__WQAAJzU5.jpg", "http://pbs.twimg.com/media/Fgl4z__WQAAJzU5.jpg")</f>
        <v>http://pbs.twimg.com/media/Fgl4z__WQAAJzU5.jpg</v>
      </c>
      <c r="L230">
        <v>0.36120000000000002</v>
      </c>
      <c r="M230">
        <v>0</v>
      </c>
      <c r="N230">
        <v>0.85699999999999998</v>
      </c>
      <c r="O230">
        <v>0.14299999999999999</v>
      </c>
    </row>
    <row r="231" spans="1:15" x14ac:dyDescent="0.2">
      <c r="A231" s="1" t="str">
        <f>HYPERLINK("http://www.twitter.com/banuakdenizli/status/1588172007589711872", "1588172007589711872")</f>
        <v>1588172007589711872</v>
      </c>
      <c r="B231" t="s">
        <v>15</v>
      </c>
      <c r="C231" s="2">
        <v>44868.591296296298</v>
      </c>
      <c r="D231">
        <v>0</v>
      </c>
      <c r="E231">
        <v>6</v>
      </c>
      <c r="F231" t="s">
        <v>18</v>
      </c>
      <c r="G231" t="s">
        <v>269</v>
      </c>
      <c r="H231" t="str">
        <f>HYPERLINK("http://pbs.twimg.com/media/FgksF_CXEAI_VmH.jpg", "http://pbs.twimg.com/media/FgksF_CXEAI_VmH.jpg")</f>
        <v>http://pbs.twimg.com/media/FgksF_CXEAI_VmH.jpg</v>
      </c>
      <c r="I231" t="str">
        <f>HYPERLINK("http://pbs.twimg.com/media/FgksF_JWQAAOz13.jpg", "http://pbs.twimg.com/media/FgksF_JWQAAOz13.jpg")</f>
        <v>http://pbs.twimg.com/media/FgksF_JWQAAOz13.jpg</v>
      </c>
      <c r="L231">
        <v>0</v>
      </c>
      <c r="M231">
        <v>0</v>
      </c>
      <c r="N231">
        <v>1</v>
      </c>
      <c r="O231">
        <v>0</v>
      </c>
    </row>
    <row r="232" spans="1:15" x14ac:dyDescent="0.2">
      <c r="A232" s="1" t="str">
        <f>HYPERLINK("http://www.twitter.com/banuakdenizli/status/1588171976094646272", "1588171976094646272")</f>
        <v>1588171976094646272</v>
      </c>
      <c r="B232" t="s">
        <v>15</v>
      </c>
      <c r="C232" s="2">
        <v>44868.591203703712</v>
      </c>
      <c r="D232">
        <v>0</v>
      </c>
      <c r="E232">
        <v>6</v>
      </c>
      <c r="F232" t="s">
        <v>18</v>
      </c>
      <c r="G232" t="s">
        <v>270</v>
      </c>
      <c r="H232" t="str">
        <f>HYPERLINK("http://pbs.twimg.com/media/FgjwqAkXoAIc3Qs.jpg", "http://pbs.twimg.com/media/FgjwqAkXoAIc3Qs.jpg")</f>
        <v>http://pbs.twimg.com/media/FgjwqAkXoAIc3Qs.jpg</v>
      </c>
      <c r="L232">
        <v>0.40189999999999998</v>
      </c>
      <c r="M232">
        <v>0</v>
      </c>
      <c r="N232">
        <v>0.86299999999999999</v>
      </c>
      <c r="O232">
        <v>0.13700000000000001</v>
      </c>
    </row>
    <row r="233" spans="1:15" x14ac:dyDescent="0.2">
      <c r="A233" s="1" t="str">
        <f>HYPERLINK("http://www.twitter.com/banuakdenizli/status/1588171962815172608", "1588171962815172608")</f>
        <v>1588171962815172608</v>
      </c>
      <c r="B233" t="s">
        <v>15</v>
      </c>
      <c r="C233" s="2">
        <v>44868.591168981482</v>
      </c>
      <c r="D233">
        <v>0</v>
      </c>
      <c r="E233">
        <v>5</v>
      </c>
      <c r="F233" t="s">
        <v>18</v>
      </c>
      <c r="G233" t="s">
        <v>271</v>
      </c>
      <c r="H233" t="str">
        <f>HYPERLINK("http://pbs.twimg.com/media/FgjcD0AXEAEHcfC.jpg", "http://pbs.twimg.com/media/FgjcD0AXEAEHcfC.jpg")</f>
        <v>http://pbs.twimg.com/media/FgjcD0AXEAEHcfC.jpg</v>
      </c>
      <c r="L233">
        <v>0.40189999999999998</v>
      </c>
      <c r="M233">
        <v>0</v>
      </c>
      <c r="N233">
        <v>0.80300000000000005</v>
      </c>
      <c r="O233">
        <v>0.19700000000000001</v>
      </c>
    </row>
    <row r="234" spans="1:15" x14ac:dyDescent="0.2">
      <c r="A234" s="1" t="str">
        <f>HYPERLINK("http://www.twitter.com/banuakdenizli/status/1588171928157593600", "1588171928157593600")</f>
        <v>1588171928157593600</v>
      </c>
      <c r="B234" t="s">
        <v>15</v>
      </c>
      <c r="C234" s="2">
        <v>44868.59107638889</v>
      </c>
      <c r="D234">
        <v>0</v>
      </c>
      <c r="E234">
        <v>7</v>
      </c>
      <c r="F234" t="s">
        <v>25</v>
      </c>
      <c r="G234" t="s">
        <v>272</v>
      </c>
      <c r="H234" t="str">
        <f>HYPERLINK("http://pbs.twimg.com/media/FgeYcNNWYAI-c9i.jpg", "http://pbs.twimg.com/media/FgeYcNNWYAI-c9i.jpg")</f>
        <v>http://pbs.twimg.com/media/FgeYcNNWYAI-c9i.jpg</v>
      </c>
      <c r="L234">
        <v>0.15310000000000001</v>
      </c>
      <c r="M234">
        <v>6.5000000000000002E-2</v>
      </c>
      <c r="N234">
        <v>0.83299999999999996</v>
      </c>
      <c r="O234">
        <v>0.10100000000000001</v>
      </c>
    </row>
    <row r="235" spans="1:15" x14ac:dyDescent="0.2">
      <c r="A235" s="1" t="str">
        <f>HYPERLINK("http://www.twitter.com/banuakdenizli/status/1588171912500244480", "1588171912500244480")</f>
        <v>1588171912500244480</v>
      </c>
      <c r="B235" t="s">
        <v>15</v>
      </c>
      <c r="C235" s="2">
        <v>44868.59103009259</v>
      </c>
      <c r="D235">
        <v>0</v>
      </c>
      <c r="E235">
        <v>10</v>
      </c>
      <c r="F235" t="s">
        <v>18</v>
      </c>
      <c r="G235" t="s">
        <v>273</v>
      </c>
      <c r="H235" t="str">
        <f>HYPERLINK("http://pbs.twimg.com/media/FggLqcsXgAI0deZ.jpg", "http://pbs.twimg.com/media/FggLqcsXgAI0deZ.jpg")</f>
        <v>http://pbs.twimg.com/media/FggLqcsXgAI0deZ.jpg</v>
      </c>
      <c r="L235">
        <v>0</v>
      </c>
      <c r="M235">
        <v>0</v>
      </c>
      <c r="N235">
        <v>1</v>
      </c>
      <c r="O235">
        <v>0</v>
      </c>
    </row>
    <row r="236" spans="1:15" x14ac:dyDescent="0.2">
      <c r="A236" s="1" t="str">
        <f>HYPERLINK("http://www.twitter.com/banuakdenizli/status/1588171887309246464", "1588171887309246464")</f>
        <v>1588171887309246464</v>
      </c>
      <c r="B236" t="s">
        <v>15</v>
      </c>
      <c r="C236" s="2">
        <v>44868.590960648151</v>
      </c>
      <c r="D236">
        <v>0</v>
      </c>
      <c r="E236">
        <v>20</v>
      </c>
      <c r="F236" t="s">
        <v>274</v>
      </c>
      <c r="G236" t="s">
        <v>275</v>
      </c>
      <c r="H236" t="str">
        <f>HYPERLINK("http://pbs.twimg.com/media/Fgd0mMXX0AEfs6t.jpg", "http://pbs.twimg.com/media/Fgd0mMXX0AEfs6t.jpg")</f>
        <v>http://pbs.twimg.com/media/Fgd0mMXX0AEfs6t.jpg</v>
      </c>
      <c r="L236">
        <v>0</v>
      </c>
      <c r="M236">
        <v>0</v>
      </c>
      <c r="N236">
        <v>1</v>
      </c>
      <c r="O236">
        <v>0</v>
      </c>
    </row>
    <row r="237" spans="1:15" x14ac:dyDescent="0.2">
      <c r="A237" s="1" t="str">
        <f>HYPERLINK("http://www.twitter.com/banuakdenizli/status/1588171876701872130", "1588171876701872130")</f>
        <v>1588171876701872130</v>
      </c>
      <c r="B237" t="s">
        <v>15</v>
      </c>
      <c r="C237" s="2">
        <v>44868.590925925928</v>
      </c>
      <c r="D237">
        <v>0</v>
      </c>
      <c r="E237">
        <v>54</v>
      </c>
      <c r="F237" t="s">
        <v>20</v>
      </c>
      <c r="G237" t="s">
        <v>276</v>
      </c>
      <c r="L237">
        <v>0.87790000000000001</v>
      </c>
      <c r="M237">
        <v>0</v>
      </c>
      <c r="N237">
        <v>0.79500000000000004</v>
      </c>
      <c r="O237">
        <v>0.20499999999999999</v>
      </c>
    </row>
    <row r="238" spans="1:15" x14ac:dyDescent="0.2">
      <c r="A238" s="1" t="str">
        <f>HYPERLINK("http://www.twitter.com/banuakdenizli/status/1588171852027162624", "1588171852027162624")</f>
        <v>1588171852027162624</v>
      </c>
      <c r="B238" t="s">
        <v>15</v>
      </c>
      <c r="C238" s="2">
        <v>44868.590856481482</v>
      </c>
      <c r="D238">
        <v>0</v>
      </c>
      <c r="E238">
        <v>13</v>
      </c>
      <c r="F238" t="s">
        <v>18</v>
      </c>
      <c r="G238" t="s">
        <v>277</v>
      </c>
      <c r="H238" t="str">
        <f>HYPERLINK("http://pbs.twimg.com/media/FgcWLOmXkAE0wyJ.jpg", "http://pbs.twimg.com/media/FgcWLOmXkAE0wyJ.jpg")</f>
        <v>http://pbs.twimg.com/media/FgcWLOmXkAE0wyJ.jpg</v>
      </c>
      <c r="L238">
        <v>0.75790000000000002</v>
      </c>
      <c r="M238">
        <v>0</v>
      </c>
      <c r="N238">
        <v>0.73499999999999999</v>
      </c>
      <c r="O238">
        <v>0.26500000000000001</v>
      </c>
    </row>
    <row r="239" spans="1:15" x14ac:dyDescent="0.2">
      <c r="A239" s="1" t="str">
        <f>HYPERLINK("http://www.twitter.com/banuakdenizli/status/1588171826760364032", "1588171826760364032")</f>
        <v>1588171826760364032</v>
      </c>
      <c r="B239" t="s">
        <v>15</v>
      </c>
      <c r="C239" s="2">
        <v>44868.590787037043</v>
      </c>
      <c r="D239">
        <v>0</v>
      </c>
      <c r="E239">
        <v>4</v>
      </c>
      <c r="F239" t="s">
        <v>18</v>
      </c>
      <c r="G239" t="s">
        <v>278</v>
      </c>
      <c r="H239" t="str">
        <f>HYPERLINK("http://pbs.twimg.com/media/FgajoxKX0AAo7GW.jpg", "http://pbs.twimg.com/media/FgajoxKX0AAo7GW.jpg")</f>
        <v>http://pbs.twimg.com/media/FgajoxKX0AAo7GW.jpg</v>
      </c>
      <c r="L239">
        <v>0.5423</v>
      </c>
      <c r="M239">
        <v>0</v>
      </c>
      <c r="N239">
        <v>0.82099999999999995</v>
      </c>
      <c r="O239">
        <v>0.17899999999999999</v>
      </c>
    </row>
    <row r="240" spans="1:15" x14ac:dyDescent="0.2">
      <c r="A240" s="1" t="str">
        <f>HYPERLINK("http://www.twitter.com/banuakdenizli/status/1588171716156456961", "1588171716156456961")</f>
        <v>1588171716156456961</v>
      </c>
      <c r="B240" t="s">
        <v>15</v>
      </c>
      <c r="C240" s="2">
        <v>44868.590486111112</v>
      </c>
      <c r="D240">
        <v>0</v>
      </c>
      <c r="E240">
        <v>7</v>
      </c>
      <c r="F240" t="s">
        <v>16</v>
      </c>
      <c r="G240" t="s">
        <v>279</v>
      </c>
      <c r="H240" t="str">
        <f>HYPERLINK("http://pbs.twimg.com/media/FgbQlixWQAIhiHc.jpg", "http://pbs.twimg.com/media/FgbQlixWQAIhiHc.jpg")</f>
        <v>http://pbs.twimg.com/media/FgbQlixWQAIhiHc.jpg</v>
      </c>
      <c r="L240">
        <v>0</v>
      </c>
      <c r="M240">
        <v>0</v>
      </c>
      <c r="N240">
        <v>1</v>
      </c>
      <c r="O240">
        <v>0</v>
      </c>
    </row>
    <row r="241" spans="1:15" x14ac:dyDescent="0.2">
      <c r="A241" s="1" t="str">
        <f>HYPERLINK("http://www.twitter.com/banuakdenizli/status/1588171686234423298", "1588171686234423298")</f>
        <v>1588171686234423298</v>
      </c>
      <c r="B241" t="s">
        <v>15</v>
      </c>
      <c r="C241" s="2">
        <v>44868.590405092589</v>
      </c>
      <c r="D241">
        <v>0</v>
      </c>
      <c r="E241">
        <v>261</v>
      </c>
      <c r="F241" t="s">
        <v>280</v>
      </c>
      <c r="G241" t="s">
        <v>281</v>
      </c>
      <c r="H241" t="str">
        <f>HYPERLINK("http://pbs.twimg.com/media/FgdgSd-WIAA3_dn.jpg", "http://pbs.twimg.com/media/FgdgSd-WIAA3_dn.jpg")</f>
        <v>http://pbs.twimg.com/media/FgdgSd-WIAA3_dn.jpg</v>
      </c>
      <c r="L241">
        <v>0</v>
      </c>
      <c r="M241">
        <v>0</v>
      </c>
      <c r="N241">
        <v>1</v>
      </c>
      <c r="O241">
        <v>0</v>
      </c>
    </row>
    <row r="242" spans="1:15" x14ac:dyDescent="0.2">
      <c r="A242" s="1" t="str">
        <f>HYPERLINK("http://www.twitter.com/banuakdenizli/status/1588171674314485762", "1588171674314485762")</f>
        <v>1588171674314485762</v>
      </c>
      <c r="B242" t="s">
        <v>15</v>
      </c>
      <c r="C242" s="2">
        <v>44868.590370370373</v>
      </c>
      <c r="D242">
        <v>0</v>
      </c>
      <c r="E242">
        <v>85</v>
      </c>
      <c r="F242" t="s">
        <v>20</v>
      </c>
      <c r="G242" t="s">
        <v>282</v>
      </c>
      <c r="L242">
        <v>0</v>
      </c>
      <c r="M242">
        <v>0</v>
      </c>
      <c r="N242">
        <v>1</v>
      </c>
      <c r="O242">
        <v>0</v>
      </c>
    </row>
    <row r="243" spans="1:15" x14ac:dyDescent="0.2">
      <c r="A243" s="1" t="str">
        <f>HYPERLINK("http://www.twitter.com/banuakdenizli/status/1588171661882585090", "1588171661882585090")</f>
        <v>1588171661882585090</v>
      </c>
      <c r="B243" t="s">
        <v>15</v>
      </c>
      <c r="C243" s="2">
        <v>44868.59033564815</v>
      </c>
      <c r="D243">
        <v>0</v>
      </c>
      <c r="E243">
        <v>21</v>
      </c>
      <c r="F243" t="s">
        <v>274</v>
      </c>
      <c r="G243" t="s">
        <v>283</v>
      </c>
      <c r="H243" t="str">
        <f>HYPERLINK("http://pbs.twimg.com/media/Fgd0cuiXkAA_c3-.jpg", "http://pbs.twimg.com/media/Fgd0cuiXkAA_c3-.jpg")</f>
        <v>http://pbs.twimg.com/media/Fgd0cuiXkAA_c3-.jpg</v>
      </c>
      <c r="L243">
        <v>0</v>
      </c>
      <c r="M243">
        <v>0</v>
      </c>
      <c r="N243">
        <v>1</v>
      </c>
      <c r="O243">
        <v>0</v>
      </c>
    </row>
    <row r="244" spans="1:15" x14ac:dyDescent="0.2">
      <c r="A244" s="1" t="str">
        <f>HYPERLINK("http://www.twitter.com/banuakdenizli/status/1588171639493373952", "1588171639493373952")</f>
        <v>1588171639493373952</v>
      </c>
      <c r="B244" t="s">
        <v>15</v>
      </c>
      <c r="C244" s="2">
        <v>44868.590277777781</v>
      </c>
      <c r="D244">
        <v>0</v>
      </c>
      <c r="E244">
        <v>131</v>
      </c>
      <c r="F244" t="s">
        <v>23</v>
      </c>
      <c r="G244" t="s">
        <v>284</v>
      </c>
      <c r="H244" t="str">
        <f>HYPERLINK("http://pbs.twimg.com/media/FgfLaE-XEAE5_xR.jpg", "http://pbs.twimg.com/media/FgfLaE-XEAE5_xR.jpg")</f>
        <v>http://pbs.twimg.com/media/FgfLaE-XEAE5_xR.jpg</v>
      </c>
      <c r="I244" t="str">
        <f>HYPERLINK("http://pbs.twimg.com/media/FgfLaFAWAAEWAMf.jpg", "http://pbs.twimg.com/media/FgfLaFAWAAEWAMf.jpg")</f>
        <v>http://pbs.twimg.com/media/FgfLaFAWAAEWAMf.jpg</v>
      </c>
      <c r="J244" t="str">
        <f>HYPERLINK("http://pbs.twimg.com/media/FgfLaE-XwAM42ki.jpg", "http://pbs.twimg.com/media/FgfLaE-XwAM42ki.jpg")</f>
        <v>http://pbs.twimg.com/media/FgfLaE-XwAM42ki.jpg</v>
      </c>
      <c r="L244">
        <v>0</v>
      </c>
      <c r="M244">
        <v>0</v>
      </c>
      <c r="N244">
        <v>1</v>
      </c>
      <c r="O244">
        <v>0</v>
      </c>
    </row>
    <row r="245" spans="1:15" x14ac:dyDescent="0.2">
      <c r="A245" s="1" t="str">
        <f>HYPERLINK("http://www.twitter.com/banuakdenizli/status/1588171628307185664", "1588171628307185664")</f>
        <v>1588171628307185664</v>
      </c>
      <c r="B245" t="s">
        <v>15</v>
      </c>
      <c r="C245" s="2">
        <v>44868.590243055558</v>
      </c>
      <c r="D245">
        <v>0</v>
      </c>
      <c r="E245">
        <v>29</v>
      </c>
      <c r="F245" t="s">
        <v>23</v>
      </c>
      <c r="G245" t="s">
        <v>285</v>
      </c>
      <c r="L245">
        <v>0</v>
      </c>
      <c r="M245">
        <v>0</v>
      </c>
      <c r="N245">
        <v>1</v>
      </c>
      <c r="O245">
        <v>0</v>
      </c>
    </row>
    <row r="246" spans="1:15" x14ac:dyDescent="0.2">
      <c r="A246" s="1" t="str">
        <f>HYPERLINK("http://www.twitter.com/banuakdenizli/status/1588171619826307072", "1588171619826307072")</f>
        <v>1588171619826307072</v>
      </c>
      <c r="B246" t="s">
        <v>15</v>
      </c>
      <c r="C246" s="2">
        <v>44868.590219907397</v>
      </c>
      <c r="D246">
        <v>0</v>
      </c>
      <c r="E246">
        <v>131</v>
      </c>
      <c r="F246" t="s">
        <v>23</v>
      </c>
      <c r="G246" t="s">
        <v>286</v>
      </c>
      <c r="H246" t="str">
        <f>HYPERLINK("http://pbs.twimg.com/media/FgfnBsJXEAYLwsp.jpg", "http://pbs.twimg.com/media/FgfnBsJXEAYLwsp.jpg")</f>
        <v>http://pbs.twimg.com/media/FgfnBsJXEAYLwsp.jpg</v>
      </c>
      <c r="I246" t="str">
        <f>HYPERLINK("http://pbs.twimg.com/media/FgfnBsOWQAEFyRO.jpg", "http://pbs.twimg.com/media/FgfnBsOWQAEFyRO.jpg")</f>
        <v>http://pbs.twimg.com/media/FgfnBsOWQAEFyRO.jpg</v>
      </c>
      <c r="J246" t="str">
        <f>HYPERLINK("http://pbs.twimg.com/media/FgfnBsKXoAcXChP.jpg", "http://pbs.twimg.com/media/FgfnBsKXoAcXChP.jpg")</f>
        <v>http://pbs.twimg.com/media/FgfnBsKXoAcXChP.jpg</v>
      </c>
      <c r="K246" t="str">
        <f>HYPERLINK("http://pbs.twimg.com/media/FgfnBsMWAAAZiDS.jpg", "http://pbs.twimg.com/media/FgfnBsMWAAAZiDS.jpg")</f>
        <v>http://pbs.twimg.com/media/FgfnBsMWAAAZiDS.jpg</v>
      </c>
      <c r="L246">
        <v>0</v>
      </c>
      <c r="M246">
        <v>0</v>
      </c>
      <c r="N246">
        <v>1</v>
      </c>
      <c r="O246">
        <v>0</v>
      </c>
    </row>
    <row r="247" spans="1:15" x14ac:dyDescent="0.2">
      <c r="A247" s="1" t="str">
        <f>HYPERLINK("http://www.twitter.com/banuakdenizli/status/1588171603229261826", "1588171603229261826")</f>
        <v>1588171603229261826</v>
      </c>
      <c r="B247" t="s">
        <v>15</v>
      </c>
      <c r="C247" s="2">
        <v>44868.590173611112</v>
      </c>
      <c r="D247">
        <v>0</v>
      </c>
      <c r="E247">
        <v>57</v>
      </c>
      <c r="F247" t="s">
        <v>23</v>
      </c>
      <c r="G247" t="s">
        <v>287</v>
      </c>
      <c r="H247" t="str">
        <f>HYPERLINK("http://pbs.twimg.com/media/FggCOZmXkAE1EKz.jpg", "http://pbs.twimg.com/media/FggCOZmXkAE1EKz.jpg")</f>
        <v>http://pbs.twimg.com/media/FggCOZmXkAE1EKz.jpg</v>
      </c>
      <c r="I247" t="str">
        <f>HYPERLINK("http://pbs.twimg.com/media/FggCOZpWIAABL0F.jpg", "http://pbs.twimg.com/media/FggCOZpWIAABL0F.jpg")</f>
        <v>http://pbs.twimg.com/media/FggCOZpWIAABL0F.jpg</v>
      </c>
      <c r="J247" t="str">
        <f>HYPERLINK("http://pbs.twimg.com/media/FggCOZpXgA8FnJn.jpg", "http://pbs.twimg.com/media/FggCOZpXgA8FnJn.jpg")</f>
        <v>http://pbs.twimg.com/media/FggCOZpXgA8FnJn.jpg</v>
      </c>
      <c r="L247">
        <v>0</v>
      </c>
      <c r="M247">
        <v>0</v>
      </c>
      <c r="N247">
        <v>1</v>
      </c>
      <c r="O247">
        <v>0</v>
      </c>
    </row>
    <row r="248" spans="1:15" x14ac:dyDescent="0.2">
      <c r="A248" s="1" t="str">
        <f>HYPERLINK("http://www.twitter.com/banuakdenizli/status/1588171581225697280", "1588171581225697280")</f>
        <v>1588171581225697280</v>
      </c>
      <c r="B248" t="s">
        <v>15</v>
      </c>
      <c r="C248" s="2">
        <v>44868.590115740742</v>
      </c>
      <c r="D248">
        <v>0</v>
      </c>
      <c r="E248">
        <v>29</v>
      </c>
      <c r="F248" t="s">
        <v>23</v>
      </c>
      <c r="G248" t="s">
        <v>288</v>
      </c>
      <c r="H248" t="str">
        <f>HYPERLINK("http://pbs.twimg.com/media/FggKNO2WAAAjLbH.jpg", "http://pbs.twimg.com/media/FggKNO2WAAAjLbH.jpg")</f>
        <v>http://pbs.twimg.com/media/FggKNO2WAAAjLbH.jpg</v>
      </c>
      <c r="L248">
        <v>0</v>
      </c>
      <c r="M248">
        <v>0</v>
      </c>
      <c r="N248">
        <v>1</v>
      </c>
      <c r="O248">
        <v>0</v>
      </c>
    </row>
    <row r="249" spans="1:15" x14ac:dyDescent="0.2">
      <c r="A249" s="1" t="str">
        <f>HYPERLINK("http://www.twitter.com/banuakdenizli/status/1588171573017866241", "1588171573017866241")</f>
        <v>1588171573017866241</v>
      </c>
      <c r="B249" t="s">
        <v>15</v>
      </c>
      <c r="C249" s="2">
        <v>44868.590092592603</v>
      </c>
      <c r="D249">
        <v>0</v>
      </c>
      <c r="E249">
        <v>28</v>
      </c>
      <c r="F249" t="s">
        <v>23</v>
      </c>
      <c r="G249" t="s">
        <v>289</v>
      </c>
      <c r="H249" t="str">
        <f>HYPERLINK("http://pbs.twimg.com/media/FggOTLzXkAACAwx.jpg", "http://pbs.twimg.com/media/FggOTLzXkAACAwx.jpg")</f>
        <v>http://pbs.twimg.com/media/FggOTLzXkAACAwx.jpg</v>
      </c>
      <c r="L249">
        <v>0</v>
      </c>
      <c r="M249">
        <v>0</v>
      </c>
      <c r="N249">
        <v>1</v>
      </c>
      <c r="O249">
        <v>0</v>
      </c>
    </row>
    <row r="250" spans="1:15" x14ac:dyDescent="0.2">
      <c r="A250" s="1" t="str">
        <f>HYPERLINK("http://www.twitter.com/banuakdenizli/status/1588171564960579585", "1588171564960579585")</f>
        <v>1588171564960579585</v>
      </c>
      <c r="B250" t="s">
        <v>15</v>
      </c>
      <c r="C250" s="2">
        <v>44868.590069444443</v>
      </c>
      <c r="D250">
        <v>0</v>
      </c>
      <c r="E250">
        <v>33</v>
      </c>
      <c r="F250" t="s">
        <v>23</v>
      </c>
      <c r="G250" t="s">
        <v>290</v>
      </c>
      <c r="H250" t="str">
        <f>HYPERLINK("http://pbs.twimg.com/media/FggTjdnWYAAWQ7k.jpg", "http://pbs.twimg.com/media/FggTjdnWYAAWQ7k.jpg")</f>
        <v>http://pbs.twimg.com/media/FggTjdnWYAAWQ7k.jpg</v>
      </c>
      <c r="L250">
        <v>0</v>
      </c>
      <c r="M250">
        <v>0</v>
      </c>
      <c r="N250">
        <v>1</v>
      </c>
      <c r="O250">
        <v>0</v>
      </c>
    </row>
    <row r="251" spans="1:15" x14ac:dyDescent="0.2">
      <c r="A251" s="1" t="str">
        <f>HYPERLINK("http://www.twitter.com/banuakdenizli/status/1588171551731437568", "1588171551731437568")</f>
        <v>1588171551731437568</v>
      </c>
      <c r="B251" t="s">
        <v>15</v>
      </c>
      <c r="C251" s="2">
        <v>44868.59003472222</v>
      </c>
      <c r="D251">
        <v>0</v>
      </c>
      <c r="E251">
        <v>4</v>
      </c>
      <c r="F251" t="s">
        <v>25</v>
      </c>
      <c r="G251" t="s">
        <v>291</v>
      </c>
      <c r="H251" t="str">
        <f>HYPERLINK("http://pbs.twimg.com/media/FgeYRkZWAA08T08.jpg", "http://pbs.twimg.com/media/FgeYRkZWAA08T08.jpg")</f>
        <v>http://pbs.twimg.com/media/FgeYRkZWAA08T08.jpg</v>
      </c>
      <c r="L251">
        <v>0</v>
      </c>
      <c r="M251">
        <v>0</v>
      </c>
      <c r="N251">
        <v>1</v>
      </c>
      <c r="O251">
        <v>0</v>
      </c>
    </row>
    <row r="252" spans="1:15" x14ac:dyDescent="0.2">
      <c r="A252" s="1" t="str">
        <f>HYPERLINK("http://www.twitter.com/banuakdenizli/status/1588171540369006592", "1588171540369006592")</f>
        <v>1588171540369006592</v>
      </c>
      <c r="B252" t="s">
        <v>15</v>
      </c>
      <c r="C252" s="2">
        <v>44868.59</v>
      </c>
      <c r="D252">
        <v>0</v>
      </c>
      <c r="E252">
        <v>1749</v>
      </c>
      <c r="F252" t="s">
        <v>22</v>
      </c>
      <c r="G252" t="s">
        <v>292</v>
      </c>
      <c r="H252" t="str">
        <f>HYPERLINK("http://pbs.twimg.com/media/FgjAFQkX0AE0cli.jpg", "http://pbs.twimg.com/media/FgjAFQkX0AE0cli.jpg")</f>
        <v>http://pbs.twimg.com/media/FgjAFQkX0AE0cli.jpg</v>
      </c>
      <c r="I252" t="str">
        <f>HYPERLINK("http://pbs.twimg.com/media/FgjAFQfWQAAnu2i.jpg", "http://pbs.twimg.com/media/FgjAFQfWQAAnu2i.jpg")</f>
        <v>http://pbs.twimg.com/media/FgjAFQfWQAAnu2i.jpg</v>
      </c>
      <c r="L252">
        <v>0</v>
      </c>
      <c r="M252">
        <v>0</v>
      </c>
      <c r="N252">
        <v>1</v>
      </c>
      <c r="O252">
        <v>0</v>
      </c>
    </row>
    <row r="253" spans="1:15" x14ac:dyDescent="0.2">
      <c r="A253" s="1" t="str">
        <f>HYPERLINK("http://www.twitter.com/banuakdenizli/status/1588171530718089217", "1588171530718089217")</f>
        <v>1588171530718089217</v>
      </c>
      <c r="B253" t="s">
        <v>15</v>
      </c>
      <c r="C253" s="2">
        <v>44868.58997685185</v>
      </c>
      <c r="D253">
        <v>0</v>
      </c>
      <c r="E253">
        <v>6</v>
      </c>
      <c r="F253" t="s">
        <v>16</v>
      </c>
      <c r="G253" t="s">
        <v>293</v>
      </c>
      <c r="H253" t="str">
        <f>HYPERLINK("http://pbs.twimg.com/media/FgjLmEjXgAAODrP.jpg", "http://pbs.twimg.com/media/FgjLmEjXgAAODrP.jpg")</f>
        <v>http://pbs.twimg.com/media/FgjLmEjXgAAODrP.jpg</v>
      </c>
      <c r="L253">
        <v>0</v>
      </c>
      <c r="M253">
        <v>0</v>
      </c>
      <c r="N253">
        <v>1</v>
      </c>
      <c r="O253">
        <v>0</v>
      </c>
    </row>
    <row r="254" spans="1:15" x14ac:dyDescent="0.2">
      <c r="A254" s="1" t="str">
        <f>HYPERLINK("http://www.twitter.com/banuakdenizli/status/1588171503920898048", "1588171503920898048")</f>
        <v>1588171503920898048</v>
      </c>
      <c r="B254" t="s">
        <v>15</v>
      </c>
      <c r="C254" s="2">
        <v>44868.589895833327</v>
      </c>
      <c r="D254">
        <v>0</v>
      </c>
      <c r="E254">
        <v>9</v>
      </c>
      <c r="F254" t="s">
        <v>16</v>
      </c>
      <c r="G254" t="s">
        <v>294</v>
      </c>
      <c r="H254" t="str">
        <f>HYPERLINK("http://pbs.twimg.com/media/FgjRoUzXkAAyhlH.jpg", "http://pbs.twimg.com/media/FgjRoUzXkAAyhlH.jpg")</f>
        <v>http://pbs.twimg.com/media/FgjRoUzXkAAyhlH.jpg</v>
      </c>
      <c r="L254">
        <v>0</v>
      </c>
      <c r="M254">
        <v>0</v>
      </c>
      <c r="N254">
        <v>1</v>
      </c>
      <c r="O254">
        <v>0</v>
      </c>
    </row>
    <row r="255" spans="1:15" x14ac:dyDescent="0.2">
      <c r="A255" s="1" t="str">
        <f>HYPERLINK("http://www.twitter.com/banuakdenizli/status/1588171476749819905", "1588171476749819905")</f>
        <v>1588171476749819905</v>
      </c>
      <c r="B255" t="s">
        <v>15</v>
      </c>
      <c r="C255" s="2">
        <v>44868.589826388888</v>
      </c>
      <c r="D255">
        <v>0</v>
      </c>
      <c r="E255">
        <v>7</v>
      </c>
      <c r="F255" t="s">
        <v>16</v>
      </c>
      <c r="G255" t="s">
        <v>295</v>
      </c>
      <c r="H255" t="str">
        <f>HYPERLINK("http://pbs.twimg.com/media/FgjxkMyXoAAt5EF.jpg", "http://pbs.twimg.com/media/FgjxkMyXoAAt5EF.jpg")</f>
        <v>http://pbs.twimg.com/media/FgjxkMyXoAAt5EF.jpg</v>
      </c>
      <c r="L255">
        <v>0</v>
      </c>
      <c r="M255">
        <v>0</v>
      </c>
      <c r="N255">
        <v>1</v>
      </c>
      <c r="O255">
        <v>0</v>
      </c>
    </row>
    <row r="256" spans="1:15" x14ac:dyDescent="0.2">
      <c r="A256" s="1" t="str">
        <f>HYPERLINK("http://www.twitter.com/banuakdenizli/status/1588171463433256960", "1588171463433256960")</f>
        <v>1588171463433256960</v>
      </c>
      <c r="B256" t="s">
        <v>15</v>
      </c>
      <c r="C256" s="2">
        <v>44868.589791666673</v>
      </c>
      <c r="D256">
        <v>0</v>
      </c>
      <c r="E256">
        <v>10</v>
      </c>
      <c r="F256" t="s">
        <v>16</v>
      </c>
      <c r="G256" t="s">
        <v>296</v>
      </c>
      <c r="H256" t="str">
        <f>HYPERLINK("http://pbs.twimg.com/media/FgkktqsX0AgTt3L.jpg", "http://pbs.twimg.com/media/FgkktqsX0AgTt3L.jpg")</f>
        <v>http://pbs.twimg.com/media/FgkktqsX0AgTt3L.jpg</v>
      </c>
      <c r="L256">
        <v>0</v>
      </c>
      <c r="M256">
        <v>0</v>
      </c>
      <c r="N256">
        <v>1</v>
      </c>
      <c r="O256">
        <v>0</v>
      </c>
    </row>
    <row r="257" spans="1:15" x14ac:dyDescent="0.2">
      <c r="A257" s="1" t="str">
        <f>HYPERLINK("http://www.twitter.com/banuakdenizli/status/1588171452200763394", "1588171452200763394")</f>
        <v>1588171452200763394</v>
      </c>
      <c r="B257" t="s">
        <v>15</v>
      </c>
      <c r="C257" s="2">
        <v>44868.589756944442</v>
      </c>
      <c r="D257">
        <v>0</v>
      </c>
      <c r="E257">
        <v>10</v>
      </c>
      <c r="F257" t="s">
        <v>16</v>
      </c>
      <c r="G257" t="s">
        <v>297</v>
      </c>
      <c r="H257" t="str">
        <f>HYPERLINK("http://pbs.twimg.com/media/Fgkr8BUX0AI6oYO.jpg", "http://pbs.twimg.com/media/Fgkr8BUX0AI6oYO.jpg")</f>
        <v>http://pbs.twimg.com/media/Fgkr8BUX0AI6oYO.jpg</v>
      </c>
      <c r="L257">
        <v>0</v>
      </c>
      <c r="M257">
        <v>0</v>
      </c>
      <c r="N257">
        <v>1</v>
      </c>
      <c r="O257">
        <v>0</v>
      </c>
    </row>
    <row r="258" spans="1:15" x14ac:dyDescent="0.2">
      <c r="A258" s="1" t="str">
        <f>HYPERLINK("http://www.twitter.com/banuakdenizli/status/1588171427731021827", "1588171427731021827")</f>
        <v>1588171427731021827</v>
      </c>
      <c r="B258" t="s">
        <v>15</v>
      </c>
      <c r="C258" s="2">
        <v>44868.589687500003</v>
      </c>
      <c r="D258">
        <v>0</v>
      </c>
      <c r="E258">
        <v>6</v>
      </c>
      <c r="F258" t="s">
        <v>16</v>
      </c>
      <c r="G258" t="s">
        <v>298</v>
      </c>
      <c r="H258" t="str">
        <f>HYPERLINK("http://pbs.twimg.com/media/Fgk1t20X0AARouo.jpg", "http://pbs.twimg.com/media/Fgk1t20X0AARouo.jpg")</f>
        <v>http://pbs.twimg.com/media/Fgk1t20X0AARouo.jpg</v>
      </c>
      <c r="L258">
        <v>0</v>
      </c>
      <c r="M258">
        <v>0</v>
      </c>
      <c r="N258">
        <v>1</v>
      </c>
      <c r="O258">
        <v>0</v>
      </c>
    </row>
    <row r="259" spans="1:15" x14ac:dyDescent="0.2">
      <c r="A259" s="1" t="str">
        <f>HYPERLINK("http://www.twitter.com/banuakdenizli/status/1588171396810612736", "1588171396810612736")</f>
        <v>1588171396810612736</v>
      </c>
      <c r="B259" t="s">
        <v>15</v>
      </c>
      <c r="C259" s="2">
        <v>44868.589606481481</v>
      </c>
      <c r="D259">
        <v>0</v>
      </c>
      <c r="E259">
        <v>9</v>
      </c>
      <c r="F259" t="s">
        <v>25</v>
      </c>
      <c r="G259" t="s">
        <v>299</v>
      </c>
      <c r="H259" t="str">
        <f>HYPERLINK("http://pbs.twimg.com/media/FgnuZvFXkAAhdq-.jpg", "http://pbs.twimg.com/media/FgnuZvFXkAAhdq-.jpg")</f>
        <v>http://pbs.twimg.com/media/FgnuZvFXkAAhdq-.jpg</v>
      </c>
      <c r="I259" t="str">
        <f>HYPERLINK("http://pbs.twimg.com/media/FgnuZvDWYAMsuDk.jpg", "http://pbs.twimg.com/media/FgnuZvDWYAMsuDk.jpg")</f>
        <v>http://pbs.twimg.com/media/FgnuZvDWYAMsuDk.jpg</v>
      </c>
      <c r="J259" t="str">
        <f>HYPERLINK("http://pbs.twimg.com/media/FgnuZvEXwAEh6c1.jpg", "http://pbs.twimg.com/media/FgnuZvEXwAEh6c1.jpg")</f>
        <v>http://pbs.twimg.com/media/FgnuZvEXwAEh6c1.jpg</v>
      </c>
      <c r="L259">
        <v>0</v>
      </c>
      <c r="M259">
        <v>0</v>
      </c>
      <c r="N259">
        <v>1</v>
      </c>
      <c r="O259">
        <v>0</v>
      </c>
    </row>
    <row r="260" spans="1:15" x14ac:dyDescent="0.2">
      <c r="A260" s="1" t="str">
        <f>HYPERLINK("http://www.twitter.com/banuakdenizli/status/1588171377961357312", "1588171377961357312")</f>
        <v>1588171377961357312</v>
      </c>
      <c r="B260" t="s">
        <v>15</v>
      </c>
      <c r="C260" s="2">
        <v>44868.589548611111</v>
      </c>
      <c r="D260">
        <v>0</v>
      </c>
      <c r="E260">
        <v>26</v>
      </c>
      <c r="F260" t="s">
        <v>16</v>
      </c>
      <c r="G260" t="s">
        <v>300</v>
      </c>
      <c r="H260" t="str">
        <f>HYPERLINK("http://pbs.twimg.com/media/FgnflWEWIAAuTiP.jpg", "http://pbs.twimg.com/media/FgnflWEWIAAuTiP.jpg")</f>
        <v>http://pbs.twimg.com/media/FgnflWEWIAAuTiP.jpg</v>
      </c>
      <c r="L260">
        <v>0</v>
      </c>
      <c r="M260">
        <v>0</v>
      </c>
      <c r="N260">
        <v>1</v>
      </c>
      <c r="O260">
        <v>0</v>
      </c>
    </row>
    <row r="261" spans="1:15" x14ac:dyDescent="0.2">
      <c r="A261" s="1" t="str">
        <f>HYPERLINK("http://www.twitter.com/banuakdenizli/status/1588171359091236867", "1588171359091236867")</f>
        <v>1588171359091236867</v>
      </c>
      <c r="B261" t="s">
        <v>15</v>
      </c>
      <c r="C261" s="2">
        <v>44868.589502314811</v>
      </c>
      <c r="D261">
        <v>0</v>
      </c>
      <c r="E261">
        <v>12</v>
      </c>
      <c r="F261" t="s">
        <v>16</v>
      </c>
      <c r="G261" t="s">
        <v>301</v>
      </c>
      <c r="H261" t="str">
        <f>HYPERLINK("http://pbs.twimg.com/media/Fgoi80VXoAMXhzk.jpg", "http://pbs.twimg.com/media/Fgoi80VXoAMXhzk.jpg")</f>
        <v>http://pbs.twimg.com/media/Fgoi80VXoAMXhzk.jpg</v>
      </c>
      <c r="L261">
        <v>0</v>
      </c>
      <c r="M261">
        <v>0</v>
      </c>
      <c r="N261">
        <v>1</v>
      </c>
      <c r="O261">
        <v>0</v>
      </c>
    </row>
    <row r="262" spans="1:15" x14ac:dyDescent="0.2">
      <c r="A262" s="1" t="str">
        <f>HYPERLINK("http://www.twitter.com/banuakdenizli/status/1588171348588646400", "1588171348588646400")</f>
        <v>1588171348588646400</v>
      </c>
      <c r="B262" t="s">
        <v>15</v>
      </c>
      <c r="C262" s="2">
        <v>44868.589467592603</v>
      </c>
      <c r="D262">
        <v>0</v>
      </c>
      <c r="E262">
        <v>11</v>
      </c>
      <c r="F262" t="s">
        <v>16</v>
      </c>
      <c r="G262" t="s">
        <v>302</v>
      </c>
      <c r="H262" t="str">
        <f>HYPERLINK("http://pbs.twimg.com/media/Fgojew9WQAAyxOf.jpg", "http://pbs.twimg.com/media/Fgojew9WQAAyxOf.jpg")</f>
        <v>http://pbs.twimg.com/media/Fgojew9WQAAyxOf.jpg</v>
      </c>
      <c r="L262">
        <v>0</v>
      </c>
      <c r="M262">
        <v>0</v>
      </c>
      <c r="N262">
        <v>1</v>
      </c>
      <c r="O262">
        <v>0</v>
      </c>
    </row>
    <row r="263" spans="1:15" x14ac:dyDescent="0.2">
      <c r="A263" s="1" t="str">
        <f>HYPERLINK("http://www.twitter.com/banuakdenizli/status/1587120114842968071", "1587120114842968071")</f>
        <v>1587120114842968071</v>
      </c>
      <c r="B263" t="s">
        <v>15</v>
      </c>
      <c r="C263" s="2">
        <v>44865.688622685193</v>
      </c>
      <c r="D263">
        <v>0</v>
      </c>
      <c r="E263">
        <v>143</v>
      </c>
      <c r="F263" t="s">
        <v>303</v>
      </c>
      <c r="G263" t="s">
        <v>304</v>
      </c>
      <c r="H263" t="str">
        <f>HYPERLINK("http://pbs.twimg.com/media/FgaSvQFWIAAQvye.jpg", "http://pbs.twimg.com/media/FgaSvQFWIAAQvye.jpg")</f>
        <v>http://pbs.twimg.com/media/FgaSvQFWIAAQvye.jpg</v>
      </c>
      <c r="L263">
        <v>0</v>
      </c>
      <c r="M263">
        <v>0</v>
      </c>
      <c r="N263">
        <v>1</v>
      </c>
      <c r="O263">
        <v>0</v>
      </c>
    </row>
    <row r="264" spans="1:15" x14ac:dyDescent="0.2">
      <c r="A264" s="1" t="str">
        <f>HYPERLINK("http://www.twitter.com/banuakdenizli/status/1587110849965133831", "1587110849965133831")</f>
        <v>1587110849965133831</v>
      </c>
      <c r="B264" t="s">
        <v>15</v>
      </c>
      <c r="C264" s="2">
        <v>44865.663055555553</v>
      </c>
      <c r="D264">
        <v>0</v>
      </c>
      <c r="E264">
        <v>3</v>
      </c>
      <c r="F264" t="s">
        <v>17</v>
      </c>
      <c r="G264" t="s">
        <v>305</v>
      </c>
      <c r="H264" t="str">
        <f>HYPERLINK("https://video.twimg.com/ext_tw_video/1586989038480793602/pu/vid/1280x720/kqvRsNNZHCFnjG8a.mp4?tag=12", "https://video.twimg.com/ext_tw_video/1586989038480793602/pu/vid/1280x720/kqvRsNNZHCFnjG8a.mp4?tag=12")</f>
        <v>https://video.twimg.com/ext_tw_video/1586989038480793602/pu/vid/1280x720/kqvRsNNZHCFnjG8a.mp4?tag=12</v>
      </c>
      <c r="L264">
        <v>0</v>
      </c>
      <c r="M264">
        <v>0</v>
      </c>
      <c r="N264">
        <v>1</v>
      </c>
      <c r="O264">
        <v>0</v>
      </c>
    </row>
    <row r="265" spans="1:15" x14ac:dyDescent="0.2">
      <c r="A265" s="1" t="str">
        <f>HYPERLINK("http://www.twitter.com/banuakdenizli/status/1587110839487692806", "1587110839487692806")</f>
        <v>1587110839487692806</v>
      </c>
      <c r="B265" t="s">
        <v>15</v>
      </c>
      <c r="C265" s="2">
        <v>44865.66302083333</v>
      </c>
      <c r="D265">
        <v>0</v>
      </c>
      <c r="E265">
        <v>5</v>
      </c>
      <c r="F265" t="s">
        <v>17</v>
      </c>
      <c r="G265" t="s">
        <v>306</v>
      </c>
      <c r="H265" t="str">
        <f>HYPERLINK("http://pbs.twimg.com/media/FgQelupX0AMdTjc.jpg", "http://pbs.twimg.com/media/FgQelupX0AMdTjc.jpg")</f>
        <v>http://pbs.twimg.com/media/FgQelupX0AMdTjc.jpg</v>
      </c>
      <c r="L265">
        <v>0</v>
      </c>
      <c r="M265">
        <v>0</v>
      </c>
      <c r="N265">
        <v>1</v>
      </c>
      <c r="O265">
        <v>0</v>
      </c>
    </row>
    <row r="266" spans="1:15" x14ac:dyDescent="0.2">
      <c r="A266" s="1" t="str">
        <f>HYPERLINK("http://www.twitter.com/banuakdenizli/status/1587110821418737664", "1587110821418737664")</f>
        <v>1587110821418737664</v>
      </c>
      <c r="B266" t="s">
        <v>15</v>
      </c>
      <c r="C266" s="2">
        <v>44865.662974537037</v>
      </c>
      <c r="D266">
        <v>0</v>
      </c>
      <c r="E266">
        <v>7</v>
      </c>
      <c r="F266" t="s">
        <v>17</v>
      </c>
      <c r="G266" t="s">
        <v>307</v>
      </c>
      <c r="H266" t="str">
        <f>HYPERLINK("http://pbs.twimg.com/media/FgK-rOMWIAArjZz.jpg", "http://pbs.twimg.com/media/FgK-rOMWIAArjZz.jpg")</f>
        <v>http://pbs.twimg.com/media/FgK-rOMWIAArjZz.jpg</v>
      </c>
      <c r="I266" t="str">
        <f>HYPERLINK("http://pbs.twimg.com/media/FgK-rOaX0AIqn_N.jpg", "http://pbs.twimg.com/media/FgK-rOaX0AIqn_N.jpg")</f>
        <v>http://pbs.twimg.com/media/FgK-rOaX0AIqn_N.jpg</v>
      </c>
      <c r="L266">
        <v>0</v>
      </c>
      <c r="M266">
        <v>0</v>
      </c>
      <c r="N266">
        <v>1</v>
      </c>
      <c r="O266">
        <v>0</v>
      </c>
    </row>
    <row r="267" spans="1:15" x14ac:dyDescent="0.2">
      <c r="A267" s="1" t="str">
        <f>HYPERLINK("http://www.twitter.com/banuakdenizli/status/1587110812052774913", "1587110812052774913")</f>
        <v>1587110812052774913</v>
      </c>
      <c r="B267" t="s">
        <v>15</v>
      </c>
      <c r="C267" s="2">
        <v>44865.662951388891</v>
      </c>
      <c r="D267">
        <v>0</v>
      </c>
      <c r="E267">
        <v>2</v>
      </c>
      <c r="F267" t="s">
        <v>17</v>
      </c>
      <c r="G267" t="s">
        <v>308</v>
      </c>
      <c r="H267" t="str">
        <f>HYPERLINK("http://pbs.twimg.com/media/FgK7P47WIAAZ-FY.jpg", "http://pbs.twimg.com/media/FgK7P47WIAAZ-FY.jpg")</f>
        <v>http://pbs.twimg.com/media/FgK7P47WIAAZ-FY.jpg</v>
      </c>
      <c r="L267">
        <v>0</v>
      </c>
      <c r="M267">
        <v>0</v>
      </c>
      <c r="N267">
        <v>1</v>
      </c>
      <c r="O267">
        <v>0</v>
      </c>
    </row>
    <row r="268" spans="1:15" x14ac:dyDescent="0.2">
      <c r="A268" s="1" t="str">
        <f>HYPERLINK("http://www.twitter.com/banuakdenizli/status/1587110753651544064", "1587110753651544064")</f>
        <v>1587110753651544064</v>
      </c>
      <c r="B268" t="s">
        <v>15</v>
      </c>
      <c r="C268" s="2">
        <v>44865.662789351853</v>
      </c>
      <c r="D268">
        <v>0</v>
      </c>
      <c r="E268">
        <v>34</v>
      </c>
      <c r="F268" t="s">
        <v>18</v>
      </c>
      <c r="G268" t="s">
        <v>309</v>
      </c>
      <c r="H268" t="str">
        <f>HYPERLINK("http://pbs.twimg.com/media/FgKeGX9X0AA_6XY.jpg", "http://pbs.twimg.com/media/FgKeGX9X0AA_6XY.jpg")</f>
        <v>http://pbs.twimg.com/media/FgKeGX9X0AA_6XY.jpg</v>
      </c>
      <c r="I268" t="str">
        <f>HYPERLINK("http://pbs.twimg.com/media/FgKeGYUVQAAC300.jpg", "http://pbs.twimg.com/media/FgKeGYUVQAAC300.jpg")</f>
        <v>http://pbs.twimg.com/media/FgKeGYUVQAAC300.jpg</v>
      </c>
      <c r="L268">
        <v>0</v>
      </c>
      <c r="M268">
        <v>0</v>
      </c>
      <c r="N268">
        <v>1</v>
      </c>
      <c r="O268">
        <v>0</v>
      </c>
    </row>
    <row r="269" spans="1:15" x14ac:dyDescent="0.2">
      <c r="A269" s="1" t="str">
        <f>HYPERLINK("http://www.twitter.com/banuakdenizli/status/1587110741785645059", "1587110741785645059")</f>
        <v>1587110741785645059</v>
      </c>
      <c r="B269" t="s">
        <v>15</v>
      </c>
      <c r="C269" s="2">
        <v>44865.662754629629</v>
      </c>
      <c r="D269">
        <v>0</v>
      </c>
      <c r="E269">
        <v>28</v>
      </c>
      <c r="F269" t="s">
        <v>21</v>
      </c>
      <c r="G269" t="s">
        <v>310</v>
      </c>
      <c r="L269">
        <v>-0.71840000000000004</v>
      </c>
      <c r="M269">
        <v>0.12</v>
      </c>
      <c r="N269">
        <v>0.88</v>
      </c>
      <c r="O269">
        <v>0</v>
      </c>
    </row>
    <row r="270" spans="1:15" x14ac:dyDescent="0.2">
      <c r="A270" s="1" t="str">
        <f>HYPERLINK("http://www.twitter.com/banuakdenizli/status/1587110723678867457", "1587110723678867457")</f>
        <v>1587110723678867457</v>
      </c>
      <c r="B270" t="s">
        <v>15</v>
      </c>
      <c r="C270" s="2">
        <v>44865.662708333337</v>
      </c>
      <c r="D270">
        <v>0</v>
      </c>
      <c r="E270">
        <v>29</v>
      </c>
      <c r="F270" t="s">
        <v>20</v>
      </c>
      <c r="G270" t="s">
        <v>311</v>
      </c>
      <c r="L270">
        <v>0.85189999999999999</v>
      </c>
      <c r="M270">
        <v>0</v>
      </c>
      <c r="N270">
        <v>0.78200000000000003</v>
      </c>
      <c r="O270">
        <v>0.218</v>
      </c>
    </row>
    <row r="271" spans="1:15" x14ac:dyDescent="0.2">
      <c r="A271" s="1" t="str">
        <f>HYPERLINK("http://www.twitter.com/banuakdenizli/status/1587110712513597440", "1587110712513597440")</f>
        <v>1587110712513597440</v>
      </c>
      <c r="B271" t="s">
        <v>15</v>
      </c>
      <c r="C271" s="2">
        <v>44865.662673611107</v>
      </c>
      <c r="D271">
        <v>0</v>
      </c>
      <c r="E271">
        <v>55</v>
      </c>
      <c r="F271" t="s">
        <v>20</v>
      </c>
      <c r="G271" t="s">
        <v>312</v>
      </c>
      <c r="L271">
        <v>0</v>
      </c>
      <c r="M271">
        <v>0</v>
      </c>
      <c r="N271">
        <v>1</v>
      </c>
      <c r="O271">
        <v>0</v>
      </c>
    </row>
    <row r="272" spans="1:15" x14ac:dyDescent="0.2">
      <c r="A272" s="1" t="str">
        <f>HYPERLINK("http://www.twitter.com/banuakdenizli/status/1587110702606598146", "1587110702606598146")</f>
        <v>1587110702606598146</v>
      </c>
      <c r="B272" t="s">
        <v>15</v>
      </c>
      <c r="C272" s="2">
        <v>44865.66265046296</v>
      </c>
      <c r="D272">
        <v>0</v>
      </c>
      <c r="E272">
        <v>33</v>
      </c>
      <c r="F272" t="s">
        <v>313</v>
      </c>
      <c r="G272" t="s">
        <v>314</v>
      </c>
      <c r="H272" t="str">
        <f>HYPERLINK("http://pbs.twimg.com/media/FgOer_HWIAETrsd.jpg", "http://pbs.twimg.com/media/FgOer_HWIAETrsd.jpg")</f>
        <v>http://pbs.twimg.com/media/FgOer_HWIAETrsd.jpg</v>
      </c>
      <c r="L272">
        <v>-0.51060000000000005</v>
      </c>
      <c r="M272">
        <v>0.113</v>
      </c>
      <c r="N272">
        <v>0.88700000000000001</v>
      </c>
      <c r="O272">
        <v>0</v>
      </c>
    </row>
    <row r="273" spans="1:15" x14ac:dyDescent="0.2">
      <c r="A273" s="1" t="str">
        <f>HYPERLINK("http://www.twitter.com/banuakdenizli/status/1587110669287055362", "1587110669287055362")</f>
        <v>1587110669287055362</v>
      </c>
      <c r="B273" t="s">
        <v>15</v>
      </c>
      <c r="C273" s="2">
        <v>44865.662557870368</v>
      </c>
      <c r="D273">
        <v>0</v>
      </c>
      <c r="E273">
        <v>8</v>
      </c>
      <c r="F273" t="s">
        <v>18</v>
      </c>
      <c r="G273" t="s">
        <v>315</v>
      </c>
      <c r="H273" t="str">
        <f>HYPERLINK("http://pbs.twimg.com/media/FgQcfySXgAAT0V9.jpg", "http://pbs.twimg.com/media/FgQcfySXgAAT0V9.jpg")</f>
        <v>http://pbs.twimg.com/media/FgQcfySXgAAT0V9.jpg</v>
      </c>
      <c r="L273">
        <v>-0.29599999999999999</v>
      </c>
      <c r="M273">
        <v>0.26600000000000001</v>
      </c>
      <c r="N273">
        <v>0.56499999999999995</v>
      </c>
      <c r="O273">
        <v>0.16900000000000001</v>
      </c>
    </row>
    <row r="274" spans="1:15" x14ac:dyDescent="0.2">
      <c r="A274" s="1" t="str">
        <f>HYPERLINK("http://www.twitter.com/banuakdenizli/status/1587110647065710592", "1587110647065710592")</f>
        <v>1587110647065710592</v>
      </c>
      <c r="B274" t="s">
        <v>15</v>
      </c>
      <c r="C274" s="2">
        <v>44865.662499999999</v>
      </c>
      <c r="D274">
        <v>0</v>
      </c>
      <c r="E274">
        <v>8</v>
      </c>
      <c r="F274" t="s">
        <v>18</v>
      </c>
      <c r="G274" t="s">
        <v>316</v>
      </c>
      <c r="H274" t="str">
        <f>HYPERLINK("http://pbs.twimg.com/media/FgV0YKbWYAQCvki.jpg", "http://pbs.twimg.com/media/FgV0YKbWYAQCvki.jpg")</f>
        <v>http://pbs.twimg.com/media/FgV0YKbWYAQCvki.jpg</v>
      </c>
      <c r="I274" t="str">
        <f>HYPERLINK("http://pbs.twimg.com/media/FgV0YKUWYAUVaI6.jpg", "http://pbs.twimg.com/media/FgV0YKUWYAUVaI6.jpg")</f>
        <v>http://pbs.twimg.com/media/FgV0YKUWYAUVaI6.jpg</v>
      </c>
      <c r="J274" t="str">
        <f>HYPERLINK("http://pbs.twimg.com/media/FgV0YKUWQAMUH9m.jpg", "http://pbs.twimg.com/media/FgV0YKUWQAMUH9m.jpg")</f>
        <v>http://pbs.twimg.com/media/FgV0YKUWQAMUH9m.jpg</v>
      </c>
      <c r="K274" t="str">
        <f>HYPERLINK("http://pbs.twimg.com/media/FgV0YKWXEAMXYXi.jpg", "http://pbs.twimg.com/media/FgV0YKWXEAMXYXi.jpg")</f>
        <v>http://pbs.twimg.com/media/FgV0YKWXEAMXYXi.jpg</v>
      </c>
      <c r="L274">
        <v>0</v>
      </c>
      <c r="M274">
        <v>0</v>
      </c>
      <c r="N274">
        <v>1</v>
      </c>
      <c r="O274">
        <v>0</v>
      </c>
    </row>
    <row r="275" spans="1:15" x14ac:dyDescent="0.2">
      <c r="A275" s="1" t="str">
        <f>HYPERLINK("http://www.twitter.com/banuakdenizli/status/1587110617416097792", "1587110617416097792")</f>
        <v>1587110617416097792</v>
      </c>
      <c r="B275" t="s">
        <v>15</v>
      </c>
      <c r="C275" s="2">
        <v>44865.662407407413</v>
      </c>
      <c r="D275">
        <v>0</v>
      </c>
      <c r="E275">
        <v>7</v>
      </c>
      <c r="F275" t="s">
        <v>18</v>
      </c>
      <c r="G275" t="s">
        <v>317</v>
      </c>
      <c r="H275" t="str">
        <f>HYPERLINK("https://video.twimg.com/ext_tw_video/1586989970710994945/pu/vid/1280x720/jBhfASTNKNXCw6IM.mp4?tag=12", "https://video.twimg.com/ext_tw_video/1586989970710994945/pu/vid/1280x720/jBhfASTNKNXCw6IM.mp4?tag=12")</f>
        <v>https://video.twimg.com/ext_tw_video/1586989970710994945/pu/vid/1280x720/jBhfASTNKNXCw6IM.mp4?tag=12</v>
      </c>
      <c r="L275">
        <v>-0.1363</v>
      </c>
      <c r="M275">
        <v>5.8999999999999997E-2</v>
      </c>
      <c r="N275">
        <v>0.89200000000000002</v>
      </c>
      <c r="O275">
        <v>4.9000000000000002E-2</v>
      </c>
    </row>
    <row r="276" spans="1:15" x14ac:dyDescent="0.2">
      <c r="A276" s="1" t="str">
        <f>HYPERLINK("http://www.twitter.com/banuakdenizli/status/1587110554224791554", "1587110554224791554")</f>
        <v>1587110554224791554</v>
      </c>
      <c r="B276" t="s">
        <v>15</v>
      </c>
      <c r="C276" s="2">
        <v>44865.662233796298</v>
      </c>
      <c r="D276">
        <v>0</v>
      </c>
      <c r="E276">
        <v>205</v>
      </c>
      <c r="F276" t="s">
        <v>16</v>
      </c>
      <c r="G276" t="s">
        <v>318</v>
      </c>
      <c r="H276" t="str">
        <f>HYPERLINK("http://pbs.twimg.com/media/FgKQ3USXkAAVruz.jpg", "http://pbs.twimg.com/media/FgKQ3USXkAAVruz.jpg")</f>
        <v>http://pbs.twimg.com/media/FgKQ3USXkAAVruz.jpg</v>
      </c>
      <c r="I276" t="str">
        <f>HYPERLINK("http://pbs.twimg.com/media/FgKQ5EvWYAIYBHR.jpg", "http://pbs.twimg.com/media/FgKQ5EvWYAIYBHR.jpg")</f>
        <v>http://pbs.twimg.com/media/FgKQ5EvWYAIYBHR.jpg</v>
      </c>
      <c r="L276">
        <v>0</v>
      </c>
      <c r="M276">
        <v>0</v>
      </c>
      <c r="N276">
        <v>1</v>
      </c>
      <c r="O276">
        <v>0</v>
      </c>
    </row>
    <row r="277" spans="1:15" x14ac:dyDescent="0.2">
      <c r="A277" s="1" t="str">
        <f>HYPERLINK("http://www.twitter.com/banuakdenizli/status/1587110543109783553", "1587110543109783553")</f>
        <v>1587110543109783553</v>
      </c>
      <c r="B277" t="s">
        <v>15</v>
      </c>
      <c r="C277" s="2">
        <v>44865.662210648137</v>
      </c>
      <c r="D277">
        <v>0</v>
      </c>
      <c r="E277">
        <v>120</v>
      </c>
      <c r="F277" t="s">
        <v>21</v>
      </c>
      <c r="G277" t="s">
        <v>319</v>
      </c>
      <c r="L277">
        <v>0</v>
      </c>
      <c r="M277">
        <v>0</v>
      </c>
      <c r="N277">
        <v>1</v>
      </c>
      <c r="O277">
        <v>0</v>
      </c>
    </row>
    <row r="278" spans="1:15" x14ac:dyDescent="0.2">
      <c r="A278" s="1" t="str">
        <f>HYPERLINK("http://www.twitter.com/banuakdenizli/status/1587110469533372417", "1587110469533372417")</f>
        <v>1587110469533372417</v>
      </c>
      <c r="B278" t="s">
        <v>15</v>
      </c>
      <c r="C278" s="2">
        <v>44865.662002314813</v>
      </c>
      <c r="D278">
        <v>0</v>
      </c>
      <c r="E278">
        <v>214</v>
      </c>
      <c r="F278" t="s">
        <v>313</v>
      </c>
      <c r="G278" t="s">
        <v>320</v>
      </c>
      <c r="H278" t="str">
        <f>HYPERLINK("http://pbs.twimg.com/media/FgOeYk8WQAEpvB4.jpg", "http://pbs.twimg.com/media/FgOeYk8WQAEpvB4.jpg")</f>
        <v>http://pbs.twimg.com/media/FgOeYk8WQAEpvB4.jpg</v>
      </c>
      <c r="L278">
        <v>0</v>
      </c>
      <c r="M278">
        <v>0</v>
      </c>
      <c r="N278">
        <v>1</v>
      </c>
      <c r="O278">
        <v>0</v>
      </c>
    </row>
    <row r="279" spans="1:15" x14ac:dyDescent="0.2">
      <c r="A279" s="1" t="str">
        <f>HYPERLINK("http://www.twitter.com/banuakdenizli/status/1587110408355282944", "1587110408355282944")</f>
        <v>1587110408355282944</v>
      </c>
      <c r="B279" t="s">
        <v>15</v>
      </c>
      <c r="C279" s="2">
        <v>44865.661840277768</v>
      </c>
      <c r="D279">
        <v>0</v>
      </c>
      <c r="E279">
        <v>6</v>
      </c>
      <c r="F279" t="s">
        <v>16</v>
      </c>
      <c r="G279" t="s">
        <v>321</v>
      </c>
      <c r="H279" t="str">
        <f>HYPERLINK("http://pbs.twimg.com/media/FgPsvOPXoAAvaDM.jpg", "http://pbs.twimg.com/media/FgPsvOPXoAAvaDM.jpg")</f>
        <v>http://pbs.twimg.com/media/FgPsvOPXoAAvaDM.jpg</v>
      </c>
      <c r="I279" t="str">
        <f>HYPERLINK("http://pbs.twimg.com/media/FgPsvMSWQAAz4Op.jpg", "http://pbs.twimg.com/media/FgPsvMSWQAAz4Op.jpg")</f>
        <v>http://pbs.twimg.com/media/FgPsvMSWQAAz4Op.jpg</v>
      </c>
      <c r="L279">
        <v>0</v>
      </c>
      <c r="M279">
        <v>0</v>
      </c>
      <c r="N279">
        <v>1</v>
      </c>
      <c r="O279">
        <v>0</v>
      </c>
    </row>
    <row r="280" spans="1:15" x14ac:dyDescent="0.2">
      <c r="A280" s="1" t="str">
        <f>HYPERLINK("http://www.twitter.com/banuakdenizli/status/1587110368316456961", "1587110368316456961")</f>
        <v>1587110368316456961</v>
      </c>
      <c r="B280" t="s">
        <v>15</v>
      </c>
      <c r="C280" s="2">
        <v>44865.661724537043</v>
      </c>
      <c r="D280">
        <v>0</v>
      </c>
      <c r="E280">
        <v>18</v>
      </c>
      <c r="F280" t="s">
        <v>16</v>
      </c>
      <c r="G280" t="s">
        <v>322</v>
      </c>
      <c r="H280" t="str">
        <f>HYPERLINK("http://pbs.twimg.com/media/FgT9sJXX0AET6vO.jpg", "http://pbs.twimg.com/media/FgT9sJXX0AET6vO.jpg")</f>
        <v>http://pbs.twimg.com/media/FgT9sJXX0AET6vO.jpg</v>
      </c>
      <c r="I280" t="str">
        <f>HYPERLINK("http://pbs.twimg.com/media/FgT9uKZWQAEExQ_.jpg", "http://pbs.twimg.com/media/FgT9uKZWQAEExQ_.jpg")</f>
        <v>http://pbs.twimg.com/media/FgT9uKZWQAEExQ_.jpg</v>
      </c>
      <c r="J280" t="str">
        <f>HYPERLINK("http://pbs.twimg.com/media/FgT9uLKWIAM24kK.jpg", "http://pbs.twimg.com/media/FgT9uLKWIAM24kK.jpg")</f>
        <v>http://pbs.twimg.com/media/FgT9uLKWIAM24kK.jpg</v>
      </c>
      <c r="K280" t="str">
        <f>HYPERLINK("http://pbs.twimg.com/media/FgT9uLNX0AAjCMR.jpg", "http://pbs.twimg.com/media/FgT9uLNX0AAjCMR.jpg")</f>
        <v>http://pbs.twimg.com/media/FgT9uLNX0AAjCMR.jpg</v>
      </c>
      <c r="L280">
        <v>0</v>
      </c>
      <c r="M280">
        <v>0</v>
      </c>
      <c r="N280">
        <v>1</v>
      </c>
      <c r="O280">
        <v>0</v>
      </c>
    </row>
    <row r="281" spans="1:15" x14ac:dyDescent="0.2">
      <c r="A281" s="1" t="str">
        <f>HYPERLINK("http://www.twitter.com/banuakdenizli/status/1587110343716782081", "1587110343716782081")</f>
        <v>1587110343716782081</v>
      </c>
      <c r="B281" t="s">
        <v>15</v>
      </c>
      <c r="C281" s="2">
        <v>44865.66165509259</v>
      </c>
      <c r="D281">
        <v>0</v>
      </c>
      <c r="E281">
        <v>22</v>
      </c>
      <c r="F281" t="s">
        <v>16</v>
      </c>
      <c r="G281" t="s">
        <v>323</v>
      </c>
      <c r="H281" t="str">
        <f>HYPERLINK("https://video.twimg.com/ext_tw_video/1586684346970292226/pu/vid/1280x720/YY3cIuJObb5ixoeD.mp4?tag=12", "https://video.twimg.com/ext_tw_video/1586684346970292226/pu/vid/1280x720/YY3cIuJObb5ixoeD.mp4?tag=12")</f>
        <v>https://video.twimg.com/ext_tw_video/1586684346970292226/pu/vid/1280x720/YY3cIuJObb5ixoeD.mp4?tag=12</v>
      </c>
      <c r="L281">
        <v>0</v>
      </c>
      <c r="M281">
        <v>0</v>
      </c>
      <c r="N281">
        <v>1</v>
      </c>
      <c r="O281">
        <v>0</v>
      </c>
    </row>
    <row r="282" spans="1:15" x14ac:dyDescent="0.2">
      <c r="A282" s="1" t="str">
        <f>HYPERLINK("http://www.twitter.com/banuakdenizli/status/1587110309873025025", "1587110309873025025")</f>
        <v>1587110309873025025</v>
      </c>
      <c r="B282" t="s">
        <v>15</v>
      </c>
      <c r="C282" s="2">
        <v>44865.661562499998</v>
      </c>
      <c r="D282">
        <v>0</v>
      </c>
      <c r="E282">
        <v>10</v>
      </c>
      <c r="F282" t="s">
        <v>16</v>
      </c>
      <c r="G282" t="s">
        <v>324</v>
      </c>
      <c r="H282" t="str">
        <f>HYPERLINK("http://pbs.twimg.com/media/FgUdi_mWIAAN_26.jpg", "http://pbs.twimg.com/media/FgUdi_mWIAAN_26.jpg")</f>
        <v>http://pbs.twimg.com/media/FgUdi_mWIAAN_26.jpg</v>
      </c>
      <c r="I282" t="str">
        <f>HYPERLINK("http://pbs.twimg.com/media/FgUdi9jXkAAO4WQ.jpg", "http://pbs.twimg.com/media/FgUdi9jXkAAO4WQ.jpg")</f>
        <v>http://pbs.twimg.com/media/FgUdi9jXkAAO4WQ.jpg</v>
      </c>
      <c r="L282">
        <v>0</v>
      </c>
      <c r="M282">
        <v>0</v>
      </c>
      <c r="N282">
        <v>1</v>
      </c>
      <c r="O282">
        <v>0</v>
      </c>
    </row>
    <row r="283" spans="1:15" x14ac:dyDescent="0.2">
      <c r="A283" s="1" t="str">
        <f>HYPERLINK("http://www.twitter.com/banuakdenizli/status/1587110291153850368", "1587110291153850368")</f>
        <v>1587110291153850368</v>
      </c>
      <c r="B283" t="s">
        <v>15</v>
      </c>
      <c r="C283" s="2">
        <v>44865.661516203712</v>
      </c>
      <c r="D283">
        <v>0</v>
      </c>
      <c r="E283">
        <v>12</v>
      </c>
      <c r="F283" t="s">
        <v>16</v>
      </c>
      <c r="G283" t="s">
        <v>325</v>
      </c>
      <c r="H283" t="str">
        <f>HYPERLINK("https://video.twimg.com/ext_tw_video/1586708797418082304/pu/vid/1280x720/nDjdVKx341LPTLhF.mp4?tag=12", "https://video.twimg.com/ext_tw_video/1586708797418082304/pu/vid/1280x720/nDjdVKx341LPTLhF.mp4?tag=12")</f>
        <v>https://video.twimg.com/ext_tw_video/1586708797418082304/pu/vid/1280x720/nDjdVKx341LPTLhF.mp4?tag=12</v>
      </c>
      <c r="L283">
        <v>0</v>
      </c>
      <c r="M283">
        <v>0</v>
      </c>
      <c r="N283">
        <v>1</v>
      </c>
      <c r="O283">
        <v>0</v>
      </c>
    </row>
    <row r="284" spans="1:15" x14ac:dyDescent="0.2">
      <c r="A284" s="1" t="str">
        <f>HYPERLINK("http://www.twitter.com/banuakdenizli/status/1587110254944419842", "1587110254944419842")</f>
        <v>1587110254944419842</v>
      </c>
      <c r="B284" t="s">
        <v>15</v>
      </c>
      <c r="C284" s="2">
        <v>44865.661412037043</v>
      </c>
      <c r="D284">
        <v>0</v>
      </c>
      <c r="E284">
        <v>182</v>
      </c>
      <c r="F284" t="s">
        <v>23</v>
      </c>
      <c r="G284" t="s">
        <v>326</v>
      </c>
      <c r="L284">
        <v>0</v>
      </c>
      <c r="M284">
        <v>0</v>
      </c>
      <c r="N284">
        <v>1</v>
      </c>
      <c r="O284">
        <v>0</v>
      </c>
    </row>
    <row r="285" spans="1:15" x14ac:dyDescent="0.2">
      <c r="A285" s="1" t="str">
        <f>HYPERLINK("http://www.twitter.com/banuakdenizli/status/1587110177463042049", "1587110177463042049")</f>
        <v>1587110177463042049</v>
      </c>
      <c r="B285" t="s">
        <v>15</v>
      </c>
      <c r="C285" s="2">
        <v>44865.661203703698</v>
      </c>
      <c r="D285">
        <v>0</v>
      </c>
      <c r="E285">
        <v>64</v>
      </c>
      <c r="F285" t="s">
        <v>303</v>
      </c>
      <c r="G285" t="s">
        <v>327</v>
      </c>
      <c r="H285" t="str">
        <f>HYPERLINK("https://video.twimg.com/amplify_video/1586456249985830913/vid/720x720/1gqBD8lk6uZohvo2.mp4?tag=14", "https://video.twimg.com/amplify_video/1586456249985830913/vid/720x720/1gqBD8lk6uZohvo2.mp4?tag=14")</f>
        <v>https://video.twimg.com/amplify_video/1586456249985830913/vid/720x720/1gqBD8lk6uZohvo2.mp4?tag=14</v>
      </c>
      <c r="L285">
        <v>0</v>
      </c>
      <c r="M285">
        <v>0</v>
      </c>
      <c r="N285">
        <v>1</v>
      </c>
      <c r="O285">
        <v>0</v>
      </c>
    </row>
    <row r="286" spans="1:15" x14ac:dyDescent="0.2">
      <c r="A286" s="1" t="str">
        <f>HYPERLINK("http://www.twitter.com/banuakdenizli/status/1587110139668070400", "1587110139668070400")</f>
        <v>1587110139668070400</v>
      </c>
      <c r="B286" t="s">
        <v>15</v>
      </c>
      <c r="C286" s="2">
        <v>44865.661099537043</v>
      </c>
      <c r="D286">
        <v>0</v>
      </c>
      <c r="E286">
        <v>19</v>
      </c>
      <c r="F286" t="s">
        <v>16</v>
      </c>
      <c r="G286" t="s">
        <v>328</v>
      </c>
      <c r="H286" t="str">
        <f>HYPERLINK("https://video.twimg.com/ext_tw_video/1586971391420780544/pu/vid/1280x720/N3FV9TY4NbhJDL3x.mp4?tag=12", "https://video.twimg.com/ext_tw_video/1586971391420780544/pu/vid/1280x720/N3FV9TY4NbhJDL3x.mp4?tag=12")</f>
        <v>https://video.twimg.com/ext_tw_video/1586971391420780544/pu/vid/1280x720/N3FV9TY4NbhJDL3x.mp4?tag=12</v>
      </c>
      <c r="L286">
        <v>0</v>
      </c>
      <c r="M286">
        <v>0</v>
      </c>
      <c r="N286">
        <v>1</v>
      </c>
      <c r="O286">
        <v>0</v>
      </c>
    </row>
    <row r="287" spans="1:15" x14ac:dyDescent="0.2">
      <c r="A287" s="1" t="str">
        <f>HYPERLINK("http://www.twitter.com/banuakdenizli/status/1587110118654726144", "1587110118654726144")</f>
        <v>1587110118654726144</v>
      </c>
      <c r="B287" t="s">
        <v>15</v>
      </c>
      <c r="C287" s="2">
        <v>44865.661041666674</v>
      </c>
      <c r="D287">
        <v>0</v>
      </c>
      <c r="E287">
        <v>16</v>
      </c>
      <c r="F287" t="s">
        <v>16</v>
      </c>
      <c r="G287" t="s">
        <v>329</v>
      </c>
      <c r="H287" t="str">
        <f>HYPERLINK("https://video.twimg.com/ext_tw_video/1587032881217654794/pu/vid/1280x720/0aLc_oQ5r49tRfsC.mp4?tag=12", "https://video.twimg.com/ext_tw_video/1587032881217654794/pu/vid/1280x720/0aLc_oQ5r49tRfsC.mp4?tag=12")</f>
        <v>https://video.twimg.com/ext_tw_video/1587032881217654794/pu/vid/1280x720/0aLc_oQ5r49tRfsC.mp4?tag=12</v>
      </c>
      <c r="L287">
        <v>0</v>
      </c>
      <c r="M287">
        <v>0</v>
      </c>
      <c r="N287">
        <v>1</v>
      </c>
      <c r="O287">
        <v>0</v>
      </c>
    </row>
    <row r="288" spans="1:15" x14ac:dyDescent="0.2">
      <c r="A288" s="1" t="str">
        <f>HYPERLINK("http://www.twitter.com/banuakdenizli/status/1587110103483879429", "1587110103483879429")</f>
        <v>1587110103483879429</v>
      </c>
      <c r="B288" t="s">
        <v>15</v>
      </c>
      <c r="C288" s="2">
        <v>44865.660995370366</v>
      </c>
      <c r="D288">
        <v>0</v>
      </c>
      <c r="E288">
        <v>10</v>
      </c>
      <c r="F288" t="s">
        <v>18</v>
      </c>
      <c r="G288" t="s">
        <v>330</v>
      </c>
      <c r="H288" t="str">
        <f>HYPERLINK("http://pbs.twimg.com/media/FgZJ57eXkAEozLW.jpg", "http://pbs.twimg.com/media/FgZJ57eXkAEozLW.jpg")</f>
        <v>http://pbs.twimg.com/media/FgZJ57eXkAEozLW.jpg</v>
      </c>
      <c r="I288" t="str">
        <f>HYPERLINK("http://pbs.twimg.com/media/FgZJ66YXgAEEJCA.jpg", "http://pbs.twimg.com/media/FgZJ66YXgAEEJCA.jpg")</f>
        <v>http://pbs.twimg.com/media/FgZJ66YXgAEEJCA.jpg</v>
      </c>
      <c r="L288">
        <v>0</v>
      </c>
      <c r="M288">
        <v>0</v>
      </c>
      <c r="N288">
        <v>1</v>
      </c>
      <c r="O288">
        <v>0</v>
      </c>
    </row>
    <row r="289" spans="1:15" x14ac:dyDescent="0.2">
      <c r="A289" s="1" t="str">
        <f>HYPERLINK("http://www.twitter.com/banuakdenizli/status/1587110093597949956", "1587110093597949956")</f>
        <v>1587110093597949956</v>
      </c>
      <c r="B289" t="s">
        <v>15</v>
      </c>
      <c r="C289" s="2">
        <v>44865.66097222222</v>
      </c>
      <c r="D289">
        <v>0</v>
      </c>
      <c r="E289">
        <v>14</v>
      </c>
      <c r="F289" t="s">
        <v>16</v>
      </c>
      <c r="G289" t="s">
        <v>331</v>
      </c>
      <c r="H289" t="str">
        <f>HYPERLINK("http://pbs.twimg.com/media/FgZaomSWAAAZx-3.jpg", "http://pbs.twimg.com/media/FgZaomSWAAAZx-3.jpg")</f>
        <v>http://pbs.twimg.com/media/FgZaomSWAAAZx-3.jpg</v>
      </c>
      <c r="L289">
        <v>0</v>
      </c>
      <c r="M289">
        <v>0</v>
      </c>
      <c r="N289">
        <v>1</v>
      </c>
      <c r="O289">
        <v>0</v>
      </c>
    </row>
    <row r="290" spans="1:15" x14ac:dyDescent="0.2">
      <c r="A290" s="1" t="str">
        <f>HYPERLINK("http://www.twitter.com/banuakdenizli/status/1587110076774506497", "1587110076774506497")</f>
        <v>1587110076774506497</v>
      </c>
      <c r="B290" t="s">
        <v>15</v>
      </c>
      <c r="C290" s="2">
        <v>44865.660925925928</v>
      </c>
      <c r="D290">
        <v>0</v>
      </c>
      <c r="E290">
        <v>44</v>
      </c>
      <c r="F290" t="s">
        <v>20</v>
      </c>
      <c r="G290" t="s">
        <v>332</v>
      </c>
      <c r="H290" t="str">
        <f>HYPERLINK("http://pbs.twimg.com/media/FgY47O-WQAAEi7c.jpg", "http://pbs.twimg.com/media/FgY47O-WQAAEi7c.jpg")</f>
        <v>http://pbs.twimg.com/media/FgY47O-WQAAEi7c.jpg</v>
      </c>
      <c r="L290">
        <v>0</v>
      </c>
      <c r="M290">
        <v>0</v>
      </c>
      <c r="N290">
        <v>1</v>
      </c>
      <c r="O290">
        <v>0</v>
      </c>
    </row>
    <row r="291" spans="1:15" x14ac:dyDescent="0.2">
      <c r="A291" s="1" t="str">
        <f>HYPERLINK("http://www.twitter.com/banuakdenizli/status/1587110058047021058", "1587110058047021058")</f>
        <v>1587110058047021058</v>
      </c>
      <c r="B291" t="s">
        <v>15</v>
      </c>
      <c r="C291" s="2">
        <v>44865.660868055558</v>
      </c>
      <c r="D291">
        <v>0</v>
      </c>
      <c r="E291">
        <v>13</v>
      </c>
      <c r="F291" t="s">
        <v>18</v>
      </c>
      <c r="G291" t="s">
        <v>333</v>
      </c>
      <c r="H291" t="str">
        <f>HYPERLINK("http://pbs.twimg.com/media/FgU_1aiXEAAmb-r.jpg", "http://pbs.twimg.com/media/FgU_1aiXEAAmb-r.jpg")</f>
        <v>http://pbs.twimg.com/media/FgU_1aiXEAAmb-r.jpg</v>
      </c>
      <c r="I291" t="str">
        <f>HYPERLINK("http://pbs.twimg.com/media/FgU_1apXEAAa09G.jpg", "http://pbs.twimg.com/media/FgU_1apXEAAa09G.jpg")</f>
        <v>http://pbs.twimg.com/media/FgU_1apXEAAa09G.jpg</v>
      </c>
      <c r="L291">
        <v>0</v>
      </c>
      <c r="M291">
        <v>0</v>
      </c>
      <c r="N291">
        <v>1</v>
      </c>
      <c r="O291">
        <v>0</v>
      </c>
    </row>
    <row r="292" spans="1:15" x14ac:dyDescent="0.2">
      <c r="A292" s="1" t="str">
        <f>HYPERLINK("http://www.twitter.com/banuakdenizli/status/1587110040762302466", "1587110040762302466")</f>
        <v>1587110040762302466</v>
      </c>
      <c r="B292" t="s">
        <v>15</v>
      </c>
      <c r="C292" s="2">
        <v>44865.660821759258</v>
      </c>
      <c r="D292">
        <v>0</v>
      </c>
      <c r="E292">
        <v>12</v>
      </c>
      <c r="F292" t="s">
        <v>16</v>
      </c>
      <c r="G292" t="s">
        <v>334</v>
      </c>
      <c r="H292" t="str">
        <f>HYPERLINK("http://pbs.twimg.com/media/FgY4E4eXEAUo8ma.jpg", "http://pbs.twimg.com/media/FgY4E4eXEAUo8ma.jpg")</f>
        <v>http://pbs.twimg.com/media/FgY4E4eXEAUo8ma.jpg</v>
      </c>
      <c r="I292" t="str">
        <f>HYPERLINK("http://pbs.twimg.com/media/FgY4F74XgAQ7qpB.jpg", "http://pbs.twimg.com/media/FgY4F74XgAQ7qpB.jpg")</f>
        <v>http://pbs.twimg.com/media/FgY4F74XgAQ7qpB.jpg</v>
      </c>
      <c r="L292">
        <v>0</v>
      </c>
      <c r="M292">
        <v>0</v>
      </c>
      <c r="N292">
        <v>1</v>
      </c>
      <c r="O292">
        <v>0</v>
      </c>
    </row>
    <row r="293" spans="1:15" x14ac:dyDescent="0.2">
      <c r="A293" s="1" t="str">
        <f>HYPERLINK("http://www.twitter.com/banuakdenizli/status/1587110015504113666", "1587110015504113666")</f>
        <v>1587110015504113666</v>
      </c>
      <c r="B293" t="s">
        <v>15</v>
      </c>
      <c r="C293" s="2">
        <v>44865.660752314812</v>
      </c>
      <c r="D293">
        <v>0</v>
      </c>
      <c r="E293">
        <v>45</v>
      </c>
      <c r="F293" t="s">
        <v>20</v>
      </c>
      <c r="G293" t="s">
        <v>335</v>
      </c>
      <c r="H293" t="str">
        <f>HYPERLINK("http://pbs.twimg.com/media/FgY76-aWAAIYwcd.jpg", "http://pbs.twimg.com/media/FgY76-aWAAIYwcd.jpg")</f>
        <v>http://pbs.twimg.com/media/FgY76-aWAAIYwcd.jpg</v>
      </c>
      <c r="L293">
        <v>0.72689999999999999</v>
      </c>
      <c r="M293">
        <v>0</v>
      </c>
      <c r="N293">
        <v>0.873</v>
      </c>
      <c r="O293">
        <v>0.127</v>
      </c>
    </row>
    <row r="294" spans="1:15" x14ac:dyDescent="0.2">
      <c r="A294" s="1" t="str">
        <f>HYPERLINK("http://www.twitter.com/banuakdenizli/status/1585982346359996416", "1585982346359996416")</f>
        <v>1585982346359996416</v>
      </c>
      <c r="B294" t="s">
        <v>15</v>
      </c>
      <c r="C294" s="2">
        <v>44862.548981481479</v>
      </c>
      <c r="D294">
        <v>0</v>
      </c>
      <c r="E294">
        <v>6</v>
      </c>
      <c r="F294" t="s">
        <v>17</v>
      </c>
      <c r="G294" t="s">
        <v>336</v>
      </c>
      <c r="H294" t="str">
        <f>HYPERLINK("http://pbs.twimg.com/media/FgG2HJJXkAEX1yv.jpg", "http://pbs.twimg.com/media/FgG2HJJXkAEX1yv.jpg")</f>
        <v>http://pbs.twimg.com/media/FgG2HJJXkAEX1yv.jpg</v>
      </c>
      <c r="L294">
        <v>0</v>
      </c>
      <c r="M294">
        <v>0</v>
      </c>
      <c r="N294">
        <v>1</v>
      </c>
      <c r="O294">
        <v>0</v>
      </c>
    </row>
    <row r="295" spans="1:15" x14ac:dyDescent="0.2">
      <c r="A295" s="1" t="str">
        <f>HYPERLINK("http://www.twitter.com/banuakdenizli/status/1585982071855800321", "1585982071855800321")</f>
        <v>1585982071855800321</v>
      </c>
      <c r="B295" t="s">
        <v>15</v>
      </c>
      <c r="C295" s="2">
        <v>44862.548217592594</v>
      </c>
      <c r="D295">
        <v>0</v>
      </c>
      <c r="E295">
        <v>8</v>
      </c>
      <c r="F295" t="s">
        <v>18</v>
      </c>
      <c r="G295" t="s">
        <v>337</v>
      </c>
      <c r="H295" t="str">
        <f>HYPERLINK("http://pbs.twimg.com/media/FgFVJkBUAAM28ee.jpg", "http://pbs.twimg.com/media/FgFVJkBUAAM28ee.jpg")</f>
        <v>http://pbs.twimg.com/media/FgFVJkBUAAM28ee.jpg</v>
      </c>
      <c r="L295">
        <v>-0.40189999999999998</v>
      </c>
      <c r="M295">
        <v>0.24099999999999999</v>
      </c>
      <c r="N295">
        <v>0.65300000000000002</v>
      </c>
      <c r="O295">
        <v>0.106</v>
      </c>
    </row>
    <row r="296" spans="1:15" x14ac:dyDescent="0.2">
      <c r="A296" s="1" t="str">
        <f>HYPERLINK("http://www.twitter.com/banuakdenizli/status/1585982061571366915", "1585982061571366915")</f>
        <v>1585982061571366915</v>
      </c>
      <c r="B296" t="s">
        <v>15</v>
      </c>
      <c r="C296" s="2">
        <v>44862.548194444447</v>
      </c>
      <c r="D296">
        <v>0</v>
      </c>
      <c r="E296">
        <v>5</v>
      </c>
      <c r="F296" t="s">
        <v>18</v>
      </c>
      <c r="G296" t="s">
        <v>338</v>
      </c>
      <c r="H296" t="str">
        <f>HYPERLINK("http://pbs.twimg.com/media/FgFb6tfVQAEeNYm.jpg", "http://pbs.twimg.com/media/FgFb6tfVQAEeNYm.jpg")</f>
        <v>http://pbs.twimg.com/media/FgFb6tfVQAEeNYm.jpg</v>
      </c>
      <c r="L296">
        <v>0</v>
      </c>
      <c r="M296">
        <v>0</v>
      </c>
      <c r="N296">
        <v>1</v>
      </c>
      <c r="O296">
        <v>0</v>
      </c>
    </row>
    <row r="297" spans="1:15" x14ac:dyDescent="0.2">
      <c r="A297" s="1" t="str">
        <f>HYPERLINK("http://www.twitter.com/banuakdenizli/status/1585982046907809792", "1585982046907809792")</f>
        <v>1585982046907809792</v>
      </c>
      <c r="B297" t="s">
        <v>15</v>
      </c>
      <c r="C297" s="2">
        <v>44862.548148148147</v>
      </c>
      <c r="D297">
        <v>0</v>
      </c>
      <c r="E297">
        <v>13</v>
      </c>
      <c r="F297" t="s">
        <v>18</v>
      </c>
      <c r="G297" t="s">
        <v>339</v>
      </c>
      <c r="H297" t="str">
        <f>HYPERLINK("http://pbs.twimg.com/media/FgFjBl1XgAMR78P.jpg", "http://pbs.twimg.com/media/FgFjBl1XgAMR78P.jpg")</f>
        <v>http://pbs.twimg.com/media/FgFjBl1XgAMR78P.jpg</v>
      </c>
      <c r="I297" t="str">
        <f>HYPERLINK("http://pbs.twimg.com/media/FgFjH8eWAAIDpZz.jpg", "http://pbs.twimg.com/media/FgFjH8eWAAIDpZz.jpg")</f>
        <v>http://pbs.twimg.com/media/FgFjH8eWAAIDpZz.jpg</v>
      </c>
      <c r="J297" t="str">
        <f>HYPERLINK("http://pbs.twimg.com/media/FgFjH8hWYAEmi02.jpg", "http://pbs.twimg.com/media/FgFjH8hWYAEmi02.jpg")</f>
        <v>http://pbs.twimg.com/media/FgFjH8hWYAEmi02.jpg</v>
      </c>
      <c r="L297">
        <v>0</v>
      </c>
      <c r="M297">
        <v>0</v>
      </c>
      <c r="N297">
        <v>1</v>
      </c>
      <c r="O297">
        <v>0</v>
      </c>
    </row>
    <row r="298" spans="1:15" x14ac:dyDescent="0.2">
      <c r="A298" s="1" t="str">
        <f>HYPERLINK("http://www.twitter.com/banuakdenizli/status/1585982020869505024", "1585982020869505024")</f>
        <v>1585982020869505024</v>
      </c>
      <c r="B298" t="s">
        <v>15</v>
      </c>
      <c r="C298" s="2">
        <v>44862.548078703701</v>
      </c>
      <c r="D298">
        <v>0</v>
      </c>
      <c r="E298">
        <v>6</v>
      </c>
      <c r="F298" t="s">
        <v>18</v>
      </c>
      <c r="G298" t="s">
        <v>340</v>
      </c>
      <c r="H298" t="str">
        <f>HYPERLINK("http://pbs.twimg.com/media/FgGz2CoXEAUiSwF.jpg", "http://pbs.twimg.com/media/FgGz2CoXEAUiSwF.jpg")</f>
        <v>http://pbs.twimg.com/media/FgGz2CoXEAUiSwF.jpg</v>
      </c>
      <c r="I298" t="str">
        <f>HYPERLINK("http://pbs.twimg.com/media/FgGz2CnXkAMhHiR.jpg", "http://pbs.twimg.com/media/FgGz2CnXkAMhHiR.jpg")</f>
        <v>http://pbs.twimg.com/media/FgGz2CnXkAMhHiR.jpg</v>
      </c>
      <c r="J298" t="str">
        <f>HYPERLINK("http://pbs.twimg.com/media/FgGz2CtXEAIb4yY.jpg", "http://pbs.twimg.com/media/FgGz2CtXEAIb4yY.jpg")</f>
        <v>http://pbs.twimg.com/media/FgGz2CtXEAIb4yY.jpg</v>
      </c>
      <c r="K298" t="str">
        <f>HYPERLINK("http://pbs.twimg.com/media/FgGz2CtXoAEd7wL.jpg", "http://pbs.twimg.com/media/FgGz2CtXoAEd7wL.jpg")</f>
        <v>http://pbs.twimg.com/media/FgGz2CtXoAEd7wL.jpg</v>
      </c>
      <c r="L298">
        <v>0</v>
      </c>
      <c r="M298">
        <v>0</v>
      </c>
      <c r="N298">
        <v>1</v>
      </c>
      <c r="O298">
        <v>0</v>
      </c>
    </row>
    <row r="299" spans="1:15" x14ac:dyDescent="0.2">
      <c r="A299" s="1" t="str">
        <f>HYPERLINK("http://www.twitter.com/banuakdenizli/status/1585982012703313920", "1585982012703313920")</f>
        <v>1585982012703313920</v>
      </c>
      <c r="B299" t="s">
        <v>15</v>
      </c>
      <c r="C299" s="2">
        <v>44862.548055555562</v>
      </c>
      <c r="D299">
        <v>0</v>
      </c>
      <c r="E299">
        <v>16</v>
      </c>
      <c r="F299" t="s">
        <v>18</v>
      </c>
      <c r="G299" t="s">
        <v>341</v>
      </c>
      <c r="H299" t="str">
        <f>HYPERLINK("http://pbs.twimg.com/media/FgGz047WYAEHUuq.jpg", "http://pbs.twimg.com/media/FgGz047WYAEHUuq.jpg")</f>
        <v>http://pbs.twimg.com/media/FgGz047WYAEHUuq.jpg</v>
      </c>
      <c r="I299" t="str">
        <f>HYPERLINK("http://pbs.twimg.com/media/FgGz05EXwAE56Pw.jpg", "http://pbs.twimg.com/media/FgGz05EXwAE56Pw.jpg")</f>
        <v>http://pbs.twimg.com/media/FgGz05EXwAE56Pw.jpg</v>
      </c>
      <c r="J299" t="str">
        <f>HYPERLINK("http://pbs.twimg.com/media/FgGz05BXkAgqyaL.jpg", "http://pbs.twimg.com/media/FgGz05BXkAgqyaL.jpg")</f>
        <v>http://pbs.twimg.com/media/FgGz05BXkAgqyaL.jpg</v>
      </c>
      <c r="K299" t="str">
        <f>HYPERLINK("http://pbs.twimg.com/media/FgGz048XEAEmxTL.jpg", "http://pbs.twimg.com/media/FgGz048XEAEmxTL.jpg")</f>
        <v>http://pbs.twimg.com/media/FgGz048XEAEmxTL.jpg</v>
      </c>
      <c r="L299">
        <v>0</v>
      </c>
      <c r="M299">
        <v>0</v>
      </c>
      <c r="N299">
        <v>1</v>
      </c>
      <c r="O299">
        <v>0</v>
      </c>
    </row>
    <row r="300" spans="1:15" x14ac:dyDescent="0.2">
      <c r="A300" s="1" t="str">
        <f>HYPERLINK("http://www.twitter.com/banuakdenizli/status/1585981910886539264", "1585981910886539264")</f>
        <v>1585981910886539264</v>
      </c>
      <c r="B300" t="s">
        <v>15</v>
      </c>
      <c r="C300" s="2">
        <v>44862.547777777778</v>
      </c>
      <c r="D300">
        <v>0</v>
      </c>
      <c r="E300">
        <v>38</v>
      </c>
      <c r="F300" t="s">
        <v>20</v>
      </c>
      <c r="G300" t="s">
        <v>342</v>
      </c>
      <c r="H300" t="str">
        <f>HYPERLINK("http://pbs.twimg.com/media/FgFKVoqVIAERI89.jpg", "http://pbs.twimg.com/media/FgFKVoqVIAERI89.jpg")</f>
        <v>http://pbs.twimg.com/media/FgFKVoqVIAERI89.jpg</v>
      </c>
      <c r="L300">
        <v>0</v>
      </c>
      <c r="M300">
        <v>0</v>
      </c>
      <c r="N300">
        <v>1</v>
      </c>
      <c r="O300">
        <v>0</v>
      </c>
    </row>
    <row r="301" spans="1:15" x14ac:dyDescent="0.2">
      <c r="A301" s="1" t="str">
        <f>HYPERLINK("http://www.twitter.com/banuakdenizli/status/1585981841130913792", "1585981841130913792")</f>
        <v>1585981841130913792</v>
      </c>
      <c r="B301" t="s">
        <v>15</v>
      </c>
      <c r="C301" s="2">
        <v>44862.547581018523</v>
      </c>
      <c r="D301">
        <v>0</v>
      </c>
      <c r="E301">
        <v>9</v>
      </c>
      <c r="F301" t="s">
        <v>16</v>
      </c>
      <c r="G301" t="s">
        <v>343</v>
      </c>
      <c r="H301" t="str">
        <f>HYPERLINK("http://pbs.twimg.com/media/FgFZ9doVIAYjfko.jpg", "http://pbs.twimg.com/media/FgFZ9doVIAYjfko.jpg")</f>
        <v>http://pbs.twimg.com/media/FgFZ9doVIAYjfko.jpg</v>
      </c>
      <c r="I301" t="str">
        <f>HYPERLINK("http://pbs.twimg.com/media/FgFZ-tdUUAEOWB0.jpg", "http://pbs.twimg.com/media/FgFZ-tdUUAEOWB0.jpg")</f>
        <v>http://pbs.twimg.com/media/FgFZ-tdUUAEOWB0.jpg</v>
      </c>
      <c r="J301" t="str">
        <f>HYPERLINK("http://pbs.twimg.com/media/FgFZgj9VUAAsYt7.jpg", "http://pbs.twimg.com/media/FgFZgj9VUAAsYt7.jpg")</f>
        <v>http://pbs.twimg.com/media/FgFZgj9VUAAsYt7.jpg</v>
      </c>
      <c r="L301">
        <v>0</v>
      </c>
      <c r="M301">
        <v>0</v>
      </c>
      <c r="N301">
        <v>1</v>
      </c>
      <c r="O301">
        <v>0</v>
      </c>
    </row>
    <row r="302" spans="1:15" x14ac:dyDescent="0.2">
      <c r="A302" s="1" t="str">
        <f>HYPERLINK("http://www.twitter.com/banuakdenizli/status/1585981805882388480", "1585981805882388480")</f>
        <v>1585981805882388480</v>
      </c>
      <c r="B302" t="s">
        <v>15</v>
      </c>
      <c r="C302" s="2">
        <v>44862.547488425917</v>
      </c>
      <c r="D302">
        <v>0</v>
      </c>
      <c r="E302">
        <v>11</v>
      </c>
      <c r="F302" t="s">
        <v>16</v>
      </c>
      <c r="G302" t="s">
        <v>344</v>
      </c>
      <c r="H302" t="str">
        <f>HYPERLINK("https://video.twimg.com/amplify_video/1585654260569673728/vid/1280x720/tf1Ds9VTalqiGaRP.mp4?tag=14", "https://video.twimg.com/amplify_video/1585654260569673728/vid/1280x720/tf1Ds9VTalqiGaRP.mp4?tag=14")</f>
        <v>https://video.twimg.com/amplify_video/1585654260569673728/vid/1280x720/tf1Ds9VTalqiGaRP.mp4?tag=14</v>
      </c>
      <c r="L302">
        <v>0</v>
      </c>
      <c r="M302">
        <v>0</v>
      </c>
      <c r="N302">
        <v>1</v>
      </c>
      <c r="O302">
        <v>0</v>
      </c>
    </row>
    <row r="303" spans="1:15" x14ac:dyDescent="0.2">
      <c r="A303" s="1" t="str">
        <f>HYPERLINK("http://www.twitter.com/banuakdenizli/status/1585981719664263168", "1585981719664263168")</f>
        <v>1585981719664263168</v>
      </c>
      <c r="B303" t="s">
        <v>15</v>
      </c>
      <c r="C303" s="2">
        <v>44862.54724537037</v>
      </c>
      <c r="D303">
        <v>0</v>
      </c>
      <c r="E303">
        <v>8</v>
      </c>
      <c r="F303" t="s">
        <v>16</v>
      </c>
      <c r="G303" t="s">
        <v>345</v>
      </c>
      <c r="H303" t="str">
        <f>HYPERLINK("http://pbs.twimg.com/media/FgGOX_bWYAYOaZ1.jpg", "http://pbs.twimg.com/media/FgGOX_bWYAYOaZ1.jpg")</f>
        <v>http://pbs.twimg.com/media/FgGOX_bWYAYOaZ1.jpg</v>
      </c>
      <c r="I303" t="str">
        <f>HYPERLINK("http://pbs.twimg.com/media/FgGOX_WWYAEMQxO.jpg", "http://pbs.twimg.com/media/FgGOX_WWYAEMQxO.jpg")</f>
        <v>http://pbs.twimg.com/media/FgGOX_WWYAEMQxO.jpg</v>
      </c>
      <c r="J303" t="str">
        <f>HYPERLINK("http://pbs.twimg.com/media/FgGOX_iXEAUuk3K.jpg", "http://pbs.twimg.com/media/FgGOX_iXEAUuk3K.jpg")</f>
        <v>http://pbs.twimg.com/media/FgGOX_iXEAUuk3K.jpg</v>
      </c>
      <c r="K303" t="str">
        <f>HYPERLINK("http://pbs.twimg.com/media/FgGOX_aX0AApGby.jpg", "http://pbs.twimg.com/media/FgGOX_aX0AApGby.jpg")</f>
        <v>http://pbs.twimg.com/media/FgGOX_aX0AApGby.jpg</v>
      </c>
      <c r="L303">
        <v>0</v>
      </c>
      <c r="M303">
        <v>0</v>
      </c>
      <c r="N303">
        <v>1</v>
      </c>
      <c r="O303">
        <v>0</v>
      </c>
    </row>
    <row r="304" spans="1:15" x14ac:dyDescent="0.2">
      <c r="A304" s="1" t="str">
        <f>HYPERLINK("http://www.twitter.com/banuakdenizli/status/1585981710960709633", "1585981710960709633")</f>
        <v>1585981710960709633</v>
      </c>
      <c r="B304" t="s">
        <v>15</v>
      </c>
      <c r="C304" s="2">
        <v>44862.547222222223</v>
      </c>
      <c r="D304">
        <v>0</v>
      </c>
      <c r="E304">
        <v>14</v>
      </c>
      <c r="F304" t="s">
        <v>16</v>
      </c>
      <c r="G304" t="s">
        <v>346</v>
      </c>
      <c r="H304" t="str">
        <f>HYPERLINK("http://pbs.twimg.com/media/FgGOW1PXoAAW0Q4.jpg", "http://pbs.twimg.com/media/FgGOW1PXoAAW0Q4.jpg")</f>
        <v>http://pbs.twimg.com/media/FgGOW1PXoAAW0Q4.jpg</v>
      </c>
      <c r="I304" t="str">
        <f>HYPERLINK("http://pbs.twimg.com/media/FgGOW1WX0AA5Wzs.jpg", "http://pbs.twimg.com/media/FgGOW1WX0AA5Wzs.jpg")</f>
        <v>http://pbs.twimg.com/media/FgGOW1WX0AA5Wzs.jpg</v>
      </c>
      <c r="J304" t="str">
        <f>HYPERLINK("http://pbs.twimg.com/media/FgGOW1PXEBYQGb5.jpg", "http://pbs.twimg.com/media/FgGOW1PXEBYQGb5.jpg")</f>
        <v>http://pbs.twimg.com/media/FgGOW1PXEBYQGb5.jpg</v>
      </c>
      <c r="K304" t="str">
        <f>HYPERLINK("http://pbs.twimg.com/media/FgGOW1LWQAAJds0.jpg", "http://pbs.twimg.com/media/FgGOW1LWQAAJds0.jpg")</f>
        <v>http://pbs.twimg.com/media/FgGOW1LWQAAJds0.jpg</v>
      </c>
      <c r="L304">
        <v>0</v>
      </c>
      <c r="M304">
        <v>0</v>
      </c>
      <c r="N304">
        <v>1</v>
      </c>
      <c r="O304">
        <v>0</v>
      </c>
    </row>
    <row r="305" spans="1:15" x14ac:dyDescent="0.2">
      <c r="A305" s="1" t="str">
        <f>HYPERLINK("http://www.twitter.com/banuakdenizli/status/1585981697165664257", "1585981697165664257")</f>
        <v>1585981697165664257</v>
      </c>
      <c r="B305" t="s">
        <v>15</v>
      </c>
      <c r="C305" s="2">
        <v>44862.5471875</v>
      </c>
      <c r="D305">
        <v>0</v>
      </c>
      <c r="E305">
        <v>21</v>
      </c>
      <c r="F305" t="s">
        <v>16</v>
      </c>
      <c r="G305" t="s">
        <v>347</v>
      </c>
      <c r="H305" t="str">
        <f>HYPERLINK("http://pbs.twimg.com/media/FgG01FPX0AAFCVa.jpg", "http://pbs.twimg.com/media/FgG01FPX0AAFCVa.jpg")</f>
        <v>http://pbs.twimg.com/media/FgG01FPX0AAFCVa.jpg</v>
      </c>
      <c r="L305">
        <v>0</v>
      </c>
      <c r="M305">
        <v>0</v>
      </c>
      <c r="N305">
        <v>1</v>
      </c>
      <c r="O305">
        <v>0</v>
      </c>
    </row>
    <row r="306" spans="1:15" x14ac:dyDescent="0.2">
      <c r="A306" s="1" t="str">
        <f>HYPERLINK("http://www.twitter.com/banuakdenizli/status/1585981456597233665", "1585981456597233665")</f>
        <v>1585981456597233665</v>
      </c>
      <c r="B306" t="s">
        <v>15</v>
      </c>
      <c r="C306" s="2">
        <v>44862.546527777777</v>
      </c>
      <c r="D306">
        <v>0</v>
      </c>
      <c r="E306">
        <v>35</v>
      </c>
      <c r="F306" t="s">
        <v>20</v>
      </c>
      <c r="G306" t="s">
        <v>348</v>
      </c>
      <c r="H306" t="str">
        <f>HYPERLINK("http://pbs.twimg.com/media/FgFOQeTUoAAcQWy.jpg", "http://pbs.twimg.com/media/FgFOQeTUoAAcQWy.jpg")</f>
        <v>http://pbs.twimg.com/media/FgFOQeTUoAAcQWy.jpg</v>
      </c>
      <c r="L306">
        <v>0.51060000000000005</v>
      </c>
      <c r="M306">
        <v>0</v>
      </c>
      <c r="N306">
        <v>0.89600000000000002</v>
      </c>
      <c r="O306">
        <v>0.104</v>
      </c>
    </row>
    <row r="307" spans="1:15" x14ac:dyDescent="0.2">
      <c r="A307" s="1" t="str">
        <f>HYPERLINK("http://www.twitter.com/banuakdenizli/status/1585619711965945859", "1585619711965945859")</f>
        <v>1585619711965945859</v>
      </c>
      <c r="B307" t="s">
        <v>15</v>
      </c>
      <c r="C307" s="2">
        <v>44861.548298611109</v>
      </c>
      <c r="D307">
        <v>0</v>
      </c>
      <c r="E307">
        <v>3</v>
      </c>
      <c r="F307" t="s">
        <v>17</v>
      </c>
      <c r="G307" t="s">
        <v>349</v>
      </c>
      <c r="H307" t="str">
        <f>HYPERLINK("http://pbs.twimg.com/media/FgBsbvlXgAIX6yU.jpg", "http://pbs.twimg.com/media/FgBsbvlXgAIX6yU.jpg")</f>
        <v>http://pbs.twimg.com/media/FgBsbvlXgAIX6yU.jpg</v>
      </c>
      <c r="L307">
        <v>0</v>
      </c>
      <c r="M307">
        <v>0</v>
      </c>
      <c r="N307">
        <v>1</v>
      </c>
      <c r="O307">
        <v>0</v>
      </c>
    </row>
    <row r="308" spans="1:15" x14ac:dyDescent="0.2">
      <c r="A308" s="1" t="str">
        <f>HYPERLINK("http://www.twitter.com/banuakdenizli/status/1585619692143759361", "1585619692143759361")</f>
        <v>1585619692143759361</v>
      </c>
      <c r="B308" t="s">
        <v>15</v>
      </c>
      <c r="C308" s="2">
        <v>44861.54824074074</v>
      </c>
      <c r="D308">
        <v>0</v>
      </c>
      <c r="E308">
        <v>114</v>
      </c>
      <c r="F308" t="s">
        <v>23</v>
      </c>
      <c r="G308" t="s">
        <v>350</v>
      </c>
      <c r="H308" t="str">
        <f>HYPERLINK("http://pbs.twimg.com/media/FgDMvDqWAAA_8oj.jpg", "http://pbs.twimg.com/media/FgDMvDqWAAA_8oj.jpg")</f>
        <v>http://pbs.twimg.com/media/FgDMvDqWAAA_8oj.jpg</v>
      </c>
      <c r="I308" t="str">
        <f>HYPERLINK("http://pbs.twimg.com/media/FgDMvDhXwAE68lU.jpg", "http://pbs.twimg.com/media/FgDMvDhXwAE68lU.jpg")</f>
        <v>http://pbs.twimg.com/media/FgDMvDhXwAE68lU.jpg</v>
      </c>
      <c r="J308" t="str">
        <f>HYPERLINK("http://pbs.twimg.com/media/FgDMvDgXoAEczS0.jpg", "http://pbs.twimg.com/media/FgDMvDgXoAEczS0.jpg")</f>
        <v>http://pbs.twimg.com/media/FgDMvDgXoAEczS0.jpg</v>
      </c>
      <c r="K308" t="str">
        <f>HYPERLINK("http://pbs.twimg.com/media/FgDMvDjWYAEDFx_.jpg", "http://pbs.twimg.com/media/FgDMvDjWYAEDFx_.jpg")</f>
        <v>http://pbs.twimg.com/media/FgDMvDjWYAEDFx_.jpg</v>
      </c>
      <c r="L308">
        <v>0</v>
      </c>
      <c r="M308">
        <v>0</v>
      </c>
      <c r="N308">
        <v>1</v>
      </c>
      <c r="O308">
        <v>0</v>
      </c>
    </row>
    <row r="309" spans="1:15" x14ac:dyDescent="0.2">
      <c r="A309" s="1" t="str">
        <f>HYPERLINK("http://www.twitter.com/banuakdenizli/status/1585619373720571909", "1585619373720571909")</f>
        <v>1585619373720571909</v>
      </c>
      <c r="B309" t="s">
        <v>15</v>
      </c>
      <c r="C309" s="2">
        <v>44861.547361111108</v>
      </c>
      <c r="D309">
        <v>0</v>
      </c>
      <c r="E309">
        <v>23</v>
      </c>
      <c r="F309" t="s">
        <v>303</v>
      </c>
      <c r="G309" t="s">
        <v>351</v>
      </c>
      <c r="H309" t="str">
        <f>HYPERLINK("https://video.twimg.com/amplify_video/1584565906641891328/vid/720x1280/xJ7HpdgnNi4p952O.mp4?tag=14", "https://video.twimg.com/amplify_video/1584565906641891328/vid/720x1280/xJ7HpdgnNi4p952O.mp4?tag=14")</f>
        <v>https://video.twimg.com/amplify_video/1584565906641891328/vid/720x1280/xJ7HpdgnNi4p952O.mp4?tag=14</v>
      </c>
      <c r="L309">
        <v>0</v>
      </c>
      <c r="M309">
        <v>0</v>
      </c>
      <c r="N309">
        <v>1</v>
      </c>
      <c r="O309">
        <v>0</v>
      </c>
    </row>
    <row r="310" spans="1:15" x14ac:dyDescent="0.2">
      <c r="A310" s="1" t="str">
        <f>HYPERLINK("http://www.twitter.com/banuakdenizli/status/1585619327017013249", "1585619327017013249")</f>
        <v>1585619327017013249</v>
      </c>
      <c r="B310" t="s">
        <v>15</v>
      </c>
      <c r="C310" s="2">
        <v>44861.547233796293</v>
      </c>
      <c r="D310">
        <v>0</v>
      </c>
      <c r="E310">
        <v>18</v>
      </c>
      <c r="F310" t="s">
        <v>303</v>
      </c>
      <c r="G310" t="s">
        <v>352</v>
      </c>
      <c r="H310" t="str">
        <f>HYPERLINK("https://video.twimg.com/amplify_video/1583585866345512960/vid/720x1280/Sl9tE27YzW-VJSRo.mp4?tag=14", "https://video.twimg.com/amplify_video/1583585866345512960/vid/720x1280/Sl9tE27YzW-VJSRo.mp4?tag=14")</f>
        <v>https://video.twimg.com/amplify_video/1583585866345512960/vid/720x1280/Sl9tE27YzW-VJSRo.mp4?tag=14</v>
      </c>
      <c r="L310">
        <v>-0.29599999999999999</v>
      </c>
      <c r="M310">
        <v>0.155</v>
      </c>
      <c r="N310">
        <v>0.84499999999999997</v>
      </c>
      <c r="O310">
        <v>0</v>
      </c>
    </row>
    <row r="311" spans="1:15" x14ac:dyDescent="0.2">
      <c r="A311" s="1" t="str">
        <f>HYPERLINK("http://www.twitter.com/banuakdenizli/status/1585619222369107969", "1585619222369107969")</f>
        <v>1585619222369107969</v>
      </c>
      <c r="B311" t="s">
        <v>15</v>
      </c>
      <c r="C311" s="2">
        <v>44861.546944444453</v>
      </c>
      <c r="D311">
        <v>0</v>
      </c>
      <c r="E311">
        <v>6</v>
      </c>
      <c r="F311" t="s">
        <v>18</v>
      </c>
      <c r="G311" t="s">
        <v>353</v>
      </c>
      <c r="H311" t="str">
        <f>HYPERLINK("http://pbs.twimg.com/media/FgBgsxKX0AEsa4m.jpg", "http://pbs.twimg.com/media/FgBgsxKX0AEsa4m.jpg")</f>
        <v>http://pbs.twimg.com/media/FgBgsxKX0AEsa4m.jpg</v>
      </c>
      <c r="I311" t="str">
        <f>HYPERLINK("http://pbs.twimg.com/media/FgBgsxRXgAIr9bx.jpg", "http://pbs.twimg.com/media/FgBgsxRXgAIr9bx.jpg")</f>
        <v>http://pbs.twimg.com/media/FgBgsxRXgAIr9bx.jpg</v>
      </c>
      <c r="L311">
        <v>0</v>
      </c>
      <c r="M311">
        <v>0</v>
      </c>
      <c r="N311">
        <v>1</v>
      </c>
      <c r="O311">
        <v>0</v>
      </c>
    </row>
    <row r="312" spans="1:15" x14ac:dyDescent="0.2">
      <c r="A312" s="1" t="str">
        <f>HYPERLINK("http://www.twitter.com/banuakdenizli/status/1585619211581366274", "1585619211581366274")</f>
        <v>1585619211581366274</v>
      </c>
      <c r="B312" t="s">
        <v>15</v>
      </c>
      <c r="C312" s="2">
        <v>44861.5469212963</v>
      </c>
      <c r="D312">
        <v>0</v>
      </c>
      <c r="E312">
        <v>5</v>
      </c>
      <c r="F312" t="s">
        <v>18</v>
      </c>
      <c r="G312" t="s">
        <v>354</v>
      </c>
      <c r="H312" t="str">
        <f>HYPERLINK("http://pbs.twimg.com/media/FgBhkSyWAAAS-vR.jpg", "http://pbs.twimg.com/media/FgBhkSyWAAAS-vR.jpg")</f>
        <v>http://pbs.twimg.com/media/FgBhkSyWAAAS-vR.jpg</v>
      </c>
      <c r="L312">
        <v>0</v>
      </c>
      <c r="M312">
        <v>0</v>
      </c>
      <c r="N312">
        <v>1</v>
      </c>
      <c r="O312">
        <v>0</v>
      </c>
    </row>
    <row r="313" spans="1:15" x14ac:dyDescent="0.2">
      <c r="A313" s="1" t="str">
        <f>HYPERLINK("http://www.twitter.com/banuakdenizli/status/1585619200793518085", "1585619200793518085")</f>
        <v>1585619200793518085</v>
      </c>
      <c r="B313" t="s">
        <v>15</v>
      </c>
      <c r="C313" s="2">
        <v>44861.546886574077</v>
      </c>
      <c r="D313">
        <v>0</v>
      </c>
      <c r="E313">
        <v>7</v>
      </c>
      <c r="F313" t="s">
        <v>18</v>
      </c>
      <c r="G313" t="s">
        <v>355</v>
      </c>
      <c r="H313" t="str">
        <f>HYPERLINK("http://pbs.twimg.com/media/FgD0QyVWAAEi1bd.jpg", "http://pbs.twimg.com/media/FgD0QyVWAAEi1bd.jpg")</f>
        <v>http://pbs.twimg.com/media/FgD0QyVWAAEi1bd.jpg</v>
      </c>
      <c r="L313">
        <v>-0.62490000000000001</v>
      </c>
      <c r="M313">
        <v>0.434</v>
      </c>
      <c r="N313">
        <v>0.42</v>
      </c>
      <c r="O313">
        <v>0.14699999999999999</v>
      </c>
    </row>
    <row r="314" spans="1:15" x14ac:dyDescent="0.2">
      <c r="A314" s="1" t="str">
        <f>HYPERLINK("http://www.twitter.com/banuakdenizli/status/1585618993016180736", "1585618993016180736")</f>
        <v>1585618993016180736</v>
      </c>
      <c r="B314" t="s">
        <v>15</v>
      </c>
      <c r="C314" s="2">
        <v>44861.546307870369</v>
      </c>
      <c r="D314">
        <v>0</v>
      </c>
      <c r="E314">
        <v>8</v>
      </c>
      <c r="F314" t="s">
        <v>16</v>
      </c>
      <c r="G314" t="s">
        <v>356</v>
      </c>
      <c r="H314" t="str">
        <f>HYPERLINK("http://pbs.twimg.com/media/FgA0BbLXwA4Gbzr.jpg", "http://pbs.twimg.com/media/FgA0BbLXwA4Gbzr.jpg")</f>
        <v>http://pbs.twimg.com/media/FgA0BbLXwA4Gbzr.jpg</v>
      </c>
      <c r="I314" t="str">
        <f>HYPERLINK("http://pbs.twimg.com/media/FgA0BbDXEAA0A-1.jpg", "http://pbs.twimg.com/media/FgA0BbDXEAA0A-1.jpg")</f>
        <v>http://pbs.twimg.com/media/FgA0BbDXEAA0A-1.jpg</v>
      </c>
      <c r="J314" t="str">
        <f>HYPERLINK("http://pbs.twimg.com/media/FgA0BbJXwAwOv8O.jpg", "http://pbs.twimg.com/media/FgA0BbJXwAwOv8O.jpg")</f>
        <v>http://pbs.twimg.com/media/FgA0BbJXwAwOv8O.jpg</v>
      </c>
      <c r="L314">
        <v>0</v>
      </c>
      <c r="M314">
        <v>0</v>
      </c>
      <c r="N314">
        <v>1</v>
      </c>
      <c r="O314">
        <v>0</v>
      </c>
    </row>
    <row r="315" spans="1:15" x14ac:dyDescent="0.2">
      <c r="A315" s="1" t="str">
        <f>HYPERLINK("http://www.twitter.com/banuakdenizli/status/1585618965656649737", "1585618965656649737")</f>
        <v>1585618965656649737</v>
      </c>
      <c r="B315" t="s">
        <v>15</v>
      </c>
      <c r="C315" s="2">
        <v>44861.546238425923</v>
      </c>
      <c r="D315">
        <v>0</v>
      </c>
      <c r="E315">
        <v>5</v>
      </c>
      <c r="F315" t="s">
        <v>16</v>
      </c>
      <c r="G315" t="s">
        <v>357</v>
      </c>
      <c r="H315" t="str">
        <f>HYPERLINK("http://pbs.twimg.com/media/FgBDejXWAAgGyxB.jpg", "http://pbs.twimg.com/media/FgBDejXWAAgGyxB.jpg")</f>
        <v>http://pbs.twimg.com/media/FgBDejXWAAgGyxB.jpg</v>
      </c>
      <c r="I315" t="str">
        <f>HYPERLINK("http://pbs.twimg.com/media/FgBDejUWAAY9sgL.jpg", "http://pbs.twimg.com/media/FgBDejUWAAY9sgL.jpg")</f>
        <v>http://pbs.twimg.com/media/FgBDejUWAAY9sgL.jpg</v>
      </c>
      <c r="L315">
        <v>0</v>
      </c>
      <c r="M315">
        <v>0</v>
      </c>
      <c r="N315">
        <v>1</v>
      </c>
      <c r="O315">
        <v>0</v>
      </c>
    </row>
    <row r="316" spans="1:15" x14ac:dyDescent="0.2">
      <c r="A316" s="1" t="str">
        <f>HYPERLINK("http://www.twitter.com/banuakdenizli/status/1585618954554335233", "1585618954554335233")</f>
        <v>1585618954554335233</v>
      </c>
      <c r="B316" t="s">
        <v>15</v>
      </c>
      <c r="C316" s="2">
        <v>44861.546203703707</v>
      </c>
      <c r="D316">
        <v>0</v>
      </c>
      <c r="E316">
        <v>5</v>
      </c>
      <c r="F316" t="s">
        <v>16</v>
      </c>
      <c r="G316" t="s">
        <v>358</v>
      </c>
      <c r="H316" t="str">
        <f>HYPERLINK("http://pbs.twimg.com/media/FgBDuQBWAAsy3TQ.jpg", "http://pbs.twimg.com/media/FgBDuQBWAAsy3TQ.jpg")</f>
        <v>http://pbs.twimg.com/media/FgBDuQBWAAsy3TQ.jpg</v>
      </c>
      <c r="L316">
        <v>0</v>
      </c>
      <c r="M316">
        <v>0</v>
      </c>
      <c r="N316">
        <v>1</v>
      </c>
      <c r="O316">
        <v>0</v>
      </c>
    </row>
    <row r="317" spans="1:15" x14ac:dyDescent="0.2">
      <c r="A317" s="1" t="str">
        <f>HYPERLINK("http://www.twitter.com/banuakdenizli/status/1585618943334653958", "1585618943334653958")</f>
        <v>1585618943334653958</v>
      </c>
      <c r="B317" t="s">
        <v>15</v>
      </c>
      <c r="C317" s="2">
        <v>44861.546180555553</v>
      </c>
      <c r="D317">
        <v>0</v>
      </c>
      <c r="E317">
        <v>17</v>
      </c>
      <c r="F317" t="s">
        <v>16</v>
      </c>
      <c r="G317" t="s">
        <v>359</v>
      </c>
      <c r="H317" t="str">
        <f>HYPERLINK("http://pbs.twimg.com/media/FgDkJQCXwAAHRlZ.jpg", "http://pbs.twimg.com/media/FgDkJQCXwAAHRlZ.jpg")</f>
        <v>http://pbs.twimg.com/media/FgDkJQCXwAAHRlZ.jpg</v>
      </c>
      <c r="L317">
        <v>0</v>
      </c>
      <c r="M317">
        <v>0</v>
      </c>
      <c r="N317">
        <v>1</v>
      </c>
      <c r="O317">
        <v>0</v>
      </c>
    </row>
    <row r="318" spans="1:15" x14ac:dyDescent="0.2">
      <c r="A318" s="1" t="str">
        <f>HYPERLINK("http://www.twitter.com/banuakdenizli/status/1585618900003307523", "1585618900003307523")</f>
        <v>1585618900003307523</v>
      </c>
      <c r="B318" t="s">
        <v>15</v>
      </c>
      <c r="C318" s="2">
        <v>44861.546053240738</v>
      </c>
      <c r="D318">
        <v>0</v>
      </c>
      <c r="E318">
        <v>16</v>
      </c>
      <c r="F318" t="s">
        <v>16</v>
      </c>
      <c r="G318" t="s">
        <v>360</v>
      </c>
      <c r="H318" t="str">
        <f>HYPERLINK("http://pbs.twimg.com/media/FgEWhv-X0AEYrMc.jpg", "http://pbs.twimg.com/media/FgEWhv-X0AEYrMc.jpg")</f>
        <v>http://pbs.twimg.com/media/FgEWhv-X0AEYrMc.jpg</v>
      </c>
      <c r="L318">
        <v>0</v>
      </c>
      <c r="M318">
        <v>0</v>
      </c>
      <c r="N318">
        <v>1</v>
      </c>
      <c r="O318">
        <v>0</v>
      </c>
    </row>
    <row r="319" spans="1:15" x14ac:dyDescent="0.2">
      <c r="A319" s="1" t="str">
        <f>HYPERLINK("http://www.twitter.com/banuakdenizli/status/1585618733707444224", "1585618733707444224")</f>
        <v>1585618733707444224</v>
      </c>
      <c r="B319" t="s">
        <v>15</v>
      </c>
      <c r="C319" s="2">
        <v>44861.545601851853</v>
      </c>
      <c r="D319">
        <v>0</v>
      </c>
      <c r="E319">
        <v>6</v>
      </c>
      <c r="F319" t="s">
        <v>16</v>
      </c>
      <c r="G319" t="s">
        <v>361</v>
      </c>
      <c r="H319" t="str">
        <f>HYPERLINK("http://pbs.twimg.com/media/FgE4PwKX0AE9XKj.jpg", "http://pbs.twimg.com/media/FgE4PwKX0AE9XKj.jpg")</f>
        <v>http://pbs.twimg.com/media/FgE4PwKX0AE9XKj.jpg</v>
      </c>
      <c r="L319">
        <v>0</v>
      </c>
      <c r="M319">
        <v>0</v>
      </c>
      <c r="N319">
        <v>1</v>
      </c>
      <c r="O319">
        <v>0</v>
      </c>
    </row>
    <row r="320" spans="1:15" x14ac:dyDescent="0.2">
      <c r="A320" s="1" t="str">
        <f>HYPERLINK("http://www.twitter.com/banuakdenizli/status/1585337017725988864", "1585337017725988864")</f>
        <v>1585337017725988864</v>
      </c>
      <c r="B320" t="s">
        <v>15</v>
      </c>
      <c r="C320" s="2">
        <v>44860.768206018518</v>
      </c>
      <c r="D320">
        <v>0</v>
      </c>
      <c r="E320">
        <v>5</v>
      </c>
      <c r="F320" t="s">
        <v>17</v>
      </c>
      <c r="G320" t="s">
        <v>362</v>
      </c>
      <c r="H320" t="str">
        <f>HYPERLINK("http://pbs.twimg.com/media/Ff_f7DrWYAEmB99.jpg", "http://pbs.twimg.com/media/Ff_f7DrWYAEmB99.jpg")</f>
        <v>http://pbs.twimg.com/media/Ff_f7DrWYAEmB99.jpg</v>
      </c>
      <c r="L320">
        <v>0</v>
      </c>
      <c r="M320">
        <v>0</v>
      </c>
      <c r="N320">
        <v>1</v>
      </c>
      <c r="O320">
        <v>0</v>
      </c>
    </row>
    <row r="321" spans="1:15" x14ac:dyDescent="0.2">
      <c r="A321" s="1" t="str">
        <f>HYPERLINK("http://www.twitter.com/banuakdenizli/status/1585278923503542272", "1585278923503542272")</f>
        <v>1585278923503542272</v>
      </c>
      <c r="B321" t="s">
        <v>15</v>
      </c>
      <c r="C321" s="2">
        <v>44860.607905092591</v>
      </c>
      <c r="D321">
        <v>0</v>
      </c>
      <c r="E321">
        <v>34</v>
      </c>
      <c r="F321" t="s">
        <v>23</v>
      </c>
      <c r="G321" t="s">
        <v>363</v>
      </c>
      <c r="H321" t="str">
        <f>HYPERLINK("http://pbs.twimg.com/media/Ff_h9AQX0AATwCa.jpg", "http://pbs.twimg.com/media/Ff_h9AQX0AATwCa.jpg")</f>
        <v>http://pbs.twimg.com/media/Ff_h9AQX0AATwCa.jpg</v>
      </c>
      <c r="L321">
        <v>0</v>
      </c>
      <c r="M321">
        <v>0</v>
      </c>
      <c r="N321">
        <v>1</v>
      </c>
      <c r="O321">
        <v>0</v>
      </c>
    </row>
    <row r="322" spans="1:15" x14ac:dyDescent="0.2">
      <c r="A322" s="1" t="str">
        <f>HYPERLINK("http://www.twitter.com/banuakdenizli/status/1584890827460866048", "1584890827460866048")</f>
        <v>1584890827460866048</v>
      </c>
      <c r="B322" t="s">
        <v>15</v>
      </c>
      <c r="C322" s="2">
        <v>44859.536956018521</v>
      </c>
      <c r="D322">
        <v>0</v>
      </c>
      <c r="E322">
        <v>31</v>
      </c>
      <c r="F322" t="s">
        <v>24</v>
      </c>
      <c r="G322" t="s">
        <v>364</v>
      </c>
      <c r="H322" t="str">
        <f>HYPERLINK("http://pbs.twimg.com/media/Ff6Sys2XoAMP2Bk.jpg", "http://pbs.twimg.com/media/Ff6Sys2XoAMP2Bk.jpg")</f>
        <v>http://pbs.twimg.com/media/Ff6Sys2XoAMP2Bk.jpg</v>
      </c>
      <c r="L322">
        <v>0.25</v>
      </c>
      <c r="M322">
        <v>0</v>
      </c>
      <c r="N322">
        <v>0.95699999999999996</v>
      </c>
      <c r="O322">
        <v>4.2999999999999997E-2</v>
      </c>
    </row>
    <row r="323" spans="1:15" x14ac:dyDescent="0.2">
      <c r="A323" s="1" t="str">
        <f>HYPERLINK("http://www.twitter.com/banuakdenizli/status/1584890814722736128", "1584890814722736128")</f>
        <v>1584890814722736128</v>
      </c>
      <c r="B323" t="s">
        <v>15</v>
      </c>
      <c r="C323" s="2">
        <v>44859.536921296298</v>
      </c>
      <c r="D323">
        <v>0</v>
      </c>
      <c r="E323">
        <v>35</v>
      </c>
      <c r="F323" t="s">
        <v>20</v>
      </c>
      <c r="G323" t="s">
        <v>365</v>
      </c>
      <c r="H323" t="str">
        <f>HYPERLINK("http://pbs.twimg.com/media/Ff5yvgPWAAEaePc.jpg", "http://pbs.twimg.com/media/Ff5yvgPWAAEaePc.jpg")</f>
        <v>http://pbs.twimg.com/media/Ff5yvgPWAAEaePc.jpg</v>
      </c>
      <c r="L323">
        <v>0</v>
      </c>
      <c r="M323">
        <v>0</v>
      </c>
      <c r="N323">
        <v>1</v>
      </c>
      <c r="O323">
        <v>0</v>
      </c>
    </row>
    <row r="324" spans="1:15" x14ac:dyDescent="0.2">
      <c r="A324" s="1" t="str">
        <f>HYPERLINK("http://www.twitter.com/banuakdenizli/status/1584890806871080961", "1584890806871080961")</f>
        <v>1584890806871080961</v>
      </c>
      <c r="B324" t="s">
        <v>15</v>
      </c>
      <c r="C324" s="2">
        <v>44859.536898148152</v>
      </c>
      <c r="D324">
        <v>0</v>
      </c>
      <c r="E324">
        <v>47</v>
      </c>
      <c r="F324" t="s">
        <v>24</v>
      </c>
      <c r="G324" t="s">
        <v>366</v>
      </c>
      <c r="H324" t="str">
        <f>HYPERLINK("http://pbs.twimg.com/media/Ff6SKNwXgAMi1N6.jpg", "http://pbs.twimg.com/media/Ff6SKNwXgAMi1N6.jpg")</f>
        <v>http://pbs.twimg.com/media/Ff6SKNwXgAMi1N6.jpg</v>
      </c>
      <c r="L324">
        <v>0</v>
      </c>
      <c r="M324">
        <v>0</v>
      </c>
      <c r="N324">
        <v>1</v>
      </c>
      <c r="O324">
        <v>0</v>
      </c>
    </row>
    <row r="325" spans="1:15" x14ac:dyDescent="0.2">
      <c r="A325" s="1" t="str">
        <f>HYPERLINK("http://www.twitter.com/banuakdenizli/status/1584890723169894400", "1584890723169894400")</f>
        <v>1584890723169894400</v>
      </c>
      <c r="B325" t="s">
        <v>15</v>
      </c>
      <c r="C325" s="2">
        <v>44859.536666666667</v>
      </c>
      <c r="D325">
        <v>0</v>
      </c>
      <c r="E325">
        <v>31</v>
      </c>
      <c r="F325" t="s">
        <v>21</v>
      </c>
      <c r="G325" t="s">
        <v>367</v>
      </c>
      <c r="H325" t="str">
        <f>HYPERLINK("http://pbs.twimg.com/media/Ff5gBBjXwAUuXmk.jpg", "http://pbs.twimg.com/media/Ff5gBBjXwAUuXmk.jpg")</f>
        <v>http://pbs.twimg.com/media/Ff5gBBjXwAUuXmk.jpg</v>
      </c>
      <c r="L325">
        <v>0</v>
      </c>
      <c r="M325">
        <v>0</v>
      </c>
      <c r="N325">
        <v>1</v>
      </c>
      <c r="O325">
        <v>0</v>
      </c>
    </row>
    <row r="326" spans="1:15" x14ac:dyDescent="0.2">
      <c r="A326" s="1" t="str">
        <f>HYPERLINK("http://www.twitter.com/banuakdenizli/status/1584890660955774976", "1584890660955774976")</f>
        <v>1584890660955774976</v>
      </c>
      <c r="B326" t="s">
        <v>15</v>
      </c>
      <c r="C326" s="2">
        <v>44859.536504629628</v>
      </c>
      <c r="D326">
        <v>0</v>
      </c>
      <c r="E326">
        <v>38</v>
      </c>
      <c r="F326" t="s">
        <v>23</v>
      </c>
      <c r="G326" t="s">
        <v>368</v>
      </c>
      <c r="H326" t="str">
        <f>HYPERLINK("http://pbs.twimg.com/media/Ff50damWYAAv8yl.jpg", "http://pbs.twimg.com/media/Ff50damWYAAv8yl.jpg")</f>
        <v>http://pbs.twimg.com/media/Ff50damWYAAv8yl.jpg</v>
      </c>
      <c r="L326">
        <v>0</v>
      </c>
      <c r="M326">
        <v>0</v>
      </c>
      <c r="N326">
        <v>1</v>
      </c>
      <c r="O326">
        <v>0</v>
      </c>
    </row>
    <row r="327" spans="1:15" x14ac:dyDescent="0.2">
      <c r="A327" s="1" t="str">
        <f>HYPERLINK("http://www.twitter.com/banuakdenizli/status/1584890651329822721", "1584890651329822721")</f>
        <v>1584890651329822721</v>
      </c>
      <c r="B327" t="s">
        <v>15</v>
      </c>
      <c r="C327" s="2">
        <v>44859.536469907413</v>
      </c>
      <c r="D327">
        <v>0</v>
      </c>
      <c r="E327">
        <v>30</v>
      </c>
      <c r="F327" t="s">
        <v>20</v>
      </c>
      <c r="G327" t="s">
        <v>369</v>
      </c>
      <c r="H327" t="str">
        <f>HYPERLINK("http://pbs.twimg.com/media/Ff6BGHCXgAEakYa.jpg", "http://pbs.twimg.com/media/Ff6BGHCXgAEakYa.jpg")</f>
        <v>http://pbs.twimg.com/media/Ff6BGHCXgAEakYa.jpg</v>
      </c>
      <c r="L327">
        <v>0.2263</v>
      </c>
      <c r="M327">
        <v>4.7E-2</v>
      </c>
      <c r="N327">
        <v>0.88800000000000001</v>
      </c>
      <c r="O327">
        <v>6.5000000000000002E-2</v>
      </c>
    </row>
    <row r="328" spans="1:15" x14ac:dyDescent="0.2">
      <c r="A328" s="1" t="str">
        <f>HYPERLINK("http://www.twitter.com/banuakdenizli/status/1584890635932225536", "1584890635932225536")</f>
        <v>1584890635932225536</v>
      </c>
      <c r="B328" t="s">
        <v>15</v>
      </c>
      <c r="C328" s="2">
        <v>44859.536435185182</v>
      </c>
      <c r="D328">
        <v>0</v>
      </c>
      <c r="E328">
        <v>48</v>
      </c>
      <c r="F328" t="s">
        <v>20</v>
      </c>
      <c r="G328" t="s">
        <v>370</v>
      </c>
      <c r="H328" t="str">
        <f>HYPERLINK("http://pbs.twimg.com/media/Ff6BEr_WAAEg_NX.jpg", "http://pbs.twimg.com/media/Ff6BEr_WAAEg_NX.jpg")</f>
        <v>http://pbs.twimg.com/media/Ff6BEr_WAAEg_NX.jpg</v>
      </c>
      <c r="L328">
        <v>0.79059999999999997</v>
      </c>
      <c r="M328">
        <v>0</v>
      </c>
      <c r="N328">
        <v>0.83</v>
      </c>
      <c r="O328">
        <v>0.17</v>
      </c>
    </row>
    <row r="329" spans="1:15" x14ac:dyDescent="0.2">
      <c r="A329" s="1" t="str">
        <f>HYPERLINK("http://www.twitter.com/banuakdenizli/status/1584890619964497927", "1584890619964497927")</f>
        <v>1584890619964497927</v>
      </c>
      <c r="B329" t="s">
        <v>15</v>
      </c>
      <c r="C329" s="2">
        <v>44859.53638888889</v>
      </c>
      <c r="D329">
        <v>0</v>
      </c>
      <c r="E329">
        <v>56</v>
      </c>
      <c r="F329" t="s">
        <v>23</v>
      </c>
      <c r="G329" t="s">
        <v>371</v>
      </c>
      <c r="H329" t="str">
        <f>HYPERLINK("http://pbs.twimg.com/media/Ff5ux8NXEAMyl4U.jpg", "http://pbs.twimg.com/media/Ff5ux8NXEAMyl4U.jpg")</f>
        <v>http://pbs.twimg.com/media/Ff5ux8NXEAMyl4U.jpg</v>
      </c>
      <c r="I329" t="str">
        <f>HYPERLINK("http://pbs.twimg.com/media/Ff5ux8RWYAU4gn8.jpg", "http://pbs.twimg.com/media/Ff5ux8RWYAU4gn8.jpg")</f>
        <v>http://pbs.twimg.com/media/Ff5ux8RWYAU4gn8.jpg</v>
      </c>
      <c r="J329" t="str">
        <f>HYPERLINK("http://pbs.twimg.com/media/Ff5ux8RXgAArKWn.jpg", "http://pbs.twimg.com/media/Ff5ux8RXgAArKWn.jpg")</f>
        <v>http://pbs.twimg.com/media/Ff5ux8RXgAArKWn.jpg</v>
      </c>
      <c r="K329" t="str">
        <f>HYPERLINK("http://pbs.twimg.com/media/Ff5ux8NXkAAo2zC.jpg", "http://pbs.twimg.com/media/Ff5ux8NXkAAo2zC.jpg")</f>
        <v>http://pbs.twimg.com/media/Ff5ux8NXkAAo2zC.jpg</v>
      </c>
      <c r="L329">
        <v>0</v>
      </c>
      <c r="M329">
        <v>0</v>
      </c>
      <c r="N329">
        <v>1</v>
      </c>
      <c r="O329">
        <v>0</v>
      </c>
    </row>
    <row r="330" spans="1:15" x14ac:dyDescent="0.2">
      <c r="A330" s="1" t="str">
        <f>HYPERLINK("http://www.twitter.com/banuakdenizli/status/1584890593754615812", "1584890593754615812")</f>
        <v>1584890593754615812</v>
      </c>
      <c r="B330" t="s">
        <v>15</v>
      </c>
      <c r="C330" s="2">
        <v>44859.536319444444</v>
      </c>
      <c r="D330">
        <v>0</v>
      </c>
      <c r="E330">
        <v>31</v>
      </c>
      <c r="F330" t="s">
        <v>20</v>
      </c>
      <c r="G330" t="s">
        <v>372</v>
      </c>
      <c r="L330">
        <v>0.85189999999999999</v>
      </c>
      <c r="M330">
        <v>3.5999999999999997E-2</v>
      </c>
      <c r="N330">
        <v>0.71299999999999997</v>
      </c>
      <c r="O330">
        <v>0.252</v>
      </c>
    </row>
    <row r="331" spans="1:15" x14ac:dyDescent="0.2">
      <c r="A331" s="1" t="str">
        <f>HYPERLINK("http://www.twitter.com/banuakdenizli/status/1584890583885434881", "1584890583885434881")</f>
        <v>1584890583885434881</v>
      </c>
      <c r="B331" t="s">
        <v>15</v>
      </c>
      <c r="C331" s="2">
        <v>44859.53628472222</v>
      </c>
      <c r="D331">
        <v>0</v>
      </c>
      <c r="E331">
        <v>3</v>
      </c>
      <c r="F331" t="s">
        <v>17</v>
      </c>
      <c r="G331" t="s">
        <v>373</v>
      </c>
      <c r="H331" t="str">
        <f>HYPERLINK("http://pbs.twimg.com/media/Ff2G7rlX0AAcOOu.jpg", "http://pbs.twimg.com/media/Ff2G7rlX0AAcOOu.jpg")</f>
        <v>http://pbs.twimg.com/media/Ff2G7rlX0AAcOOu.jpg</v>
      </c>
      <c r="L331">
        <v>0</v>
      </c>
      <c r="M331">
        <v>0</v>
      </c>
      <c r="N331">
        <v>1</v>
      </c>
      <c r="O331">
        <v>0</v>
      </c>
    </row>
    <row r="332" spans="1:15" x14ac:dyDescent="0.2">
      <c r="A332" s="1" t="str">
        <f>HYPERLINK("http://www.twitter.com/banuakdenizli/status/1584890574414680064", "1584890574414680064")</f>
        <v>1584890574414680064</v>
      </c>
      <c r="B332" t="s">
        <v>15</v>
      </c>
      <c r="C332" s="2">
        <v>44859.536261574067</v>
      </c>
      <c r="D332">
        <v>0</v>
      </c>
      <c r="E332">
        <v>65</v>
      </c>
      <c r="F332" t="s">
        <v>23</v>
      </c>
      <c r="G332" t="s">
        <v>374</v>
      </c>
      <c r="H332" t="str">
        <f>HYPERLINK("http://pbs.twimg.com/media/Ff6d_faXEAAEbkV.jpg", "http://pbs.twimg.com/media/Ff6d_faXEAAEbkV.jpg")</f>
        <v>http://pbs.twimg.com/media/Ff6d_faXEAAEbkV.jpg</v>
      </c>
      <c r="L332">
        <v>0</v>
      </c>
      <c r="M332">
        <v>0</v>
      </c>
      <c r="N332">
        <v>1</v>
      </c>
      <c r="O332">
        <v>0</v>
      </c>
    </row>
    <row r="333" spans="1:15" x14ac:dyDescent="0.2">
      <c r="A333" s="1" t="str">
        <f>HYPERLINK("http://www.twitter.com/banuakdenizli/status/1584890556760870912", "1584890556760870912")</f>
        <v>1584890556760870912</v>
      </c>
      <c r="B333" t="s">
        <v>15</v>
      </c>
      <c r="C333" s="2">
        <v>44859.536215277767</v>
      </c>
      <c r="D333">
        <v>0</v>
      </c>
      <c r="E333">
        <v>84</v>
      </c>
      <c r="F333" t="s">
        <v>20</v>
      </c>
      <c r="G333" t="s">
        <v>375</v>
      </c>
      <c r="H333" t="str">
        <f>HYPERLINK("http://pbs.twimg.com/media/Ff5yuijWAAAHHB2.jpg", "http://pbs.twimg.com/media/Ff5yuijWAAAHHB2.jpg")</f>
        <v>http://pbs.twimg.com/media/Ff5yuijWAAAHHB2.jpg</v>
      </c>
      <c r="L333">
        <v>0</v>
      </c>
      <c r="M333">
        <v>0</v>
      </c>
      <c r="N333">
        <v>1</v>
      </c>
      <c r="O333">
        <v>0</v>
      </c>
    </row>
    <row r="334" spans="1:15" x14ac:dyDescent="0.2">
      <c r="A334" s="1" t="str">
        <f>HYPERLINK("http://www.twitter.com/banuakdenizli/status/1584890533721559042", "1584890533721559042")</f>
        <v>1584890533721559042</v>
      </c>
      <c r="B334" t="s">
        <v>15</v>
      </c>
      <c r="C334" s="2">
        <v>44859.536145833343</v>
      </c>
      <c r="D334">
        <v>0</v>
      </c>
      <c r="E334">
        <v>56</v>
      </c>
      <c r="F334" t="s">
        <v>23</v>
      </c>
      <c r="G334" t="s">
        <v>376</v>
      </c>
      <c r="L334">
        <v>0</v>
      </c>
      <c r="M334">
        <v>0</v>
      </c>
      <c r="N334">
        <v>1</v>
      </c>
      <c r="O334">
        <v>0</v>
      </c>
    </row>
    <row r="335" spans="1:15" x14ac:dyDescent="0.2">
      <c r="A335" s="1" t="str">
        <f>HYPERLINK("http://www.twitter.com/banuakdenizli/status/1584890508605677568", "1584890508605677568")</f>
        <v>1584890508605677568</v>
      </c>
      <c r="B335" t="s">
        <v>15</v>
      </c>
      <c r="C335" s="2">
        <v>44859.536076388889</v>
      </c>
      <c r="D335">
        <v>0</v>
      </c>
      <c r="E335">
        <v>4</v>
      </c>
      <c r="F335" t="s">
        <v>17</v>
      </c>
      <c r="G335" t="s">
        <v>377</v>
      </c>
      <c r="H335" t="str">
        <f>HYPERLINK("http://pbs.twimg.com/media/Ff2HYmkWQAEeBZP.jpg", "http://pbs.twimg.com/media/Ff2HYmkWQAEeBZP.jpg")</f>
        <v>http://pbs.twimg.com/media/Ff2HYmkWQAEeBZP.jpg</v>
      </c>
      <c r="L335">
        <v>0</v>
      </c>
      <c r="M335">
        <v>0</v>
      </c>
      <c r="N335">
        <v>1</v>
      </c>
      <c r="O335">
        <v>0</v>
      </c>
    </row>
    <row r="336" spans="1:15" x14ac:dyDescent="0.2">
      <c r="A336" s="1" t="str">
        <f>HYPERLINK("http://www.twitter.com/banuakdenizli/status/1584890494961999874", "1584890494961999874")</f>
        <v>1584890494961999874</v>
      </c>
      <c r="B336" t="s">
        <v>15</v>
      </c>
      <c r="C336" s="2">
        <v>44859.536041666674</v>
      </c>
      <c r="D336">
        <v>0</v>
      </c>
      <c r="E336">
        <v>30</v>
      </c>
      <c r="F336" t="s">
        <v>16</v>
      </c>
      <c r="G336" t="s">
        <v>378</v>
      </c>
      <c r="H336" t="str">
        <f>HYPERLINK("http://pbs.twimg.com/media/Ff6M6YeWQAEeWMU.jpg", "http://pbs.twimg.com/media/Ff6M6YeWQAEeWMU.jpg")</f>
        <v>http://pbs.twimg.com/media/Ff6M6YeWQAEeWMU.jpg</v>
      </c>
      <c r="L336">
        <v>0</v>
      </c>
      <c r="M336">
        <v>0</v>
      </c>
      <c r="N336">
        <v>1</v>
      </c>
      <c r="O336">
        <v>0</v>
      </c>
    </row>
    <row r="337" spans="1:15" x14ac:dyDescent="0.2">
      <c r="A337" s="1" t="str">
        <f>HYPERLINK("http://www.twitter.com/banuakdenizli/status/1584890482311630848", "1584890482311630848")</f>
        <v>1584890482311630848</v>
      </c>
      <c r="B337" t="s">
        <v>15</v>
      </c>
      <c r="C337" s="2">
        <v>44859.536006944443</v>
      </c>
      <c r="D337">
        <v>0</v>
      </c>
      <c r="E337">
        <v>17</v>
      </c>
      <c r="F337" t="s">
        <v>19</v>
      </c>
      <c r="G337" t="s">
        <v>379</v>
      </c>
      <c r="H337" t="str">
        <f>HYPERLINK("http://pbs.twimg.com/media/Ff6CHE7WIAEEWCB.jpg", "http://pbs.twimg.com/media/Ff6CHE7WIAEEWCB.jpg")</f>
        <v>http://pbs.twimg.com/media/Ff6CHE7WIAEEWCB.jpg</v>
      </c>
      <c r="L337">
        <v>0</v>
      </c>
      <c r="M337">
        <v>0</v>
      </c>
      <c r="N337">
        <v>1</v>
      </c>
      <c r="O337">
        <v>0</v>
      </c>
    </row>
    <row r="338" spans="1:15" x14ac:dyDescent="0.2">
      <c r="A338" s="1" t="str">
        <f>HYPERLINK("http://www.twitter.com/banuakdenizli/status/1584890469745426433", "1584890469745426433")</f>
        <v>1584890469745426433</v>
      </c>
      <c r="B338" t="s">
        <v>15</v>
      </c>
      <c r="C338" s="2">
        <v>44859.53597222222</v>
      </c>
      <c r="D338">
        <v>0</v>
      </c>
      <c r="E338">
        <v>71</v>
      </c>
      <c r="F338" t="s">
        <v>26</v>
      </c>
      <c r="G338" t="s">
        <v>380</v>
      </c>
      <c r="H338" t="str">
        <f>HYPERLINK("http://pbs.twimg.com/media/Ff6L9q8XkAAL92n.jpg", "http://pbs.twimg.com/media/Ff6L9q8XkAAL92n.jpg")</f>
        <v>http://pbs.twimg.com/media/Ff6L9q8XkAAL92n.jpg</v>
      </c>
      <c r="L338">
        <v>0</v>
      </c>
      <c r="M338">
        <v>0</v>
      </c>
      <c r="N338">
        <v>1</v>
      </c>
      <c r="O338">
        <v>0</v>
      </c>
    </row>
    <row r="339" spans="1:15" x14ac:dyDescent="0.2">
      <c r="A339" s="1" t="str">
        <f>HYPERLINK("http://www.twitter.com/banuakdenizli/status/1584890456605077504", "1584890456605077504")</f>
        <v>1584890456605077504</v>
      </c>
      <c r="B339" t="s">
        <v>15</v>
      </c>
      <c r="C339" s="2">
        <v>44859.535937499997</v>
      </c>
      <c r="D339">
        <v>0</v>
      </c>
      <c r="E339">
        <v>1011</v>
      </c>
      <c r="F339" t="s">
        <v>22</v>
      </c>
      <c r="G339" t="s">
        <v>381</v>
      </c>
      <c r="H339" t="str">
        <f>HYPERLINK("http://pbs.twimg.com/media/Ff6B1rgWIAMI2eT.jpg", "http://pbs.twimg.com/media/Ff6B1rgWIAMI2eT.jpg")</f>
        <v>http://pbs.twimg.com/media/Ff6B1rgWIAMI2eT.jpg</v>
      </c>
      <c r="L339">
        <v>0</v>
      </c>
      <c r="M339">
        <v>0</v>
      </c>
      <c r="N339">
        <v>1</v>
      </c>
      <c r="O339">
        <v>0</v>
      </c>
    </row>
    <row r="340" spans="1:15" x14ac:dyDescent="0.2">
      <c r="A340" s="1" t="str">
        <f>HYPERLINK("http://www.twitter.com/banuakdenizli/status/1584890437118349313", "1584890437118349313")</f>
        <v>1584890437118349313</v>
      </c>
      <c r="B340" t="s">
        <v>15</v>
      </c>
      <c r="C340" s="2">
        <v>44859.535879629628</v>
      </c>
      <c r="D340">
        <v>0</v>
      </c>
      <c r="E340">
        <v>43</v>
      </c>
      <c r="F340" t="s">
        <v>23</v>
      </c>
      <c r="G340" t="s">
        <v>382</v>
      </c>
      <c r="H340" t="str">
        <f>HYPERLINK("http://pbs.twimg.com/media/Ff55CAuXEAUlH6Q.jpg", "http://pbs.twimg.com/media/Ff55CAuXEAUlH6Q.jpg")</f>
        <v>http://pbs.twimg.com/media/Ff55CAuXEAUlH6Q.jpg</v>
      </c>
      <c r="I340" t="str">
        <f>HYPERLINK("http://pbs.twimg.com/media/Ff55CAxX0AMqYIL.jpg", "http://pbs.twimg.com/media/Ff55CAxX0AMqYIL.jpg")</f>
        <v>http://pbs.twimg.com/media/Ff55CAxX0AMqYIL.jpg</v>
      </c>
      <c r="L340">
        <v>0</v>
      </c>
      <c r="M340">
        <v>0</v>
      </c>
      <c r="N340">
        <v>1</v>
      </c>
      <c r="O340">
        <v>0</v>
      </c>
    </row>
    <row r="341" spans="1:15" x14ac:dyDescent="0.2">
      <c r="A341" s="1" t="str">
        <f>HYPERLINK("http://www.twitter.com/banuakdenizli/status/1584890378918191104", "1584890378918191104")</f>
        <v>1584890378918191104</v>
      </c>
      <c r="B341" t="s">
        <v>15</v>
      </c>
      <c r="C341" s="2">
        <v>44859.535717592589</v>
      </c>
      <c r="D341">
        <v>0</v>
      </c>
      <c r="E341">
        <v>38</v>
      </c>
      <c r="F341" t="s">
        <v>20</v>
      </c>
      <c r="G341" t="s">
        <v>383</v>
      </c>
      <c r="L341">
        <v>0</v>
      </c>
      <c r="M341">
        <v>0</v>
      </c>
      <c r="N341">
        <v>1</v>
      </c>
      <c r="O341">
        <v>0</v>
      </c>
    </row>
    <row r="342" spans="1:15" x14ac:dyDescent="0.2">
      <c r="A342" s="1" t="str">
        <f>HYPERLINK("http://www.twitter.com/banuakdenizli/status/1584534023879028737", "1584534023879028737")</f>
        <v>1584534023879028737</v>
      </c>
      <c r="B342" t="s">
        <v>15</v>
      </c>
      <c r="C342" s="2">
        <v>44858.552372685182</v>
      </c>
      <c r="D342">
        <v>0</v>
      </c>
      <c r="E342">
        <v>13</v>
      </c>
      <c r="F342" t="s">
        <v>16</v>
      </c>
      <c r="G342" t="s">
        <v>384</v>
      </c>
      <c r="H342" t="str">
        <f>HYPERLINK("http://pbs.twimg.com/media/Ff1OX8KXoAEJZkt.jpg", "http://pbs.twimg.com/media/Ff1OX8KXoAEJZkt.jpg")</f>
        <v>http://pbs.twimg.com/media/Ff1OX8KXoAEJZkt.jpg</v>
      </c>
      <c r="L342">
        <v>0</v>
      </c>
      <c r="M342">
        <v>0</v>
      </c>
      <c r="N342">
        <v>1</v>
      </c>
      <c r="O342">
        <v>0</v>
      </c>
    </row>
    <row r="343" spans="1:15" x14ac:dyDescent="0.2">
      <c r="A343" s="1" t="str">
        <f>HYPERLINK("http://www.twitter.com/banuakdenizli/status/1584534012843859975", "1584534012843859975")</f>
        <v>1584534012843859975</v>
      </c>
      <c r="B343" t="s">
        <v>15</v>
      </c>
      <c r="C343" s="2">
        <v>44858.552337962959</v>
      </c>
      <c r="D343">
        <v>0</v>
      </c>
      <c r="E343">
        <v>6</v>
      </c>
      <c r="F343" t="s">
        <v>18</v>
      </c>
      <c r="G343" t="s">
        <v>385</v>
      </c>
      <c r="L343">
        <v>0.5423</v>
      </c>
      <c r="M343">
        <v>0</v>
      </c>
      <c r="N343">
        <v>0.86799999999999999</v>
      </c>
      <c r="O343">
        <v>0.13200000000000001</v>
      </c>
    </row>
    <row r="344" spans="1:15" x14ac:dyDescent="0.2">
      <c r="A344" s="1" t="str">
        <f>HYPERLINK("http://www.twitter.com/banuakdenizli/status/1584533852718272514", "1584533852718272514")</f>
        <v>1584533852718272514</v>
      </c>
      <c r="B344" t="s">
        <v>15</v>
      </c>
      <c r="C344" s="2">
        <v>44858.551898148151</v>
      </c>
      <c r="D344">
        <v>0</v>
      </c>
      <c r="E344">
        <v>7</v>
      </c>
      <c r="F344" t="s">
        <v>16</v>
      </c>
      <c r="G344" t="s">
        <v>386</v>
      </c>
      <c r="L344">
        <v>0</v>
      </c>
      <c r="M344">
        <v>0</v>
      </c>
      <c r="N344">
        <v>1</v>
      </c>
      <c r="O344">
        <v>0</v>
      </c>
    </row>
    <row r="345" spans="1:15" x14ac:dyDescent="0.2">
      <c r="A345" s="1" t="str">
        <f>HYPERLINK("http://www.twitter.com/banuakdenizli/status/1584533843721453569", "1584533843721453569")</f>
        <v>1584533843721453569</v>
      </c>
      <c r="B345" t="s">
        <v>15</v>
      </c>
      <c r="C345" s="2">
        <v>44858.551874999997</v>
      </c>
      <c r="D345">
        <v>0</v>
      </c>
      <c r="E345">
        <v>11</v>
      </c>
      <c r="F345" t="s">
        <v>18</v>
      </c>
      <c r="G345" t="s">
        <v>387</v>
      </c>
      <c r="H345" t="str">
        <f>HYPERLINK("http://pbs.twimg.com/media/Ff1N8XAWYAYPqd9.jpg", "http://pbs.twimg.com/media/Ff1N8XAWYAYPqd9.jpg")</f>
        <v>http://pbs.twimg.com/media/Ff1N8XAWYAYPqd9.jpg</v>
      </c>
      <c r="L345">
        <v>0</v>
      </c>
      <c r="M345">
        <v>0</v>
      </c>
      <c r="N345">
        <v>1</v>
      </c>
      <c r="O345">
        <v>0</v>
      </c>
    </row>
    <row r="346" spans="1:15" x14ac:dyDescent="0.2">
      <c r="A346" s="1" t="str">
        <f>HYPERLINK("http://www.twitter.com/banuakdenizli/status/1584533831826087937", "1584533831826087937")</f>
        <v>1584533831826087937</v>
      </c>
      <c r="B346" t="s">
        <v>15</v>
      </c>
      <c r="C346" s="2">
        <v>44858.551840277767</v>
      </c>
      <c r="D346">
        <v>0</v>
      </c>
      <c r="E346">
        <v>12</v>
      </c>
      <c r="F346" t="s">
        <v>16</v>
      </c>
      <c r="G346" t="s">
        <v>388</v>
      </c>
      <c r="H346" t="str">
        <f>HYPERLINK("http://pbs.twimg.com/media/Ff1OKJ2XwAExo9v.jpg", "http://pbs.twimg.com/media/Ff1OKJ2XwAExo9v.jpg")</f>
        <v>http://pbs.twimg.com/media/Ff1OKJ2XwAExo9v.jpg</v>
      </c>
      <c r="L346">
        <v>0</v>
      </c>
      <c r="M346">
        <v>0</v>
      </c>
      <c r="N346">
        <v>1</v>
      </c>
      <c r="O346">
        <v>0</v>
      </c>
    </row>
    <row r="347" spans="1:15" x14ac:dyDescent="0.2">
      <c r="A347" s="1" t="str">
        <f>HYPERLINK("http://www.twitter.com/banuakdenizli/status/1584533815984545792", "1584533815984545792")</f>
        <v>1584533815984545792</v>
      </c>
      <c r="B347" t="s">
        <v>15</v>
      </c>
      <c r="C347" s="2">
        <v>44858.551793981482</v>
      </c>
      <c r="D347">
        <v>0</v>
      </c>
      <c r="E347">
        <v>17</v>
      </c>
      <c r="F347" t="s">
        <v>18</v>
      </c>
      <c r="G347" t="s">
        <v>389</v>
      </c>
      <c r="H347" t="str">
        <f>HYPERLINK("http://pbs.twimg.com/media/Ff1NYPWX0AguQBX.jpg", "http://pbs.twimg.com/media/Ff1NYPWX0AguQBX.jpg")</f>
        <v>http://pbs.twimg.com/media/Ff1NYPWX0AguQBX.jpg</v>
      </c>
      <c r="L347">
        <v>0.42149999999999999</v>
      </c>
      <c r="M347">
        <v>0</v>
      </c>
      <c r="N347">
        <v>0.76300000000000001</v>
      </c>
      <c r="O347">
        <v>0.23699999999999999</v>
      </c>
    </row>
    <row r="348" spans="1:15" x14ac:dyDescent="0.2">
      <c r="A348" s="1" t="str">
        <f>HYPERLINK("http://www.twitter.com/banuakdenizli/status/1584533799622545408", "1584533799622545408")</f>
        <v>1584533799622545408</v>
      </c>
      <c r="B348" t="s">
        <v>15</v>
      </c>
      <c r="C348" s="2">
        <v>44858.551747685182</v>
      </c>
      <c r="D348">
        <v>0</v>
      </c>
      <c r="E348">
        <v>17</v>
      </c>
      <c r="F348" t="s">
        <v>16</v>
      </c>
      <c r="G348" t="s">
        <v>390</v>
      </c>
      <c r="H348" t="str">
        <f>HYPERLINK("http://pbs.twimg.com/media/Ff1RFihVQAISGAV.jpg", "http://pbs.twimg.com/media/Ff1RFihVQAISGAV.jpg")</f>
        <v>http://pbs.twimg.com/media/Ff1RFihVQAISGAV.jpg</v>
      </c>
      <c r="L348">
        <v>0</v>
      </c>
      <c r="M348">
        <v>0</v>
      </c>
      <c r="N348">
        <v>1</v>
      </c>
      <c r="O348">
        <v>0</v>
      </c>
    </row>
    <row r="349" spans="1:15" x14ac:dyDescent="0.2">
      <c r="A349" s="1" t="str">
        <f>HYPERLINK("http://www.twitter.com/banuakdenizli/status/1584533787798433793", "1584533787798433793")</f>
        <v>1584533787798433793</v>
      </c>
      <c r="B349" t="s">
        <v>15</v>
      </c>
      <c r="C349" s="2">
        <v>44858.551712962973</v>
      </c>
      <c r="D349">
        <v>0</v>
      </c>
      <c r="E349">
        <v>13</v>
      </c>
      <c r="F349" t="s">
        <v>16</v>
      </c>
      <c r="G349" t="s">
        <v>391</v>
      </c>
      <c r="H349" t="str">
        <f>HYPERLINK("http://pbs.twimg.com/media/Ff1M8RmWAAMdtcW.jpg", "http://pbs.twimg.com/media/Ff1M8RmWAAMdtcW.jpg")</f>
        <v>http://pbs.twimg.com/media/Ff1M8RmWAAMdtcW.jpg</v>
      </c>
      <c r="L349">
        <v>0</v>
      </c>
      <c r="M349">
        <v>0</v>
      </c>
      <c r="N349">
        <v>1</v>
      </c>
      <c r="O349">
        <v>0</v>
      </c>
    </row>
    <row r="350" spans="1:15" x14ac:dyDescent="0.2">
      <c r="A350" s="1" t="str">
        <f>HYPERLINK("http://www.twitter.com/banuakdenizli/status/1584533780605198336", "1584533780605198336")</f>
        <v>1584533780605198336</v>
      </c>
      <c r="B350" t="s">
        <v>15</v>
      </c>
      <c r="C350" s="2">
        <v>44858.551701388889</v>
      </c>
      <c r="D350">
        <v>0</v>
      </c>
      <c r="E350">
        <v>9</v>
      </c>
      <c r="F350" t="s">
        <v>18</v>
      </c>
      <c r="G350" t="s">
        <v>392</v>
      </c>
      <c r="H350" t="str">
        <f>HYPERLINK("https://video.twimg.com/ext_tw_video/1584424519015473152/pu/vid/1280x720/vXfhurDSUJ5zbSU6.mp4?tag=12", "https://video.twimg.com/ext_tw_video/1584424519015473152/pu/vid/1280x720/vXfhurDSUJ5zbSU6.mp4?tag=12")</f>
        <v>https://video.twimg.com/ext_tw_video/1584424519015473152/pu/vid/1280x720/vXfhurDSUJ5zbSU6.mp4?tag=12</v>
      </c>
      <c r="L350">
        <v>0.77170000000000005</v>
      </c>
      <c r="M350">
        <v>0</v>
      </c>
      <c r="N350">
        <v>0.83099999999999996</v>
      </c>
      <c r="O350">
        <v>0.16900000000000001</v>
      </c>
    </row>
    <row r="351" spans="1:15" x14ac:dyDescent="0.2">
      <c r="A351" s="1" t="str">
        <f>HYPERLINK("http://www.twitter.com/banuakdenizli/status/1584533772686409729", "1584533772686409729")</f>
        <v>1584533772686409729</v>
      </c>
      <c r="B351" t="s">
        <v>15</v>
      </c>
      <c r="C351" s="2">
        <v>44858.551678240743</v>
      </c>
      <c r="D351">
        <v>0</v>
      </c>
      <c r="E351">
        <v>22</v>
      </c>
      <c r="F351" t="s">
        <v>16</v>
      </c>
      <c r="G351" t="s">
        <v>393</v>
      </c>
      <c r="H351" t="str">
        <f>HYPERLINK("https://video.twimg.com/amplify_video/1584277779989680131/vid/1280x720/z1DsUF66fGdXjF9c.mp4?tag=14", "https://video.twimg.com/amplify_video/1584277779989680131/vid/1280x720/z1DsUF66fGdXjF9c.mp4?tag=14")</f>
        <v>https://video.twimg.com/amplify_video/1584277779989680131/vid/1280x720/z1DsUF66fGdXjF9c.mp4?tag=14</v>
      </c>
      <c r="L351">
        <v>0</v>
      </c>
      <c r="M351">
        <v>0</v>
      </c>
      <c r="N351">
        <v>1</v>
      </c>
      <c r="O351">
        <v>0</v>
      </c>
    </row>
    <row r="352" spans="1:15" x14ac:dyDescent="0.2">
      <c r="A352" s="1" t="str">
        <f>HYPERLINK("http://www.twitter.com/banuakdenizli/status/1584533762380922881", "1584533762380922881")</f>
        <v>1584533762380922881</v>
      </c>
      <c r="B352" t="s">
        <v>15</v>
      </c>
      <c r="C352" s="2">
        <v>44858.55164351852</v>
      </c>
      <c r="D352">
        <v>0</v>
      </c>
      <c r="E352">
        <v>11</v>
      </c>
      <c r="F352" t="s">
        <v>16</v>
      </c>
      <c r="G352" t="s">
        <v>394</v>
      </c>
      <c r="H352" t="str">
        <f>HYPERLINK("http://pbs.twimg.com/media/FfxzuxFXgAgETRw.jpg", "http://pbs.twimg.com/media/FfxzuxFXgAgETRw.jpg")</f>
        <v>http://pbs.twimg.com/media/FfxzuxFXgAgETRw.jpg</v>
      </c>
      <c r="I352" t="str">
        <f>HYPERLINK("http://pbs.twimg.com/media/FfxzuxKXEAEkSzG.jpg", "http://pbs.twimg.com/media/FfxzuxKXEAEkSzG.jpg")</f>
        <v>http://pbs.twimg.com/media/FfxzuxKXEAEkSzG.jpg</v>
      </c>
      <c r="J352" t="str">
        <f>HYPERLINK("http://pbs.twimg.com/media/FfxzuxOXwAA51lA.jpg", "http://pbs.twimg.com/media/FfxzuxOXwAA51lA.jpg")</f>
        <v>http://pbs.twimg.com/media/FfxzuxOXwAA51lA.jpg</v>
      </c>
      <c r="K352" t="str">
        <f>HYPERLINK("http://pbs.twimg.com/media/Ffxzv0fWIAAoaPU.jpg", "http://pbs.twimg.com/media/Ffxzv0fWIAAoaPU.jpg")</f>
        <v>http://pbs.twimg.com/media/Ffxzv0fWIAAoaPU.jpg</v>
      </c>
      <c r="L352">
        <v>0</v>
      </c>
      <c r="M352">
        <v>0</v>
      </c>
      <c r="N352">
        <v>1</v>
      </c>
      <c r="O352">
        <v>0</v>
      </c>
    </row>
    <row r="353" spans="1:15" x14ac:dyDescent="0.2">
      <c r="A353" s="1" t="str">
        <f>HYPERLINK("http://www.twitter.com/banuakdenizli/status/1584533754151772161", "1584533754151772161")</f>
        <v>1584533754151772161</v>
      </c>
      <c r="B353" t="s">
        <v>15</v>
      </c>
      <c r="C353" s="2">
        <v>44858.551620370366</v>
      </c>
      <c r="D353">
        <v>0</v>
      </c>
      <c r="E353">
        <v>16</v>
      </c>
      <c r="F353" t="s">
        <v>16</v>
      </c>
      <c r="G353" t="s">
        <v>395</v>
      </c>
      <c r="H353" t="str">
        <f>HYPERLINK("http://pbs.twimg.com/media/FfxxFplXwAAp0d3.jpg", "http://pbs.twimg.com/media/FfxxFplXwAAp0d3.jpg")</f>
        <v>http://pbs.twimg.com/media/FfxxFplXwAAp0d3.jpg</v>
      </c>
      <c r="I353" t="str">
        <f>HYPERLINK("http://pbs.twimg.com/media/FfxxJ5uXEAAtBf_.jpg", "http://pbs.twimg.com/media/FfxxJ5uXEAAtBf_.jpg")</f>
        <v>http://pbs.twimg.com/media/FfxxJ5uXEAAtBf_.jpg</v>
      </c>
      <c r="J353" t="str">
        <f>HYPERLINK("http://pbs.twimg.com/media/FfxxJ60WIAEg7yV.jpg", "http://pbs.twimg.com/media/FfxxJ60WIAEg7yV.jpg")</f>
        <v>http://pbs.twimg.com/media/FfxxJ60WIAEg7yV.jpg</v>
      </c>
      <c r="K353" t="str">
        <f>HYPERLINK("http://pbs.twimg.com/media/FfxxJ7hXgAQbRO1.jpg", "http://pbs.twimg.com/media/FfxxJ7hXgAQbRO1.jpg")</f>
        <v>http://pbs.twimg.com/media/FfxxJ7hXgAQbRO1.jpg</v>
      </c>
      <c r="L353">
        <v>0</v>
      </c>
      <c r="M353">
        <v>0</v>
      </c>
      <c r="N353">
        <v>1</v>
      </c>
      <c r="O353">
        <v>0</v>
      </c>
    </row>
    <row r="354" spans="1:15" x14ac:dyDescent="0.2">
      <c r="A354" s="1" t="str">
        <f>HYPERLINK("http://www.twitter.com/banuakdenizli/status/1584533746237120512", "1584533746237120512")</f>
        <v>1584533746237120512</v>
      </c>
      <c r="B354" t="s">
        <v>15</v>
      </c>
      <c r="C354" s="2">
        <v>44858.55159722222</v>
      </c>
      <c r="D354">
        <v>0</v>
      </c>
      <c r="E354">
        <v>23</v>
      </c>
      <c r="F354" t="s">
        <v>16</v>
      </c>
      <c r="G354" t="s">
        <v>396</v>
      </c>
      <c r="H354" t="str">
        <f>HYPERLINK("https://video.twimg.com/ext_tw_video/1584417943080914951/pu/vid/1280x720/HI3XOdEyS-c3tuhP.mp4?tag=12", "https://video.twimg.com/ext_tw_video/1584417943080914951/pu/vid/1280x720/HI3XOdEyS-c3tuhP.mp4?tag=12")</f>
        <v>https://video.twimg.com/ext_tw_video/1584417943080914951/pu/vid/1280x720/HI3XOdEyS-c3tuhP.mp4?tag=12</v>
      </c>
      <c r="L354">
        <v>0</v>
      </c>
      <c r="M354">
        <v>0</v>
      </c>
      <c r="N354">
        <v>1</v>
      </c>
      <c r="O354">
        <v>0</v>
      </c>
    </row>
    <row r="355" spans="1:15" x14ac:dyDescent="0.2">
      <c r="A355" s="1" t="str">
        <f>HYPERLINK("http://www.twitter.com/banuakdenizli/status/1584533738838380546", "1584533738838380546")</f>
        <v>1584533738838380546</v>
      </c>
      <c r="B355" t="s">
        <v>15</v>
      </c>
      <c r="C355" s="2">
        <v>44858.551585648151</v>
      </c>
      <c r="D355">
        <v>0</v>
      </c>
      <c r="E355">
        <v>23</v>
      </c>
      <c r="F355" t="s">
        <v>18</v>
      </c>
      <c r="G355" t="s">
        <v>397</v>
      </c>
      <c r="H355" t="str">
        <f>HYPERLINK("https://video.twimg.com/ext_tw_video/1584421930328891393/pu/vid/1280x720/ORFz5P0cHUSr3Eb1.mp4?tag=12", "https://video.twimg.com/ext_tw_video/1584421930328891393/pu/vid/1280x720/ORFz5P0cHUSr3Eb1.mp4?tag=12")</f>
        <v>https://video.twimg.com/ext_tw_video/1584421930328891393/pu/vid/1280x720/ORFz5P0cHUSr3Eb1.mp4?tag=12</v>
      </c>
      <c r="L355">
        <v>0.86250000000000004</v>
      </c>
      <c r="M355">
        <v>0</v>
      </c>
      <c r="N355">
        <v>0.76800000000000002</v>
      </c>
      <c r="O355">
        <v>0.23200000000000001</v>
      </c>
    </row>
    <row r="356" spans="1:15" x14ac:dyDescent="0.2">
      <c r="A356" s="1" t="str">
        <f>HYPERLINK("http://www.twitter.com/banuakdenizli/status/1584533716499513345", "1584533716499513345")</f>
        <v>1584533716499513345</v>
      </c>
      <c r="B356" t="s">
        <v>15</v>
      </c>
      <c r="C356" s="2">
        <v>44858.551516203697</v>
      </c>
      <c r="D356">
        <v>0</v>
      </c>
      <c r="E356">
        <v>25</v>
      </c>
      <c r="F356" t="s">
        <v>23</v>
      </c>
      <c r="G356" t="s">
        <v>398</v>
      </c>
      <c r="H356" t="str">
        <f>HYPERLINK("http://pbs.twimg.com/media/Ff0s-u4WYAEB7Cu.jpg", "http://pbs.twimg.com/media/Ff0s-u4WYAEB7Cu.jpg")</f>
        <v>http://pbs.twimg.com/media/Ff0s-u4WYAEB7Cu.jpg</v>
      </c>
      <c r="L356">
        <v>0</v>
      </c>
      <c r="M356">
        <v>0</v>
      </c>
      <c r="N356">
        <v>1</v>
      </c>
      <c r="O356">
        <v>0</v>
      </c>
    </row>
    <row r="357" spans="1:15" x14ac:dyDescent="0.2">
      <c r="A357" s="1" t="str">
        <f>HYPERLINK("http://www.twitter.com/banuakdenizli/status/1584533700724727808", "1584533700724727808")</f>
        <v>1584533700724727808</v>
      </c>
      <c r="B357" t="s">
        <v>15</v>
      </c>
      <c r="C357" s="2">
        <v>44858.551481481481</v>
      </c>
      <c r="D357">
        <v>0</v>
      </c>
      <c r="E357">
        <v>3</v>
      </c>
      <c r="F357" t="s">
        <v>17</v>
      </c>
      <c r="G357" t="s">
        <v>399</v>
      </c>
      <c r="H357" t="str">
        <f>HYPERLINK("http://pbs.twimg.com/media/Ff0a22BXkAAcOEP.jpg", "http://pbs.twimg.com/media/Ff0a22BXkAAcOEP.jpg")</f>
        <v>http://pbs.twimg.com/media/Ff0a22BXkAAcOEP.jpg</v>
      </c>
      <c r="L357">
        <v>0</v>
      </c>
      <c r="M357">
        <v>0</v>
      </c>
      <c r="N357">
        <v>1</v>
      </c>
      <c r="O357">
        <v>0</v>
      </c>
    </row>
    <row r="358" spans="1:15" x14ac:dyDescent="0.2">
      <c r="A358" s="1" t="str">
        <f>HYPERLINK("http://www.twitter.com/banuakdenizli/status/1584533673692364805", "1584533673692364805")</f>
        <v>1584533673692364805</v>
      </c>
      <c r="B358" t="s">
        <v>15</v>
      </c>
      <c r="C358" s="2">
        <v>44858.551400462973</v>
      </c>
      <c r="D358">
        <v>0</v>
      </c>
      <c r="E358">
        <v>24</v>
      </c>
      <c r="F358" t="s">
        <v>16</v>
      </c>
      <c r="G358" t="s">
        <v>400</v>
      </c>
      <c r="H358" t="str">
        <f>HYPERLINK("https://video.twimg.com/amplify_video/1584254698747400193/vid/1280x720/9cRxL-Rn2zq9Tc7l.mp4?tag=14", "https://video.twimg.com/amplify_video/1584254698747400193/vid/1280x720/9cRxL-Rn2zq9Tc7l.mp4?tag=14")</f>
        <v>https://video.twimg.com/amplify_video/1584254698747400193/vid/1280x720/9cRxL-Rn2zq9Tc7l.mp4?tag=14</v>
      </c>
      <c r="L358">
        <v>0</v>
      </c>
      <c r="M358">
        <v>0</v>
      </c>
      <c r="N358">
        <v>1</v>
      </c>
      <c r="O358">
        <v>0</v>
      </c>
    </row>
    <row r="359" spans="1:15" x14ac:dyDescent="0.2">
      <c r="A359" s="1" t="str">
        <f>HYPERLINK("http://www.twitter.com/banuakdenizli/status/1584533662963445762", "1584533662963445762")</f>
        <v>1584533662963445762</v>
      </c>
      <c r="B359" t="s">
        <v>15</v>
      </c>
      <c r="C359" s="2">
        <v>44858.551377314812</v>
      </c>
      <c r="D359">
        <v>0</v>
      </c>
      <c r="E359">
        <v>13</v>
      </c>
      <c r="F359" t="s">
        <v>18</v>
      </c>
      <c r="G359" t="s">
        <v>401</v>
      </c>
      <c r="H359" t="str">
        <f>HYPERLINK("http://pbs.twimg.com/media/Ffx6wixXgAEG-Kf.jpg", "http://pbs.twimg.com/media/Ffx6wixXgAEG-Kf.jpg")</f>
        <v>http://pbs.twimg.com/media/Ffx6wixXgAEG-Kf.jpg</v>
      </c>
      <c r="I359" t="str">
        <f>HYPERLINK("http://pbs.twimg.com/media/Ffx6wi7WYAEYbXN.jpg", "http://pbs.twimg.com/media/Ffx6wi7WYAEYbXN.jpg")</f>
        <v>http://pbs.twimg.com/media/Ffx6wi7WYAEYbXN.jpg</v>
      </c>
      <c r="J359" t="str">
        <f>HYPERLINK("http://pbs.twimg.com/media/Ffx6wVgXwAAzW62.jpg", "http://pbs.twimg.com/media/Ffx6wVgXwAAzW62.jpg")</f>
        <v>http://pbs.twimg.com/media/Ffx6wVgXwAAzW62.jpg</v>
      </c>
      <c r="K359" t="str">
        <f>HYPERLINK("http://pbs.twimg.com/media/Ffx6x7UXgAUAlke.jpg", "http://pbs.twimg.com/media/Ffx6x7UXgAUAlke.jpg")</f>
        <v>http://pbs.twimg.com/media/Ffx6x7UXgAUAlke.jpg</v>
      </c>
      <c r="L359">
        <v>0</v>
      </c>
      <c r="M359">
        <v>0</v>
      </c>
      <c r="N359">
        <v>1</v>
      </c>
      <c r="O359">
        <v>0</v>
      </c>
    </row>
    <row r="360" spans="1:15" x14ac:dyDescent="0.2">
      <c r="A360" s="1" t="str">
        <f>HYPERLINK("http://www.twitter.com/banuakdenizli/status/1584533653501009921", "1584533653501009921")</f>
        <v>1584533653501009921</v>
      </c>
      <c r="B360" t="s">
        <v>15</v>
      </c>
      <c r="C360" s="2">
        <v>44858.551342592589</v>
      </c>
      <c r="D360">
        <v>0</v>
      </c>
      <c r="E360">
        <v>17</v>
      </c>
      <c r="F360" t="s">
        <v>18</v>
      </c>
      <c r="G360" t="s">
        <v>402</v>
      </c>
      <c r="H360" t="str">
        <f>HYPERLINK("http://pbs.twimg.com/media/Ffxyf0pXEAID7LC.jpg", "http://pbs.twimg.com/media/Ffxyf0pXEAID7LC.jpg")</f>
        <v>http://pbs.twimg.com/media/Ffxyf0pXEAID7LC.jpg</v>
      </c>
      <c r="I360" t="str">
        <f>HYPERLINK("http://pbs.twimg.com/media/Ffxyf0LWQAA8PvR.jpg", "http://pbs.twimg.com/media/Ffxyf0LWQAA8PvR.jpg")</f>
        <v>http://pbs.twimg.com/media/Ffxyf0LWQAA8PvR.jpg</v>
      </c>
      <c r="J360" t="str">
        <f>HYPERLINK("http://pbs.twimg.com/media/Ffxyf0zXgAA0xBX.jpg", "http://pbs.twimg.com/media/Ffxyf0zXgAA0xBX.jpg")</f>
        <v>http://pbs.twimg.com/media/Ffxyf0zXgAA0xBX.jpg</v>
      </c>
      <c r="K360" t="str">
        <f>HYPERLINK("http://pbs.twimg.com/media/Ffxyf0ZXEAAlRjw.jpg", "http://pbs.twimg.com/media/Ffxyf0ZXEAAlRjw.jpg")</f>
        <v>http://pbs.twimg.com/media/Ffxyf0ZXEAAlRjw.jpg</v>
      </c>
      <c r="L360">
        <v>0</v>
      </c>
      <c r="M360">
        <v>0</v>
      </c>
      <c r="N360">
        <v>1</v>
      </c>
      <c r="O360">
        <v>0</v>
      </c>
    </row>
    <row r="361" spans="1:15" x14ac:dyDescent="0.2">
      <c r="A361" s="1" t="str">
        <f>HYPERLINK("http://www.twitter.com/banuakdenizli/status/1584533631250595841", "1584533631250595841")</f>
        <v>1584533631250595841</v>
      </c>
      <c r="B361" t="s">
        <v>15</v>
      </c>
      <c r="C361" s="2">
        <v>44858.55128472222</v>
      </c>
      <c r="D361">
        <v>0</v>
      </c>
      <c r="E361">
        <v>54</v>
      </c>
      <c r="F361" t="s">
        <v>20</v>
      </c>
      <c r="G361" t="s">
        <v>403</v>
      </c>
      <c r="H361" t="str">
        <f>HYPERLINK("http://pbs.twimg.com/media/Ffxqi3AXEAA9SJ3.jpg", "http://pbs.twimg.com/media/Ffxqi3AXEAA9SJ3.jpg")</f>
        <v>http://pbs.twimg.com/media/Ffxqi3AXEAA9SJ3.jpg</v>
      </c>
      <c r="I361" t="str">
        <f>HYPERLINK("http://pbs.twimg.com/media/Ffxqi3BXkAMAVrQ.jpg", "http://pbs.twimg.com/media/Ffxqi3BXkAMAVrQ.jpg")</f>
        <v>http://pbs.twimg.com/media/Ffxqi3BXkAMAVrQ.jpg</v>
      </c>
      <c r="L361">
        <v>0</v>
      </c>
      <c r="M361">
        <v>0</v>
      </c>
      <c r="N361">
        <v>1</v>
      </c>
      <c r="O361">
        <v>0</v>
      </c>
    </row>
    <row r="362" spans="1:15" x14ac:dyDescent="0.2">
      <c r="A362" s="1" t="str">
        <f>HYPERLINK("http://www.twitter.com/banuakdenizli/status/1584533610622640128", "1584533610622640128")</f>
        <v>1584533610622640128</v>
      </c>
      <c r="B362" t="s">
        <v>15</v>
      </c>
      <c r="C362" s="2">
        <v>44858.551226851851</v>
      </c>
      <c r="D362">
        <v>0</v>
      </c>
      <c r="E362">
        <v>26</v>
      </c>
      <c r="F362" t="s">
        <v>23</v>
      </c>
      <c r="G362" t="s">
        <v>404</v>
      </c>
      <c r="L362">
        <v>0</v>
      </c>
      <c r="M362">
        <v>0</v>
      </c>
      <c r="N362">
        <v>1</v>
      </c>
      <c r="O362">
        <v>0</v>
      </c>
    </row>
    <row r="363" spans="1:15" x14ac:dyDescent="0.2">
      <c r="A363" s="1" t="str">
        <f>HYPERLINK("http://www.twitter.com/banuakdenizli/status/1584533512111390720", "1584533512111390720")</f>
        <v>1584533512111390720</v>
      </c>
      <c r="B363" t="s">
        <v>15</v>
      </c>
      <c r="C363" s="2">
        <v>44858.55096064815</v>
      </c>
      <c r="D363">
        <v>0</v>
      </c>
      <c r="E363">
        <v>39</v>
      </c>
      <c r="F363" t="s">
        <v>20</v>
      </c>
      <c r="G363" t="s">
        <v>405</v>
      </c>
      <c r="H363" t="str">
        <f>HYPERLINK("http://pbs.twimg.com/media/FfxunkbXoAUlRRb.jpg", "http://pbs.twimg.com/media/FfxunkbXoAUlRRb.jpg")</f>
        <v>http://pbs.twimg.com/media/FfxunkbXoAUlRRb.jpg</v>
      </c>
      <c r="I363" t="str">
        <f>HYPERLINK("http://pbs.twimg.com/media/FfxunkZWQAcmET2.jpg", "http://pbs.twimg.com/media/FfxunkZWQAcmET2.jpg")</f>
        <v>http://pbs.twimg.com/media/FfxunkZWQAcmET2.jpg</v>
      </c>
      <c r="L363">
        <v>0.95289999999999997</v>
      </c>
      <c r="M363">
        <v>0</v>
      </c>
      <c r="N363">
        <v>0.69299999999999995</v>
      </c>
      <c r="O363">
        <v>0.307</v>
      </c>
    </row>
    <row r="364" spans="1:15" x14ac:dyDescent="0.2">
      <c r="A364" s="1" t="str">
        <f>HYPERLINK("http://www.twitter.com/banuakdenizli/status/1583450093801582594", "1583450093801582594")</f>
        <v>1583450093801582594</v>
      </c>
      <c r="B364" t="s">
        <v>15</v>
      </c>
      <c r="C364" s="2">
        <v>44855.561296296299</v>
      </c>
      <c r="D364">
        <v>0</v>
      </c>
      <c r="E364">
        <v>42</v>
      </c>
      <c r="F364" t="s">
        <v>406</v>
      </c>
      <c r="G364" t="s">
        <v>407</v>
      </c>
      <c r="H364" t="str">
        <f>HYPERLINK("https://video.twimg.com/ext_tw_video/1583397524060127233/pu/vid/1280x720/r6CPnRZBie5T4v9C.mp4?tag=12", "https://video.twimg.com/ext_tw_video/1583397524060127233/pu/vid/1280x720/r6CPnRZBie5T4v9C.mp4?tag=12")</f>
        <v>https://video.twimg.com/ext_tw_video/1583397524060127233/pu/vid/1280x720/r6CPnRZBie5T4v9C.mp4?tag=12</v>
      </c>
      <c r="L364">
        <v>0</v>
      </c>
      <c r="M364">
        <v>0</v>
      </c>
      <c r="N364">
        <v>1</v>
      </c>
      <c r="O364">
        <v>0</v>
      </c>
    </row>
    <row r="365" spans="1:15" x14ac:dyDescent="0.2">
      <c r="A365" s="1" t="str">
        <f>HYPERLINK("http://www.twitter.com/banuakdenizli/status/1583450064483061760", "1583450064483061760")</f>
        <v>1583450064483061760</v>
      </c>
      <c r="B365" t="s">
        <v>15</v>
      </c>
      <c r="C365" s="2">
        <v>44855.561215277783</v>
      </c>
      <c r="D365">
        <v>0</v>
      </c>
      <c r="E365">
        <v>4</v>
      </c>
      <c r="F365" t="s">
        <v>201</v>
      </c>
      <c r="G365" t="s">
        <v>408</v>
      </c>
      <c r="H365" t="str">
        <f>HYPERLINK("https://video.twimg.com/ext_tw_video/1583131405059489792/pu/vid/1280x720/sdg6WgGWvaMs24jb.mp4?tag=12", "https://video.twimg.com/ext_tw_video/1583131405059489792/pu/vid/1280x720/sdg6WgGWvaMs24jb.mp4?tag=12")</f>
        <v>https://video.twimg.com/ext_tw_video/1583131405059489792/pu/vid/1280x720/sdg6WgGWvaMs24jb.mp4?tag=12</v>
      </c>
      <c r="L365">
        <v>0.52669999999999995</v>
      </c>
      <c r="M365">
        <v>0</v>
      </c>
      <c r="N365">
        <v>0.81200000000000006</v>
      </c>
      <c r="O365">
        <v>0.188</v>
      </c>
    </row>
    <row r="366" spans="1:15" x14ac:dyDescent="0.2">
      <c r="A366" s="1" t="str">
        <f>HYPERLINK("http://www.twitter.com/banuakdenizli/status/1583450028537827328", "1583450028537827328")</f>
        <v>1583450028537827328</v>
      </c>
      <c r="B366" t="s">
        <v>15</v>
      </c>
      <c r="C366" s="2">
        <v>44855.561111111107</v>
      </c>
      <c r="D366">
        <v>0</v>
      </c>
      <c r="E366">
        <v>40</v>
      </c>
      <c r="F366" t="s">
        <v>234</v>
      </c>
      <c r="G366" t="s">
        <v>409</v>
      </c>
      <c r="H366" t="str">
        <f>HYPERLINK("http://pbs.twimg.com/media/FflFly-XgAAbjUr.jpg", "http://pbs.twimg.com/media/FflFly-XgAAbjUr.jpg")</f>
        <v>http://pbs.twimg.com/media/FflFly-XgAAbjUr.jpg</v>
      </c>
      <c r="I366" t="str">
        <f>HYPERLINK("http://pbs.twimg.com/media/FflFlzFXEAAI9F1.jpg", "http://pbs.twimg.com/media/FflFlzFXEAAI9F1.jpg")</f>
        <v>http://pbs.twimg.com/media/FflFlzFXEAAI9F1.jpg</v>
      </c>
      <c r="J366" t="str">
        <f>HYPERLINK("http://pbs.twimg.com/media/FflFlyXXEAAPuZq.jpg", "http://pbs.twimg.com/media/FflFlyXXEAAPuZq.jpg")</f>
        <v>http://pbs.twimg.com/media/FflFlyXXEAAPuZq.jpg</v>
      </c>
      <c r="K366" t="str">
        <f>HYPERLINK("http://pbs.twimg.com/media/FflFlzmXkAIPbuY.jpg", "http://pbs.twimg.com/media/FflFlzmXkAIPbuY.jpg")</f>
        <v>http://pbs.twimg.com/media/FflFlzmXkAIPbuY.jpg</v>
      </c>
      <c r="L366">
        <v>0</v>
      </c>
      <c r="M366">
        <v>0</v>
      </c>
      <c r="N366">
        <v>1</v>
      </c>
      <c r="O366">
        <v>0</v>
      </c>
    </row>
    <row r="367" spans="1:15" x14ac:dyDescent="0.2">
      <c r="A367" s="1" t="str">
        <f>HYPERLINK("http://www.twitter.com/banuakdenizli/status/1583449875403796480", "1583449875403796480")</f>
        <v>1583449875403796480</v>
      </c>
      <c r="B367" t="s">
        <v>15</v>
      </c>
      <c r="C367" s="2">
        <v>44855.560694444437</v>
      </c>
      <c r="D367">
        <v>0</v>
      </c>
      <c r="E367">
        <v>57</v>
      </c>
      <c r="F367" t="s">
        <v>27</v>
      </c>
      <c r="G367" t="s">
        <v>410</v>
      </c>
      <c r="H367" t="str">
        <f>HYPERLINK("https://video.twimg.com/amplify_video/1583437862384680961/vid/1280x720/1DOnHCab2BApP9tZ.mp4?tag=14", "https://video.twimg.com/amplify_video/1583437862384680961/vid/1280x720/1DOnHCab2BApP9tZ.mp4?tag=14")</f>
        <v>https://video.twimg.com/amplify_video/1583437862384680961/vid/1280x720/1DOnHCab2BApP9tZ.mp4?tag=14</v>
      </c>
      <c r="L367">
        <v>0</v>
      </c>
      <c r="M367">
        <v>0</v>
      </c>
      <c r="N367">
        <v>1</v>
      </c>
      <c r="O367">
        <v>0</v>
      </c>
    </row>
    <row r="368" spans="1:15" x14ac:dyDescent="0.2">
      <c r="A368" s="1" t="str">
        <f>HYPERLINK("http://www.twitter.com/banuakdenizli/status/1583118589443289091", "1583118589443289091")</f>
        <v>1583118589443289091</v>
      </c>
      <c r="B368" t="s">
        <v>15</v>
      </c>
      <c r="C368" s="2">
        <v>44854.646516203713</v>
      </c>
      <c r="D368">
        <v>0</v>
      </c>
      <c r="E368">
        <v>14</v>
      </c>
      <c r="F368" t="s">
        <v>16</v>
      </c>
      <c r="G368" t="s">
        <v>411</v>
      </c>
      <c r="H368" t="str">
        <f>HYPERLINK("https://video.twimg.com/amplify_video/1583108047693443072/vid/1280x720/30En18H4tGcB3krn.mp4?tag=14", "https://video.twimg.com/amplify_video/1583108047693443072/vid/1280x720/30En18H4tGcB3krn.mp4?tag=14")</f>
        <v>https://video.twimg.com/amplify_video/1583108047693443072/vid/1280x720/30En18H4tGcB3krn.mp4?tag=14</v>
      </c>
      <c r="L368">
        <v>0</v>
      </c>
      <c r="M368">
        <v>0</v>
      </c>
      <c r="N368">
        <v>1</v>
      </c>
      <c r="O368">
        <v>0</v>
      </c>
    </row>
    <row r="369" spans="1:15" x14ac:dyDescent="0.2">
      <c r="A369" s="1" t="str">
        <f>HYPERLINK("http://www.twitter.com/banuakdenizli/status/1583104656967815168", "1583104656967815168")</f>
        <v>1583104656967815168</v>
      </c>
      <c r="B369" t="s">
        <v>15</v>
      </c>
      <c r="C369" s="2">
        <v>44854.608067129629</v>
      </c>
      <c r="D369">
        <v>0</v>
      </c>
      <c r="E369">
        <v>36</v>
      </c>
      <c r="F369" t="s">
        <v>20</v>
      </c>
      <c r="G369" t="s">
        <v>412</v>
      </c>
      <c r="H369" t="str">
        <f>HYPERLINK("http://pbs.twimg.com/media/FfhH1RDXkAITRPm.jpg", "http://pbs.twimg.com/media/FfhH1RDXkAITRPm.jpg")</f>
        <v>http://pbs.twimg.com/media/FfhH1RDXkAITRPm.jpg</v>
      </c>
      <c r="L369">
        <v>0.69079999999999997</v>
      </c>
      <c r="M369">
        <v>0</v>
      </c>
      <c r="N369">
        <v>0.878</v>
      </c>
      <c r="O369">
        <v>0.122</v>
      </c>
    </row>
    <row r="370" spans="1:15" x14ac:dyDescent="0.2">
      <c r="A370" s="1" t="str">
        <f>HYPERLINK("http://www.twitter.com/banuakdenizli/status/1583096361276256257", "1583096361276256257")</f>
        <v>1583096361276256257</v>
      </c>
      <c r="B370" t="s">
        <v>15</v>
      </c>
      <c r="C370" s="2">
        <v>44854.585173611107</v>
      </c>
      <c r="D370">
        <v>1</v>
      </c>
      <c r="E370">
        <v>0</v>
      </c>
      <c r="G370" t="s">
        <v>413</v>
      </c>
      <c r="L370">
        <v>0</v>
      </c>
      <c r="M370">
        <v>0</v>
      </c>
      <c r="N370">
        <v>1</v>
      </c>
      <c r="O370">
        <v>0</v>
      </c>
    </row>
    <row r="371" spans="1:15" x14ac:dyDescent="0.2">
      <c r="A371" s="1" t="str">
        <f>HYPERLINK("http://www.twitter.com/banuakdenizli/status/1583094670250639360", "1583094670250639360")</f>
        <v>1583094670250639360</v>
      </c>
      <c r="B371" t="s">
        <v>15</v>
      </c>
      <c r="C371" s="2">
        <v>44854.580509259264</v>
      </c>
      <c r="D371">
        <v>1</v>
      </c>
      <c r="E371">
        <v>1</v>
      </c>
      <c r="G371" t="s">
        <v>414</v>
      </c>
      <c r="H371" t="str">
        <f>HYPERLINK("http://pbs.twimg.com/media/FfhINBlXgAAy2kb.jpg", "http://pbs.twimg.com/media/FfhINBlXgAAy2kb.jpg")</f>
        <v>http://pbs.twimg.com/media/FfhINBlXgAAy2kb.jpg</v>
      </c>
      <c r="L371">
        <v>0</v>
      </c>
      <c r="M371">
        <v>0</v>
      </c>
      <c r="N371">
        <v>1</v>
      </c>
      <c r="O371">
        <v>0</v>
      </c>
    </row>
    <row r="372" spans="1:15" x14ac:dyDescent="0.2">
      <c r="A372" s="1" t="str">
        <f>HYPERLINK("http://www.twitter.com/banuakdenizli/status/1583089658791022592", "1583089658791022592")</f>
        <v>1583089658791022592</v>
      </c>
      <c r="B372" t="s">
        <v>15</v>
      </c>
      <c r="C372" s="2">
        <v>44854.566678240742</v>
      </c>
      <c r="D372">
        <v>0</v>
      </c>
      <c r="E372">
        <v>0</v>
      </c>
      <c r="G372" t="s">
        <v>415</v>
      </c>
      <c r="H372" t="str">
        <f>HYPERLINK("http://pbs.twimg.com/media/FfhDldQX0AMMib-.jpg", "http://pbs.twimg.com/media/FfhDldQX0AMMib-.jpg")</f>
        <v>http://pbs.twimg.com/media/FfhDldQX0AMMib-.jpg</v>
      </c>
      <c r="L372">
        <v>0</v>
      </c>
      <c r="M372">
        <v>0</v>
      </c>
      <c r="N372">
        <v>1</v>
      </c>
      <c r="O372">
        <v>0</v>
      </c>
    </row>
    <row r="373" spans="1:15" x14ac:dyDescent="0.2">
      <c r="A373" s="1" t="str">
        <f>HYPERLINK("http://www.twitter.com/banuakdenizli/status/1583088752741580801", "1583088752741580801")</f>
        <v>1583088752741580801</v>
      </c>
      <c r="B373" t="s">
        <v>15</v>
      </c>
      <c r="C373" s="2">
        <v>44854.56417824074</v>
      </c>
      <c r="D373">
        <v>0</v>
      </c>
      <c r="E373">
        <v>0</v>
      </c>
      <c r="G373" t="s">
        <v>416</v>
      </c>
      <c r="H373" t="str">
        <f>HYPERLINK("http://pbs.twimg.com/media/FfhC0viXgAUE8V7.jpg", "http://pbs.twimg.com/media/FfhC0viXgAUE8V7.jpg")</f>
        <v>http://pbs.twimg.com/media/FfhC0viXgAUE8V7.jpg</v>
      </c>
      <c r="L373">
        <v>0</v>
      </c>
      <c r="M373">
        <v>0</v>
      </c>
      <c r="N373">
        <v>1</v>
      </c>
      <c r="O373">
        <v>0</v>
      </c>
    </row>
    <row r="374" spans="1:15" x14ac:dyDescent="0.2">
      <c r="A374" s="1" t="str">
        <f>HYPERLINK("http://www.twitter.com/banuakdenizli/status/1583085800828284928", "1583085800828284928")</f>
        <v>1583085800828284928</v>
      </c>
      <c r="B374" t="s">
        <v>15</v>
      </c>
      <c r="C374" s="2">
        <v>44854.556030092594</v>
      </c>
      <c r="D374">
        <v>0</v>
      </c>
      <c r="E374">
        <v>3</v>
      </c>
      <c r="F374" t="s">
        <v>17</v>
      </c>
      <c r="G374" t="s">
        <v>417</v>
      </c>
      <c r="H374" t="str">
        <f>HYPERLINK("http://pbs.twimg.com/media/FffBDJuWAAEoUPF.jpg", "http://pbs.twimg.com/media/FffBDJuWAAEoUPF.jpg")</f>
        <v>http://pbs.twimg.com/media/FffBDJuWAAEoUPF.jpg</v>
      </c>
      <c r="L374">
        <v>0</v>
      </c>
      <c r="M374">
        <v>0</v>
      </c>
      <c r="N374">
        <v>1</v>
      </c>
      <c r="O374">
        <v>0</v>
      </c>
    </row>
    <row r="375" spans="1:15" x14ac:dyDescent="0.2">
      <c r="A375" s="1" t="str">
        <f>HYPERLINK("http://www.twitter.com/banuakdenizli/status/1583085692032540674", "1583085692032540674")</f>
        <v>1583085692032540674</v>
      </c>
      <c r="B375" t="s">
        <v>15</v>
      </c>
      <c r="C375" s="2">
        <v>44854.55572916667</v>
      </c>
      <c r="D375">
        <v>0</v>
      </c>
      <c r="E375">
        <v>6</v>
      </c>
      <c r="F375" t="s">
        <v>18</v>
      </c>
      <c r="G375" t="s">
        <v>418</v>
      </c>
      <c r="H375" t="str">
        <f>HYPERLINK("http://pbs.twimg.com/media/FfgYXJxXoAAMV9M.jpg", "http://pbs.twimg.com/media/FfgYXJxXoAAMV9M.jpg")</f>
        <v>http://pbs.twimg.com/media/FfgYXJxXoAAMV9M.jpg</v>
      </c>
      <c r="L375">
        <v>0</v>
      </c>
      <c r="M375">
        <v>0</v>
      </c>
      <c r="N375">
        <v>1</v>
      </c>
      <c r="O375">
        <v>0</v>
      </c>
    </row>
    <row r="376" spans="1:15" x14ac:dyDescent="0.2">
      <c r="A376" s="1" t="str">
        <f>HYPERLINK("http://www.twitter.com/banuakdenizli/status/1583085662726545409", "1583085662726545409")</f>
        <v>1583085662726545409</v>
      </c>
      <c r="B376" t="s">
        <v>15</v>
      </c>
      <c r="C376" s="2">
        <v>44854.555648148147</v>
      </c>
      <c r="D376">
        <v>0</v>
      </c>
      <c r="E376">
        <v>8</v>
      </c>
      <c r="F376" t="s">
        <v>18</v>
      </c>
      <c r="G376" t="s">
        <v>419</v>
      </c>
      <c r="H376" t="str">
        <f>HYPERLINK("http://pbs.twimg.com/media/FfgW7TxXkAAZvSa.jpg", "http://pbs.twimg.com/media/FfgW7TxXkAAZvSa.jpg")</f>
        <v>http://pbs.twimg.com/media/FfgW7TxXkAAZvSa.jpg</v>
      </c>
      <c r="L376">
        <v>0.62490000000000001</v>
      </c>
      <c r="M376">
        <v>0</v>
      </c>
      <c r="N376">
        <v>0.77300000000000002</v>
      </c>
      <c r="O376">
        <v>0.22700000000000001</v>
      </c>
    </row>
    <row r="377" spans="1:15" x14ac:dyDescent="0.2">
      <c r="A377" s="1" t="str">
        <f>HYPERLINK("http://www.twitter.com/banuakdenizli/status/1583085647731904512", "1583085647731904512")</f>
        <v>1583085647731904512</v>
      </c>
      <c r="B377" t="s">
        <v>15</v>
      </c>
      <c r="C377" s="2">
        <v>44854.555613425917</v>
      </c>
      <c r="D377">
        <v>0</v>
      </c>
      <c r="E377">
        <v>20</v>
      </c>
      <c r="F377" t="s">
        <v>19</v>
      </c>
      <c r="G377" t="s">
        <v>420</v>
      </c>
      <c r="H377" t="str">
        <f>HYPERLINK("http://pbs.twimg.com/media/FfdOrN8XEB4MNc7.jpg", "http://pbs.twimg.com/media/FfdOrN8XEB4MNc7.jpg")</f>
        <v>http://pbs.twimg.com/media/FfdOrN8XEB4MNc7.jpg</v>
      </c>
      <c r="L377">
        <v>0.76500000000000001</v>
      </c>
      <c r="M377">
        <v>0</v>
      </c>
      <c r="N377">
        <v>0.84099999999999997</v>
      </c>
      <c r="O377">
        <v>0.159</v>
      </c>
    </row>
    <row r="378" spans="1:15" x14ac:dyDescent="0.2">
      <c r="A378" s="1" t="str">
        <f>HYPERLINK("http://www.twitter.com/banuakdenizli/status/1583085632426954752", "1583085632426954752")</f>
        <v>1583085632426954752</v>
      </c>
      <c r="B378" t="s">
        <v>15</v>
      </c>
      <c r="C378" s="2">
        <v>44854.555567129632</v>
      </c>
      <c r="D378">
        <v>0</v>
      </c>
      <c r="E378">
        <v>6</v>
      </c>
      <c r="F378" t="s">
        <v>18</v>
      </c>
      <c r="G378" t="s">
        <v>421</v>
      </c>
      <c r="H378" t="str">
        <f>HYPERLINK("http://pbs.twimg.com/media/FfdfKV2WYBszr4L.jpg", "http://pbs.twimg.com/media/FfdfKV2WYBszr4L.jpg")</f>
        <v>http://pbs.twimg.com/media/FfdfKV2WYBszr4L.jpg</v>
      </c>
      <c r="L378">
        <v>0</v>
      </c>
      <c r="M378">
        <v>0</v>
      </c>
      <c r="N378">
        <v>1</v>
      </c>
      <c r="O378">
        <v>0</v>
      </c>
    </row>
    <row r="379" spans="1:15" x14ac:dyDescent="0.2">
      <c r="A379" s="1" t="str">
        <f>HYPERLINK("http://www.twitter.com/banuakdenizli/status/1583085299785007107", "1583085299785007107")</f>
        <v>1583085299785007107</v>
      </c>
      <c r="B379" t="s">
        <v>15</v>
      </c>
      <c r="C379" s="2">
        <v>44854.554652777777</v>
      </c>
      <c r="D379">
        <v>0</v>
      </c>
      <c r="E379">
        <v>9</v>
      </c>
      <c r="F379" t="s">
        <v>16</v>
      </c>
      <c r="G379" t="s">
        <v>422</v>
      </c>
      <c r="H379" t="str">
        <f>HYPERLINK("http://pbs.twimg.com/media/Ffg3UykXgAAq_qg.jpg", "http://pbs.twimg.com/media/Ffg3UykXgAAq_qg.jpg")</f>
        <v>http://pbs.twimg.com/media/Ffg3UykXgAAq_qg.jpg</v>
      </c>
      <c r="I379" t="str">
        <f>HYPERLINK("http://pbs.twimg.com/media/Ffg3UylXoAEouMB.jpg", "http://pbs.twimg.com/media/Ffg3UylXoAEouMB.jpg")</f>
        <v>http://pbs.twimg.com/media/Ffg3UylXoAEouMB.jpg</v>
      </c>
      <c r="J379" t="str">
        <f>HYPERLINK("http://pbs.twimg.com/media/Ffg2TcuWYAMgQAC.jpg", "http://pbs.twimg.com/media/Ffg2TcuWYAMgQAC.jpg")</f>
        <v>http://pbs.twimg.com/media/Ffg2TcuWYAMgQAC.jpg</v>
      </c>
      <c r="K379" t="str">
        <f>HYPERLINK("http://pbs.twimg.com/media/Ffg3UyiWIAUYbZM.jpg", "http://pbs.twimg.com/media/Ffg3UyiWIAUYbZM.jpg")</f>
        <v>http://pbs.twimg.com/media/Ffg3UyiWIAUYbZM.jpg</v>
      </c>
      <c r="L379">
        <v>0</v>
      </c>
      <c r="M379">
        <v>0</v>
      </c>
      <c r="N379">
        <v>1</v>
      </c>
      <c r="O379">
        <v>0</v>
      </c>
    </row>
    <row r="380" spans="1:15" x14ac:dyDescent="0.2">
      <c r="A380" s="1" t="str">
        <f>HYPERLINK("http://www.twitter.com/banuakdenizli/status/1583085239920136192", "1583085239920136192")</f>
        <v>1583085239920136192</v>
      </c>
      <c r="B380" t="s">
        <v>15</v>
      </c>
      <c r="C380" s="2">
        <v>44854.554490740738</v>
      </c>
      <c r="D380">
        <v>0</v>
      </c>
      <c r="E380">
        <v>8</v>
      </c>
      <c r="F380" t="s">
        <v>16</v>
      </c>
      <c r="G380" t="s">
        <v>423</v>
      </c>
      <c r="H380" t="str">
        <f>HYPERLINK("http://pbs.twimg.com/media/FfgTOc-XgAAtTqT.jpg", "http://pbs.twimg.com/media/FfgTOc-XgAAtTqT.jpg")</f>
        <v>http://pbs.twimg.com/media/FfgTOc-XgAAtTqT.jpg</v>
      </c>
      <c r="L380">
        <v>0</v>
      </c>
      <c r="M380">
        <v>0</v>
      </c>
      <c r="N380">
        <v>1</v>
      </c>
      <c r="O380">
        <v>0</v>
      </c>
    </row>
    <row r="381" spans="1:15" x14ac:dyDescent="0.2">
      <c r="A381" s="1" t="str">
        <f>HYPERLINK("http://www.twitter.com/banuakdenizli/status/1583085205988204544", "1583085205988204544")</f>
        <v>1583085205988204544</v>
      </c>
      <c r="B381" t="s">
        <v>15</v>
      </c>
      <c r="C381" s="2">
        <v>44854.554398148153</v>
      </c>
      <c r="D381">
        <v>0</v>
      </c>
      <c r="E381">
        <v>4</v>
      </c>
      <c r="F381" t="s">
        <v>16</v>
      </c>
      <c r="G381" t="s">
        <v>424</v>
      </c>
      <c r="H381" t="str">
        <f>HYPERLINK("http://pbs.twimg.com/media/FfgOhiuXgAQTPSL.jpg", "http://pbs.twimg.com/media/FfgOhiuXgAQTPSL.jpg")</f>
        <v>http://pbs.twimg.com/media/FfgOhiuXgAQTPSL.jpg</v>
      </c>
      <c r="L381">
        <v>0</v>
      </c>
      <c r="M381">
        <v>0</v>
      </c>
      <c r="N381">
        <v>1</v>
      </c>
      <c r="O381">
        <v>0</v>
      </c>
    </row>
    <row r="382" spans="1:15" x14ac:dyDescent="0.2">
      <c r="A382" s="1" t="str">
        <f>HYPERLINK("http://www.twitter.com/banuakdenizli/status/1583085188036247554", "1583085188036247554")</f>
        <v>1583085188036247554</v>
      </c>
      <c r="B382" t="s">
        <v>15</v>
      </c>
      <c r="C382" s="2">
        <v>44854.554340277777</v>
      </c>
      <c r="D382">
        <v>0</v>
      </c>
      <c r="E382">
        <v>11</v>
      </c>
      <c r="F382" t="s">
        <v>19</v>
      </c>
      <c r="G382" t="s">
        <v>425</v>
      </c>
      <c r="H382" t="str">
        <f>HYPERLINK("http://pbs.twimg.com/media/FfdOajXWYAAdQEU.jpg", "http://pbs.twimg.com/media/FfdOajXWYAAdQEU.jpg")</f>
        <v>http://pbs.twimg.com/media/FfdOajXWYAAdQEU.jpg</v>
      </c>
      <c r="L382">
        <v>0</v>
      </c>
      <c r="M382">
        <v>0</v>
      </c>
      <c r="N382">
        <v>1</v>
      </c>
      <c r="O382">
        <v>0</v>
      </c>
    </row>
    <row r="383" spans="1:15" x14ac:dyDescent="0.2">
      <c r="A383" s="1" t="str">
        <f>HYPERLINK("http://www.twitter.com/banuakdenizli/status/1583085089725915136", "1583085089725915136")</f>
        <v>1583085089725915136</v>
      </c>
      <c r="B383" t="s">
        <v>15</v>
      </c>
      <c r="C383" s="2">
        <v>44854.554074074083</v>
      </c>
      <c r="D383">
        <v>0</v>
      </c>
      <c r="E383">
        <v>7</v>
      </c>
      <c r="F383" t="s">
        <v>16</v>
      </c>
      <c r="G383" t="s">
        <v>426</v>
      </c>
      <c r="H383" t="str">
        <f>HYPERLINK("http://pbs.twimg.com/media/FfdIGHTXEAsgtE4.jpg", "http://pbs.twimg.com/media/FfdIGHTXEAsgtE4.jpg")</f>
        <v>http://pbs.twimg.com/media/FfdIGHTXEAsgtE4.jpg</v>
      </c>
      <c r="L383">
        <v>0</v>
      </c>
      <c r="M383">
        <v>0</v>
      </c>
      <c r="N383">
        <v>1</v>
      </c>
      <c r="O383">
        <v>0</v>
      </c>
    </row>
    <row r="384" spans="1:15" x14ac:dyDescent="0.2">
      <c r="A384" s="1" t="str">
        <f>HYPERLINK("http://www.twitter.com/banuakdenizli/status/1582779530628182017", "1582779530628182017")</f>
        <v>1582779530628182017</v>
      </c>
      <c r="B384" t="s">
        <v>15</v>
      </c>
      <c r="C384" s="2">
        <v>44853.7108912037</v>
      </c>
      <c r="D384">
        <v>3</v>
      </c>
      <c r="E384">
        <v>0</v>
      </c>
      <c r="G384" t="s">
        <v>427</v>
      </c>
      <c r="H384" t="str">
        <f>HYPERLINK("http://pbs.twimg.com/media/FfcpltuXkAE3Un5.jpg", "http://pbs.twimg.com/media/FfcpltuXkAE3Un5.jpg")</f>
        <v>http://pbs.twimg.com/media/FfcpltuXkAE3Un5.jpg</v>
      </c>
      <c r="L384">
        <v>0</v>
      </c>
      <c r="M384">
        <v>0</v>
      </c>
      <c r="N384">
        <v>1</v>
      </c>
      <c r="O384">
        <v>0</v>
      </c>
    </row>
    <row r="385" spans="1:15" x14ac:dyDescent="0.2">
      <c r="A385" s="1" t="str">
        <f>HYPERLINK("http://www.twitter.com/banuakdenizli/status/1582773517980164096", "1582773517980164096")</f>
        <v>1582773517980164096</v>
      </c>
      <c r="B385" t="s">
        <v>15</v>
      </c>
      <c r="C385" s="2">
        <v>44853.694293981483</v>
      </c>
      <c r="D385">
        <v>0</v>
      </c>
      <c r="E385">
        <v>0</v>
      </c>
      <c r="G385" t="s">
        <v>428</v>
      </c>
      <c r="H385" t="str">
        <f>HYPERLINK("http://pbs.twimg.com/media/FfckHweXgAI6EI4.jpg", "http://pbs.twimg.com/media/FfckHweXgAI6EI4.jpg")</f>
        <v>http://pbs.twimg.com/media/FfckHweXgAI6EI4.jpg</v>
      </c>
      <c r="L385">
        <v>0</v>
      </c>
      <c r="M385">
        <v>0</v>
      </c>
      <c r="N385">
        <v>1</v>
      </c>
      <c r="O385">
        <v>0</v>
      </c>
    </row>
    <row r="386" spans="1:15" x14ac:dyDescent="0.2">
      <c r="A386" s="1" t="str">
        <f>HYPERLINK("http://www.twitter.com/banuakdenizli/status/1582773173472628737", "1582773173472628737")</f>
        <v>1582773173472628737</v>
      </c>
      <c r="B386" t="s">
        <v>15</v>
      </c>
      <c r="C386" s="2">
        <v>44853.693344907413</v>
      </c>
      <c r="D386">
        <v>0</v>
      </c>
      <c r="E386">
        <v>0</v>
      </c>
      <c r="G386" t="s">
        <v>429</v>
      </c>
      <c r="H386" t="str">
        <f>HYPERLINK("http://pbs.twimg.com/media/Ffcjxm_XoAYA5ah.jpg", "http://pbs.twimg.com/media/Ffcjxm_XoAYA5ah.jpg")</f>
        <v>http://pbs.twimg.com/media/Ffcjxm_XoAYA5ah.jpg</v>
      </c>
      <c r="L386">
        <v>0</v>
      </c>
      <c r="M386">
        <v>0</v>
      </c>
      <c r="N386">
        <v>1</v>
      </c>
      <c r="O386">
        <v>0</v>
      </c>
    </row>
    <row r="387" spans="1:15" x14ac:dyDescent="0.2">
      <c r="A387" s="1" t="str">
        <f>HYPERLINK("http://www.twitter.com/banuakdenizli/status/1582743317145538560", "1582743317145538560")</f>
        <v>1582743317145538560</v>
      </c>
      <c r="B387" t="s">
        <v>15</v>
      </c>
      <c r="C387" s="2">
        <v>44853.610960648148</v>
      </c>
      <c r="D387">
        <v>0</v>
      </c>
      <c r="E387">
        <v>69</v>
      </c>
      <c r="F387" t="s">
        <v>23</v>
      </c>
      <c r="G387" t="s">
        <v>430</v>
      </c>
      <c r="H387" t="str">
        <f>HYPERLINK("http://pbs.twimg.com/media/FfXYIDiWYAA9y9O.jpg", "http://pbs.twimg.com/media/FfXYIDiWYAA9y9O.jpg")</f>
        <v>http://pbs.twimg.com/media/FfXYIDiWYAA9y9O.jpg</v>
      </c>
      <c r="I387" t="str">
        <f>HYPERLINK("http://pbs.twimg.com/media/FfXYIDfWAAMCsl2.jpg", "http://pbs.twimg.com/media/FfXYIDfWAAMCsl2.jpg")</f>
        <v>http://pbs.twimg.com/media/FfXYIDfWAAMCsl2.jpg</v>
      </c>
      <c r="J387" t="str">
        <f>HYPERLINK("http://pbs.twimg.com/media/FfXYIDfXEAAWwuE.jpg", "http://pbs.twimg.com/media/FfXYIDfXEAAWwuE.jpg")</f>
        <v>http://pbs.twimg.com/media/FfXYIDfXEAAWwuE.jpg</v>
      </c>
      <c r="L387">
        <v>0</v>
      </c>
      <c r="M387">
        <v>0</v>
      </c>
      <c r="N387">
        <v>1</v>
      </c>
      <c r="O387">
        <v>0</v>
      </c>
    </row>
    <row r="388" spans="1:15" x14ac:dyDescent="0.2">
      <c r="A388" s="1" t="str">
        <f>HYPERLINK("http://www.twitter.com/banuakdenizli/status/1582722326856368129", "1582722326856368129")</f>
        <v>1582722326856368129</v>
      </c>
      <c r="B388" t="s">
        <v>15</v>
      </c>
      <c r="C388" s="2">
        <v>44853.553032407413</v>
      </c>
      <c r="D388">
        <v>0</v>
      </c>
      <c r="E388">
        <v>6</v>
      </c>
      <c r="F388" t="s">
        <v>18</v>
      </c>
      <c r="G388" t="s">
        <v>431</v>
      </c>
      <c r="H388" t="str">
        <f>HYPERLINK("http://pbs.twimg.com/media/FfX7q0UXEBgNayk.jpg", "http://pbs.twimg.com/media/FfX7q0UXEBgNayk.jpg")</f>
        <v>http://pbs.twimg.com/media/FfX7q0UXEBgNayk.jpg</v>
      </c>
      <c r="I388" t="str">
        <f>HYPERLINK("http://pbs.twimg.com/media/FfX7q0YXEBgNgSM.jpg", "http://pbs.twimg.com/media/FfX7q0YXEBgNgSM.jpg")</f>
        <v>http://pbs.twimg.com/media/FfX7q0YXEBgNgSM.jpg</v>
      </c>
      <c r="J388" t="str">
        <f>HYPERLINK("http://pbs.twimg.com/media/FfX7q0ZXEA0lEKA.jpg", "http://pbs.twimg.com/media/FfX7q0ZXEA0lEKA.jpg")</f>
        <v>http://pbs.twimg.com/media/FfX7q0ZXEA0lEKA.jpg</v>
      </c>
      <c r="L388">
        <v>0.40189999999999998</v>
      </c>
      <c r="M388">
        <v>0</v>
      </c>
      <c r="N388">
        <v>0.748</v>
      </c>
      <c r="O388">
        <v>0.252</v>
      </c>
    </row>
    <row r="389" spans="1:15" x14ac:dyDescent="0.2">
      <c r="A389" s="1" t="str">
        <f>HYPERLINK("http://www.twitter.com/banuakdenizli/status/1582722298129195013", "1582722298129195013")</f>
        <v>1582722298129195013</v>
      </c>
      <c r="B389" t="s">
        <v>15</v>
      </c>
      <c r="C389" s="2">
        <v>44853.55296296296</v>
      </c>
      <c r="D389">
        <v>0</v>
      </c>
      <c r="E389">
        <v>19</v>
      </c>
      <c r="F389" t="s">
        <v>18</v>
      </c>
      <c r="G389" t="s">
        <v>432</v>
      </c>
      <c r="H389" t="str">
        <f>HYPERLINK("http://pbs.twimg.com/media/FfYOgpoXkAAHrx0.jpg", "http://pbs.twimg.com/media/FfYOgpoXkAAHrx0.jpg")</f>
        <v>http://pbs.twimg.com/media/FfYOgpoXkAAHrx0.jpg</v>
      </c>
      <c r="L389">
        <v>0.40189999999999998</v>
      </c>
      <c r="M389">
        <v>0</v>
      </c>
      <c r="N389">
        <v>0.83799999999999997</v>
      </c>
      <c r="O389">
        <v>0.16200000000000001</v>
      </c>
    </row>
    <row r="390" spans="1:15" x14ac:dyDescent="0.2">
      <c r="A390" s="1" t="str">
        <f>HYPERLINK("http://www.twitter.com/banuakdenizli/status/1582722288385855489", "1582722288385855489")</f>
        <v>1582722288385855489</v>
      </c>
      <c r="B390" t="s">
        <v>15</v>
      </c>
      <c r="C390" s="2">
        <v>44853.552928240737</v>
      </c>
      <c r="D390">
        <v>0</v>
      </c>
      <c r="E390">
        <v>7</v>
      </c>
      <c r="F390" t="s">
        <v>18</v>
      </c>
      <c r="G390" t="s">
        <v>433</v>
      </c>
      <c r="H390" t="str">
        <f>HYPERLINK("http://pbs.twimg.com/media/FfbDfU0WYAAyDad.jpg", "http://pbs.twimg.com/media/FfbDfU0WYAAyDad.jpg")</f>
        <v>http://pbs.twimg.com/media/FfbDfU0WYAAyDad.jpg</v>
      </c>
      <c r="L390">
        <v>0.58589999999999998</v>
      </c>
      <c r="M390">
        <v>0.108</v>
      </c>
      <c r="N390">
        <v>0.61199999999999999</v>
      </c>
      <c r="O390">
        <v>0.28100000000000003</v>
      </c>
    </row>
    <row r="391" spans="1:15" x14ac:dyDescent="0.2">
      <c r="A391" s="1" t="str">
        <f>HYPERLINK("http://www.twitter.com/banuakdenizli/status/1582722114825904129", "1582722114825904129")</f>
        <v>1582722114825904129</v>
      </c>
      <c r="B391" t="s">
        <v>15</v>
      </c>
      <c r="C391" s="2">
        <v>44853.552453703713</v>
      </c>
      <c r="D391">
        <v>0</v>
      </c>
      <c r="E391">
        <v>64</v>
      </c>
      <c r="F391" t="s">
        <v>16</v>
      </c>
      <c r="G391" t="s">
        <v>434</v>
      </c>
      <c r="H391" t="str">
        <f>HYPERLINK("http://pbs.twimg.com/media/FfXxZbRWIAIw5c6.jpg", "http://pbs.twimg.com/media/FfXxZbRWIAIw5c6.jpg")</f>
        <v>http://pbs.twimg.com/media/FfXxZbRWIAIw5c6.jpg</v>
      </c>
      <c r="L391">
        <v>0</v>
      </c>
      <c r="M391">
        <v>0</v>
      </c>
      <c r="N391">
        <v>1</v>
      </c>
      <c r="O391">
        <v>0</v>
      </c>
    </row>
    <row r="392" spans="1:15" x14ac:dyDescent="0.2">
      <c r="A392" s="1" t="str">
        <f>HYPERLINK("http://www.twitter.com/banuakdenizli/status/1582720930169909249", "1582720930169909249")</f>
        <v>1582720930169909249</v>
      </c>
      <c r="B392" t="s">
        <v>15</v>
      </c>
      <c r="C392" s="2">
        <v>44853.549178240741</v>
      </c>
      <c r="D392">
        <v>0</v>
      </c>
      <c r="E392">
        <v>11</v>
      </c>
      <c r="F392" t="s">
        <v>16</v>
      </c>
      <c r="G392" t="s">
        <v>435</v>
      </c>
      <c r="H392" t="str">
        <f>HYPERLINK("http://pbs.twimg.com/media/FfYIoUYWYAkgYGa.jpg", "http://pbs.twimg.com/media/FfYIoUYWYAkgYGa.jpg")</f>
        <v>http://pbs.twimg.com/media/FfYIoUYWYAkgYGa.jpg</v>
      </c>
      <c r="L392">
        <v>0</v>
      </c>
      <c r="M392">
        <v>0</v>
      </c>
      <c r="N392">
        <v>1</v>
      </c>
      <c r="O392">
        <v>0</v>
      </c>
    </row>
    <row r="393" spans="1:15" x14ac:dyDescent="0.2">
      <c r="A393" s="1" t="str">
        <f>HYPERLINK("http://www.twitter.com/banuakdenizli/status/1582720905561911297", "1582720905561911297")</f>
        <v>1582720905561911297</v>
      </c>
      <c r="B393" t="s">
        <v>15</v>
      </c>
      <c r="C393" s="2">
        <v>44853.549120370371</v>
      </c>
      <c r="D393">
        <v>0</v>
      </c>
      <c r="E393">
        <v>36</v>
      </c>
      <c r="F393" t="s">
        <v>23</v>
      </c>
      <c r="G393" t="s">
        <v>436</v>
      </c>
      <c r="L393">
        <v>0</v>
      </c>
      <c r="M393">
        <v>0</v>
      </c>
      <c r="N393">
        <v>1</v>
      </c>
      <c r="O393">
        <v>0</v>
      </c>
    </row>
    <row r="394" spans="1:15" x14ac:dyDescent="0.2">
      <c r="A394" s="1" t="str">
        <f>HYPERLINK("http://www.twitter.com/banuakdenizli/status/1582399430145486851", "1582399430145486851")</f>
        <v>1582399430145486851</v>
      </c>
      <c r="B394" t="s">
        <v>15</v>
      </c>
      <c r="C394" s="2">
        <v>44852.66201388889</v>
      </c>
      <c r="D394">
        <v>0</v>
      </c>
      <c r="E394">
        <v>34</v>
      </c>
      <c r="F394" t="s">
        <v>23</v>
      </c>
      <c r="G394" t="s">
        <v>437</v>
      </c>
      <c r="H394" t="str">
        <f>HYPERLINK("http://pbs.twimg.com/media/FfWF53PWAAEuIaC.jpg", "http://pbs.twimg.com/media/FfWF53PWAAEuIaC.jpg")</f>
        <v>http://pbs.twimg.com/media/FfWF53PWAAEuIaC.jpg</v>
      </c>
      <c r="L394">
        <v>0</v>
      </c>
      <c r="M394">
        <v>0</v>
      </c>
      <c r="N394">
        <v>1</v>
      </c>
      <c r="O394">
        <v>0</v>
      </c>
    </row>
    <row r="395" spans="1:15" x14ac:dyDescent="0.2">
      <c r="A395" s="1" t="str">
        <f>HYPERLINK("http://www.twitter.com/banuakdenizli/status/1582399420301463558", "1582399420301463558")</f>
        <v>1582399420301463558</v>
      </c>
      <c r="B395" t="s">
        <v>15</v>
      </c>
      <c r="C395" s="2">
        <v>44852.661990740737</v>
      </c>
      <c r="D395">
        <v>0</v>
      </c>
      <c r="E395">
        <v>87</v>
      </c>
      <c r="F395" t="s">
        <v>23</v>
      </c>
      <c r="G395" t="s">
        <v>438</v>
      </c>
      <c r="H395" t="str">
        <f>HYPERLINK("http://pbs.twimg.com/media/FfV2YgoWQAI-oG6.jpg", "http://pbs.twimg.com/media/FfV2YgoWQAI-oG6.jpg")</f>
        <v>http://pbs.twimg.com/media/FfV2YgoWQAI-oG6.jpg</v>
      </c>
      <c r="I395" t="str">
        <f>HYPERLINK("http://pbs.twimg.com/media/FfV2YgqWAAAOjCI.jpg", "http://pbs.twimg.com/media/FfV2YgqWAAAOjCI.jpg")</f>
        <v>http://pbs.twimg.com/media/FfV2YgqWAAAOjCI.jpg</v>
      </c>
      <c r="J395" t="str">
        <f>HYPERLINK("http://pbs.twimg.com/media/FfV2YglXwAI1QZe.jpg", "http://pbs.twimg.com/media/FfV2YglXwAI1QZe.jpg")</f>
        <v>http://pbs.twimg.com/media/FfV2YglXwAI1QZe.jpg</v>
      </c>
      <c r="K395" t="str">
        <f>HYPERLINK("http://pbs.twimg.com/media/FfV2YgnXgAIKRdS.jpg", "http://pbs.twimg.com/media/FfV2YgnXgAIKRdS.jpg")</f>
        <v>http://pbs.twimg.com/media/FfV2YgnXgAIKRdS.jpg</v>
      </c>
      <c r="L395">
        <v>0</v>
      </c>
      <c r="M395">
        <v>0</v>
      </c>
      <c r="N395">
        <v>1</v>
      </c>
      <c r="O395">
        <v>0</v>
      </c>
    </row>
    <row r="396" spans="1:15" x14ac:dyDescent="0.2">
      <c r="A396" s="1" t="str">
        <f>HYPERLINK("http://www.twitter.com/banuakdenizli/status/1582399395319885825", "1582399395319885825")</f>
        <v>1582399395319885825</v>
      </c>
      <c r="B396" t="s">
        <v>15</v>
      </c>
      <c r="C396" s="2">
        <v>44852.661921296298</v>
      </c>
      <c r="D396">
        <v>0</v>
      </c>
      <c r="E396">
        <v>76</v>
      </c>
      <c r="F396" t="s">
        <v>20</v>
      </c>
      <c r="G396" t="s">
        <v>439</v>
      </c>
      <c r="L396">
        <v>0</v>
      </c>
      <c r="M396">
        <v>0</v>
      </c>
      <c r="N396">
        <v>1</v>
      </c>
      <c r="O396">
        <v>0</v>
      </c>
    </row>
    <row r="397" spans="1:15" x14ac:dyDescent="0.2">
      <c r="A397" s="1" t="str">
        <f>HYPERLINK("http://www.twitter.com/banuakdenizli/status/1582399111549968385", "1582399111549968385")</f>
        <v>1582399111549968385</v>
      </c>
      <c r="B397" t="s">
        <v>15</v>
      </c>
      <c r="C397" s="2">
        <v>44852.661134259259</v>
      </c>
      <c r="D397">
        <v>0</v>
      </c>
      <c r="E397">
        <v>7</v>
      </c>
      <c r="F397" t="s">
        <v>303</v>
      </c>
      <c r="G397" t="s">
        <v>440</v>
      </c>
      <c r="H397" t="str">
        <f>HYPERLINK("https://video.twimg.com/ext_tw_video/1581667772412694531/pu/vid/720x1280/p6MUGmrnV_gm1Blr.mp4?tag=12", "https://video.twimg.com/ext_tw_video/1581667772412694531/pu/vid/720x1280/p6MUGmrnV_gm1Blr.mp4?tag=12")</f>
        <v>https://video.twimg.com/ext_tw_video/1581667772412694531/pu/vid/720x1280/p6MUGmrnV_gm1Blr.mp4?tag=12</v>
      </c>
      <c r="L397">
        <v>0</v>
      </c>
      <c r="M397">
        <v>0</v>
      </c>
      <c r="N397">
        <v>1</v>
      </c>
      <c r="O397">
        <v>0</v>
      </c>
    </row>
    <row r="398" spans="1:15" x14ac:dyDescent="0.2">
      <c r="A398" s="1" t="str">
        <f>HYPERLINK("http://www.twitter.com/banuakdenizli/status/1582398987977752583", "1582398987977752583")</f>
        <v>1582398987977752583</v>
      </c>
      <c r="B398" t="s">
        <v>15</v>
      </c>
      <c r="C398" s="2">
        <v>44852.660787037043</v>
      </c>
      <c r="D398">
        <v>0</v>
      </c>
      <c r="E398">
        <v>15</v>
      </c>
      <c r="F398" t="s">
        <v>303</v>
      </c>
      <c r="G398" t="s">
        <v>441</v>
      </c>
      <c r="H398" t="str">
        <f>HYPERLINK("http://pbs.twimg.com/media/FfRgOaqX0AEb_pr.jpg", "http://pbs.twimg.com/media/FfRgOaqX0AEb_pr.jpg")</f>
        <v>http://pbs.twimg.com/media/FfRgOaqX0AEb_pr.jpg</v>
      </c>
      <c r="L398">
        <v>0</v>
      </c>
      <c r="M398">
        <v>0</v>
      </c>
      <c r="N398">
        <v>1</v>
      </c>
      <c r="O398">
        <v>0</v>
      </c>
    </row>
    <row r="399" spans="1:15" x14ac:dyDescent="0.2">
      <c r="A399" s="1" t="str">
        <f>HYPERLINK("http://www.twitter.com/banuakdenizli/status/1582398976489271296", "1582398976489271296")</f>
        <v>1582398976489271296</v>
      </c>
      <c r="B399" t="s">
        <v>15</v>
      </c>
      <c r="C399" s="2">
        <v>44852.660763888889</v>
      </c>
      <c r="D399">
        <v>0</v>
      </c>
      <c r="E399">
        <v>22</v>
      </c>
      <c r="F399" t="s">
        <v>303</v>
      </c>
      <c r="G399" t="s">
        <v>442</v>
      </c>
      <c r="L399">
        <v>0</v>
      </c>
      <c r="M399">
        <v>0</v>
      </c>
      <c r="N399">
        <v>1</v>
      </c>
      <c r="O399">
        <v>0</v>
      </c>
    </row>
    <row r="400" spans="1:15" x14ac:dyDescent="0.2">
      <c r="A400" s="1" t="str">
        <f>HYPERLINK("http://www.twitter.com/banuakdenizli/status/1582398943132266498", "1582398943132266498")</f>
        <v>1582398943132266498</v>
      </c>
      <c r="B400" t="s">
        <v>15</v>
      </c>
      <c r="C400" s="2">
        <v>44852.660671296297</v>
      </c>
      <c r="D400">
        <v>0</v>
      </c>
      <c r="E400">
        <v>4</v>
      </c>
      <c r="F400" t="s">
        <v>17</v>
      </c>
      <c r="G400" t="s">
        <v>443</v>
      </c>
      <c r="L400">
        <v>0.29599999999999999</v>
      </c>
      <c r="M400">
        <v>0</v>
      </c>
      <c r="N400">
        <v>0.92700000000000005</v>
      </c>
      <c r="O400">
        <v>7.2999999999999995E-2</v>
      </c>
    </row>
    <row r="401" spans="1:15" x14ac:dyDescent="0.2">
      <c r="A401" s="1" t="str">
        <f>HYPERLINK("http://www.twitter.com/banuakdenizli/status/1582398934701715456", "1582398934701715456")</f>
        <v>1582398934701715456</v>
      </c>
      <c r="B401" t="s">
        <v>15</v>
      </c>
      <c r="C401" s="2">
        <v>44852.66064814815</v>
      </c>
      <c r="D401">
        <v>0</v>
      </c>
      <c r="E401">
        <v>7</v>
      </c>
      <c r="F401" t="s">
        <v>17</v>
      </c>
      <c r="G401" t="s">
        <v>444</v>
      </c>
      <c r="H401" t="str">
        <f>HYPERLINK("http://pbs.twimg.com/media/FfDfS2jX0AEuPuK.jpg", "http://pbs.twimg.com/media/FfDfS2jX0AEuPuK.jpg")</f>
        <v>http://pbs.twimg.com/media/FfDfS2jX0AEuPuK.jpg</v>
      </c>
      <c r="L401">
        <v>0</v>
      </c>
      <c r="M401">
        <v>0</v>
      </c>
      <c r="N401">
        <v>1</v>
      </c>
      <c r="O401">
        <v>0</v>
      </c>
    </row>
    <row r="402" spans="1:15" x14ac:dyDescent="0.2">
      <c r="A402" s="1" t="str">
        <f>HYPERLINK("http://www.twitter.com/banuakdenizli/status/1582398857996300288", "1582398857996300288")</f>
        <v>1582398857996300288</v>
      </c>
      <c r="B402" t="s">
        <v>15</v>
      </c>
      <c r="C402" s="2">
        <v>44852.660428240742</v>
      </c>
      <c r="D402">
        <v>0</v>
      </c>
      <c r="E402">
        <v>17</v>
      </c>
      <c r="F402" t="s">
        <v>18</v>
      </c>
      <c r="G402" t="s">
        <v>445</v>
      </c>
      <c r="H402" t="str">
        <f>HYPERLINK("http://pbs.twimg.com/media/FfDKFbDWAAE7h3I.jpg", "http://pbs.twimg.com/media/FfDKFbDWAAE7h3I.jpg")</f>
        <v>http://pbs.twimg.com/media/FfDKFbDWAAE7h3I.jpg</v>
      </c>
      <c r="L402">
        <v>0</v>
      </c>
      <c r="M402">
        <v>0</v>
      </c>
      <c r="N402">
        <v>1</v>
      </c>
      <c r="O402">
        <v>0</v>
      </c>
    </row>
    <row r="403" spans="1:15" x14ac:dyDescent="0.2">
      <c r="A403" s="1" t="str">
        <f>HYPERLINK("http://www.twitter.com/banuakdenizli/status/1582398845270470657", "1582398845270470657")</f>
        <v>1582398845270470657</v>
      </c>
      <c r="B403" t="s">
        <v>15</v>
      </c>
      <c r="C403" s="2">
        <v>44852.660393518519</v>
      </c>
      <c r="D403">
        <v>0</v>
      </c>
      <c r="E403">
        <v>9</v>
      </c>
      <c r="F403" t="s">
        <v>18</v>
      </c>
      <c r="G403" t="s">
        <v>446</v>
      </c>
      <c r="H403" t="str">
        <f>HYPERLINK("http://pbs.twimg.com/media/FfXIQ9ZWQAErn5R.jpg", "http://pbs.twimg.com/media/FfXIQ9ZWQAErn5R.jpg")</f>
        <v>http://pbs.twimg.com/media/FfXIQ9ZWQAErn5R.jpg</v>
      </c>
      <c r="L403">
        <v>-0.80200000000000005</v>
      </c>
      <c r="M403">
        <v>0.254</v>
      </c>
      <c r="N403">
        <v>0.64300000000000002</v>
      </c>
      <c r="O403">
        <v>0.10199999999999999</v>
      </c>
    </row>
    <row r="404" spans="1:15" x14ac:dyDescent="0.2">
      <c r="A404" s="1" t="str">
        <f>HYPERLINK("http://www.twitter.com/banuakdenizli/status/1582398827713425408", "1582398827713425408")</f>
        <v>1582398827713425408</v>
      </c>
      <c r="B404" t="s">
        <v>15</v>
      </c>
      <c r="C404" s="2">
        <v>44852.66034722222</v>
      </c>
      <c r="D404">
        <v>0</v>
      </c>
      <c r="E404">
        <v>10</v>
      </c>
      <c r="F404" t="s">
        <v>18</v>
      </c>
      <c r="G404" t="s">
        <v>447</v>
      </c>
      <c r="H404" t="str">
        <f>HYPERLINK("http://pbs.twimg.com/media/FfXHKW4XoAEPfnV.jpg", "http://pbs.twimg.com/media/FfXHKW4XoAEPfnV.jpg")</f>
        <v>http://pbs.twimg.com/media/FfXHKW4XoAEPfnV.jpg</v>
      </c>
      <c r="L404">
        <v>0</v>
      </c>
      <c r="M404">
        <v>0</v>
      </c>
      <c r="N404">
        <v>1</v>
      </c>
      <c r="O404">
        <v>0</v>
      </c>
    </row>
    <row r="405" spans="1:15" x14ac:dyDescent="0.2">
      <c r="A405" s="1" t="str">
        <f>HYPERLINK("http://www.twitter.com/banuakdenizli/status/1582398796868505602", "1582398796868505602")</f>
        <v>1582398796868505602</v>
      </c>
      <c r="B405" t="s">
        <v>15</v>
      </c>
      <c r="C405" s="2">
        <v>44852.660266203697</v>
      </c>
      <c r="D405">
        <v>0</v>
      </c>
      <c r="E405">
        <v>12</v>
      </c>
      <c r="F405" t="s">
        <v>18</v>
      </c>
      <c r="G405" t="s">
        <v>448</v>
      </c>
      <c r="H405" t="str">
        <f>HYPERLINK("http://pbs.twimg.com/media/FfW5Nl_XkAA4G5i.jpg", "http://pbs.twimg.com/media/FfW5Nl_XkAA4G5i.jpg")</f>
        <v>http://pbs.twimg.com/media/FfW5Nl_XkAA4G5i.jpg</v>
      </c>
      <c r="I405" t="str">
        <f>HYPERLINK("http://pbs.twimg.com/media/FfW5Nl1XgAIwwRT.jpg", "http://pbs.twimg.com/media/FfW5Nl1XgAIwwRT.jpg")</f>
        <v>http://pbs.twimg.com/media/FfW5Nl1XgAIwwRT.jpg</v>
      </c>
      <c r="J405" t="str">
        <f>HYPERLINK("http://pbs.twimg.com/media/FfW5QdQWQAAhYL7.jpg", "http://pbs.twimg.com/media/FfW5QdQWQAAhYL7.jpg")</f>
        <v>http://pbs.twimg.com/media/FfW5QdQWQAAhYL7.jpg</v>
      </c>
      <c r="K405" t="str">
        <f>HYPERLINK("http://pbs.twimg.com/media/FfW5QdXWIAA4VFu.jpg", "http://pbs.twimg.com/media/FfW5QdXWIAA4VFu.jpg")</f>
        <v>http://pbs.twimg.com/media/FfW5QdXWIAA4VFu.jpg</v>
      </c>
      <c r="L405">
        <v>0</v>
      </c>
      <c r="M405">
        <v>0</v>
      </c>
      <c r="N405">
        <v>1</v>
      </c>
      <c r="O405">
        <v>0</v>
      </c>
    </row>
    <row r="406" spans="1:15" x14ac:dyDescent="0.2">
      <c r="A406" s="1" t="str">
        <f>HYPERLINK("http://www.twitter.com/banuakdenizli/status/1582398776920068097", "1582398776920068097")</f>
        <v>1582398776920068097</v>
      </c>
      <c r="B406" t="s">
        <v>15</v>
      </c>
      <c r="C406" s="2">
        <v>44852.660208333327</v>
      </c>
      <c r="D406">
        <v>0</v>
      </c>
      <c r="E406">
        <v>21</v>
      </c>
      <c r="F406" t="s">
        <v>18</v>
      </c>
      <c r="G406" t="s">
        <v>449</v>
      </c>
      <c r="L406">
        <v>0.59940000000000004</v>
      </c>
      <c r="M406">
        <v>0</v>
      </c>
      <c r="N406">
        <v>0.86</v>
      </c>
      <c r="O406">
        <v>0.14000000000000001</v>
      </c>
    </row>
    <row r="407" spans="1:15" x14ac:dyDescent="0.2">
      <c r="A407" s="1" t="str">
        <f>HYPERLINK("http://www.twitter.com/banuakdenizli/status/1582398693637951489", "1582398693637951489")</f>
        <v>1582398693637951489</v>
      </c>
      <c r="B407" t="s">
        <v>15</v>
      </c>
      <c r="C407" s="2">
        <v>44852.65997685185</v>
      </c>
      <c r="D407">
        <v>0</v>
      </c>
      <c r="E407">
        <v>7</v>
      </c>
      <c r="F407" t="s">
        <v>18</v>
      </c>
      <c r="G407" t="s">
        <v>450</v>
      </c>
      <c r="H407" t="str">
        <f>HYPERLINK("http://pbs.twimg.com/media/FfH7DlMXwAAUP3e.jpg", "http://pbs.twimg.com/media/FfH7DlMXwAAUP3e.jpg")</f>
        <v>http://pbs.twimg.com/media/FfH7DlMXwAAUP3e.jpg</v>
      </c>
      <c r="L407">
        <v>0</v>
      </c>
      <c r="M407">
        <v>0.12</v>
      </c>
      <c r="N407">
        <v>0.72</v>
      </c>
      <c r="O407">
        <v>0.16</v>
      </c>
    </row>
    <row r="408" spans="1:15" x14ac:dyDescent="0.2">
      <c r="A408" s="1" t="str">
        <f>HYPERLINK("http://www.twitter.com/banuakdenizli/status/1582398680899809280", "1582398680899809280")</f>
        <v>1582398680899809280</v>
      </c>
      <c r="B408" t="s">
        <v>15</v>
      </c>
      <c r="C408" s="2">
        <v>44852.659942129627</v>
      </c>
      <c r="D408">
        <v>0</v>
      </c>
      <c r="E408">
        <v>16</v>
      </c>
      <c r="F408" t="s">
        <v>18</v>
      </c>
      <c r="G408" t="s">
        <v>451</v>
      </c>
      <c r="H408" t="str">
        <f>HYPERLINK("http://pbs.twimg.com/media/FfF58NgXoAMi1ZE.jpg", "http://pbs.twimg.com/media/FfF58NgXoAMi1ZE.jpg")</f>
        <v>http://pbs.twimg.com/media/FfF58NgXoAMi1ZE.jpg</v>
      </c>
      <c r="L408">
        <v>0.61240000000000006</v>
      </c>
      <c r="M408">
        <v>0.10199999999999999</v>
      </c>
      <c r="N408">
        <v>0.60599999999999998</v>
      </c>
      <c r="O408">
        <v>0.29199999999999998</v>
      </c>
    </row>
    <row r="409" spans="1:15" x14ac:dyDescent="0.2">
      <c r="A409" s="1" t="str">
        <f>HYPERLINK("http://www.twitter.com/banuakdenizli/status/1582398667998212096", "1582398667998212096")</f>
        <v>1582398667998212096</v>
      </c>
      <c r="B409" t="s">
        <v>15</v>
      </c>
      <c r="C409" s="2">
        <v>44852.659907407397</v>
      </c>
      <c r="D409">
        <v>0</v>
      </c>
      <c r="E409">
        <v>7</v>
      </c>
      <c r="F409" t="s">
        <v>28</v>
      </c>
      <c r="G409" t="s">
        <v>452</v>
      </c>
      <c r="H409" t="str">
        <f>HYPERLINK("http://pbs.twimg.com/media/FfDceb-WYAEg153.jpg", "http://pbs.twimg.com/media/FfDceb-WYAEg153.jpg")</f>
        <v>http://pbs.twimg.com/media/FfDceb-WYAEg153.jpg</v>
      </c>
      <c r="L409">
        <v>0</v>
      </c>
      <c r="M409">
        <v>0</v>
      </c>
      <c r="N409">
        <v>1</v>
      </c>
      <c r="O409">
        <v>0</v>
      </c>
    </row>
    <row r="410" spans="1:15" x14ac:dyDescent="0.2">
      <c r="A410" s="1" t="str">
        <f>HYPERLINK("http://www.twitter.com/banuakdenizli/status/1582398623559524352", "1582398623559524352")</f>
        <v>1582398623559524352</v>
      </c>
      <c r="B410" t="s">
        <v>15</v>
      </c>
      <c r="C410" s="2">
        <v>44852.659791666672</v>
      </c>
      <c r="D410">
        <v>0</v>
      </c>
      <c r="E410">
        <v>8</v>
      </c>
      <c r="F410" t="s">
        <v>18</v>
      </c>
      <c r="G410" t="s">
        <v>453</v>
      </c>
      <c r="H410" t="str">
        <f>HYPERLINK("http://pbs.twimg.com/media/FfDSWMNXkAEiJu2.jpg", "http://pbs.twimg.com/media/FfDSWMNXkAEiJu2.jpg")</f>
        <v>http://pbs.twimg.com/media/FfDSWMNXkAEiJu2.jpg</v>
      </c>
      <c r="I410" t="str">
        <f>HYPERLINK("http://pbs.twimg.com/media/FfDSWMFWIAIn3U7.jpg", "http://pbs.twimg.com/media/FfDSWMFWIAIn3U7.jpg")</f>
        <v>http://pbs.twimg.com/media/FfDSWMFWIAIn3U7.jpg</v>
      </c>
      <c r="J410" t="str">
        <f>HYPERLINK("http://pbs.twimg.com/media/FfDSWMNXgAIBZ4q.jpg", "http://pbs.twimg.com/media/FfDSWMNXgAIBZ4q.jpg")</f>
        <v>http://pbs.twimg.com/media/FfDSWMNXgAIBZ4q.jpg</v>
      </c>
      <c r="K410" t="str">
        <f>HYPERLINK("http://pbs.twimg.com/media/FfDSWMKXgAIvpLv.jpg", "http://pbs.twimg.com/media/FfDSWMKXgAIvpLv.jpg")</f>
        <v>http://pbs.twimg.com/media/FfDSWMKXgAIvpLv.jpg</v>
      </c>
      <c r="L410">
        <v>0.36120000000000002</v>
      </c>
      <c r="M410">
        <v>0</v>
      </c>
      <c r="N410">
        <v>0.89800000000000002</v>
      </c>
      <c r="O410">
        <v>0.10199999999999999</v>
      </c>
    </row>
    <row r="411" spans="1:15" x14ac:dyDescent="0.2">
      <c r="A411" s="1" t="str">
        <f>HYPERLINK("http://www.twitter.com/banuakdenizli/status/1582398612448825345", "1582398612448825345")</f>
        <v>1582398612448825345</v>
      </c>
      <c r="B411" t="s">
        <v>15</v>
      </c>
      <c r="C411" s="2">
        <v>44852.659756944442</v>
      </c>
      <c r="D411">
        <v>0</v>
      </c>
      <c r="E411">
        <v>12</v>
      </c>
      <c r="F411" t="s">
        <v>18</v>
      </c>
      <c r="G411" t="s">
        <v>454</v>
      </c>
      <c r="H411" t="str">
        <f>HYPERLINK("https://video.twimg.com/ext_tw_video/1580978364793470981/pu/vid/1280x720/2d4_SUJdAtKAo3GU.mp4?tag=12", "https://video.twimg.com/ext_tw_video/1580978364793470981/pu/vid/1280x720/2d4_SUJdAtKAo3GU.mp4?tag=12")</f>
        <v>https://video.twimg.com/ext_tw_video/1580978364793470981/pu/vid/1280x720/2d4_SUJdAtKAo3GU.mp4?tag=12</v>
      </c>
      <c r="L411">
        <v>0.55740000000000001</v>
      </c>
      <c r="M411">
        <v>0</v>
      </c>
      <c r="N411">
        <v>0.81599999999999995</v>
      </c>
      <c r="O411">
        <v>0.184</v>
      </c>
    </row>
    <row r="412" spans="1:15" x14ac:dyDescent="0.2">
      <c r="A412" s="1" t="str">
        <f>HYPERLINK("http://www.twitter.com/banuakdenizli/status/1582398604635144198", "1582398604635144198")</f>
        <v>1582398604635144198</v>
      </c>
      <c r="B412" t="s">
        <v>15</v>
      </c>
      <c r="C412" s="2">
        <v>44852.659733796303</v>
      </c>
      <c r="D412">
        <v>0</v>
      </c>
      <c r="E412">
        <v>14</v>
      </c>
      <c r="F412" t="s">
        <v>18</v>
      </c>
      <c r="G412" t="s">
        <v>455</v>
      </c>
      <c r="H412" t="str">
        <f>HYPERLINK("https://video.twimg.com/ext_tw_video/1580974051723468800/pu/vid/1280x720/fCYStwEhW52fc5tn.mp4?tag=12", "https://video.twimg.com/ext_tw_video/1580974051723468800/pu/vid/1280x720/fCYStwEhW52fc5tn.mp4?tag=12")</f>
        <v>https://video.twimg.com/ext_tw_video/1580974051723468800/pu/vid/1280x720/fCYStwEhW52fc5tn.mp4?tag=12</v>
      </c>
      <c r="L412">
        <v>7.7200000000000005E-2</v>
      </c>
      <c r="M412">
        <v>6.5000000000000002E-2</v>
      </c>
      <c r="N412">
        <v>0.86199999999999999</v>
      </c>
      <c r="O412">
        <v>7.1999999999999995E-2</v>
      </c>
    </row>
    <row r="413" spans="1:15" x14ac:dyDescent="0.2">
      <c r="A413" s="1" t="str">
        <f>HYPERLINK("http://www.twitter.com/banuakdenizli/status/1582398592270372864", "1582398592270372864")</f>
        <v>1582398592270372864</v>
      </c>
      <c r="B413" t="s">
        <v>15</v>
      </c>
      <c r="C413" s="2">
        <v>44852.659699074073</v>
      </c>
      <c r="D413">
        <v>0</v>
      </c>
      <c r="E413">
        <v>11</v>
      </c>
      <c r="F413" t="s">
        <v>18</v>
      </c>
      <c r="G413" t="s">
        <v>456</v>
      </c>
      <c r="H413" t="str">
        <f>HYPERLINK("http://pbs.twimg.com/media/FfCy1mjXEAAibn6.jpg", "http://pbs.twimg.com/media/FfCy1mjXEAAibn6.jpg")</f>
        <v>http://pbs.twimg.com/media/FfCy1mjXEAAibn6.jpg</v>
      </c>
      <c r="L413">
        <v>-0.40189999999999998</v>
      </c>
      <c r="M413">
        <v>0.10100000000000001</v>
      </c>
      <c r="N413">
        <v>0.89900000000000002</v>
      </c>
      <c r="O413">
        <v>0</v>
      </c>
    </row>
    <row r="414" spans="1:15" x14ac:dyDescent="0.2">
      <c r="A414" s="1" t="str">
        <f>HYPERLINK("http://www.twitter.com/banuakdenizli/status/1582398583298756610", "1582398583298756610")</f>
        <v>1582398583298756610</v>
      </c>
      <c r="B414" t="s">
        <v>15</v>
      </c>
      <c r="C414" s="2">
        <v>44852.659675925926</v>
      </c>
      <c r="D414">
        <v>0</v>
      </c>
      <c r="E414">
        <v>11</v>
      </c>
      <c r="F414" t="s">
        <v>18</v>
      </c>
      <c r="G414" t="s">
        <v>457</v>
      </c>
      <c r="H414" t="str">
        <f>HYPERLINK("https://video.twimg.com/ext_tw_video/1580955534156566528/pu/vid/1280x720/pOL83f42pTmeTNjm.mp4?tag=12", "https://video.twimg.com/ext_tw_video/1580955534156566528/pu/vid/1280x720/pOL83f42pTmeTNjm.mp4?tag=12")</f>
        <v>https://video.twimg.com/ext_tw_video/1580955534156566528/pu/vid/1280x720/pOL83f42pTmeTNjm.mp4?tag=12</v>
      </c>
      <c r="L414">
        <v>0.82279999999999998</v>
      </c>
      <c r="M414">
        <v>3.9E-2</v>
      </c>
      <c r="N414">
        <v>0.76500000000000001</v>
      </c>
      <c r="O414">
        <v>0.19600000000000001</v>
      </c>
    </row>
    <row r="415" spans="1:15" x14ac:dyDescent="0.2">
      <c r="A415" s="1" t="str">
        <f>HYPERLINK("http://www.twitter.com/banuakdenizli/status/1582398572665847808", "1582398572665847808")</f>
        <v>1582398572665847808</v>
      </c>
      <c r="B415" t="s">
        <v>15</v>
      </c>
      <c r="C415" s="2">
        <v>44852.659641203703</v>
      </c>
      <c r="D415">
        <v>0</v>
      </c>
      <c r="E415">
        <v>10</v>
      </c>
      <c r="F415" t="s">
        <v>18</v>
      </c>
      <c r="G415" t="s">
        <v>458</v>
      </c>
      <c r="H415" t="str">
        <f>HYPERLINK("https://video.twimg.com/ext_tw_video/1580953993009823746/pu/vid/1280x720/5aJ2q0_glDPNNeyy.mp4?tag=12", "https://video.twimg.com/ext_tw_video/1580953993009823746/pu/vid/1280x720/5aJ2q0_glDPNNeyy.mp4?tag=12")</f>
        <v>https://video.twimg.com/ext_tw_video/1580953993009823746/pu/vid/1280x720/5aJ2q0_glDPNNeyy.mp4?tag=12</v>
      </c>
      <c r="L415">
        <v>0.2732</v>
      </c>
      <c r="M415">
        <v>0</v>
      </c>
      <c r="N415">
        <v>0.94499999999999995</v>
      </c>
      <c r="O415">
        <v>5.5E-2</v>
      </c>
    </row>
    <row r="416" spans="1:15" x14ac:dyDescent="0.2">
      <c r="A416" s="1" t="str">
        <f>HYPERLINK("http://www.twitter.com/banuakdenizli/status/1582398564252422145", "1582398564252422145")</f>
        <v>1582398564252422145</v>
      </c>
      <c r="B416" t="s">
        <v>15</v>
      </c>
      <c r="C416" s="2">
        <v>44852.659618055557</v>
      </c>
      <c r="D416">
        <v>0</v>
      </c>
      <c r="E416">
        <v>14</v>
      </c>
      <c r="F416" t="s">
        <v>18</v>
      </c>
      <c r="G416" t="s">
        <v>459</v>
      </c>
      <c r="H416" t="str">
        <f>HYPERLINK("https://video.twimg.com/ext_tw_video/1580952415121072134/pu/vid/1280x720/s7Z-k02HZVW1245b.mp4?tag=12", "https://video.twimg.com/ext_tw_video/1580952415121072134/pu/vid/1280x720/s7Z-k02HZVW1245b.mp4?tag=12")</f>
        <v>https://video.twimg.com/ext_tw_video/1580952415121072134/pu/vid/1280x720/s7Z-k02HZVW1245b.mp4?tag=12</v>
      </c>
      <c r="L416">
        <v>-0.91180000000000005</v>
      </c>
      <c r="M416">
        <v>0.314</v>
      </c>
      <c r="N416">
        <v>0.55700000000000005</v>
      </c>
      <c r="O416">
        <v>0.129</v>
      </c>
    </row>
    <row r="417" spans="1:15" x14ac:dyDescent="0.2">
      <c r="A417" s="1" t="str">
        <f>HYPERLINK("http://www.twitter.com/banuakdenizli/status/1582398461458386945", "1582398461458386945")</f>
        <v>1582398461458386945</v>
      </c>
      <c r="B417" t="s">
        <v>15</v>
      </c>
      <c r="C417" s="2">
        <v>44852.65934027778</v>
      </c>
      <c r="D417">
        <v>0</v>
      </c>
      <c r="E417">
        <v>7</v>
      </c>
      <c r="F417" t="s">
        <v>16</v>
      </c>
      <c r="G417" t="s">
        <v>460</v>
      </c>
      <c r="L417">
        <v>0</v>
      </c>
      <c r="M417">
        <v>0</v>
      </c>
      <c r="N417">
        <v>1</v>
      </c>
      <c r="O417">
        <v>0</v>
      </c>
    </row>
    <row r="418" spans="1:15" x14ac:dyDescent="0.2">
      <c r="A418" s="1" t="str">
        <f>HYPERLINK("http://www.twitter.com/banuakdenizli/status/1582398452817752069", "1582398452817752069")</f>
        <v>1582398452817752069</v>
      </c>
      <c r="B418" t="s">
        <v>15</v>
      </c>
      <c r="C418" s="2">
        <v>44852.659317129634</v>
      </c>
      <c r="D418">
        <v>0</v>
      </c>
      <c r="E418">
        <v>88</v>
      </c>
      <c r="F418" t="s">
        <v>23</v>
      </c>
      <c r="G418" t="s">
        <v>461</v>
      </c>
      <c r="H418" t="str">
        <f>HYPERLINK("http://pbs.twimg.com/media/FfCyFzJXgAAtU8W.jpg", "http://pbs.twimg.com/media/FfCyFzJXgAAtU8W.jpg")</f>
        <v>http://pbs.twimg.com/media/FfCyFzJXgAAtU8W.jpg</v>
      </c>
      <c r="I418" t="str">
        <f>HYPERLINK("http://pbs.twimg.com/media/FfCyFzCWQAAG6Ue.jpg", "http://pbs.twimg.com/media/FfCyFzCWQAAG6Ue.jpg")</f>
        <v>http://pbs.twimg.com/media/FfCyFzCWQAAG6Ue.jpg</v>
      </c>
      <c r="J418" t="str">
        <f>HYPERLINK("http://pbs.twimg.com/media/FfCyFzBWYAMXYVS.jpg", "http://pbs.twimg.com/media/FfCyFzBWYAMXYVS.jpg")</f>
        <v>http://pbs.twimg.com/media/FfCyFzBWYAMXYVS.jpg</v>
      </c>
      <c r="L418">
        <v>0</v>
      </c>
      <c r="M418">
        <v>0</v>
      </c>
      <c r="N418">
        <v>1</v>
      </c>
      <c r="O418">
        <v>0</v>
      </c>
    </row>
    <row r="419" spans="1:15" x14ac:dyDescent="0.2">
      <c r="A419" s="1" t="str">
        <f>HYPERLINK("http://www.twitter.com/banuakdenizli/status/1582398435357265920", "1582398435357265920")</f>
        <v>1582398435357265920</v>
      </c>
      <c r="B419" t="s">
        <v>15</v>
      </c>
      <c r="C419" s="2">
        <v>44852.659270833326</v>
      </c>
      <c r="D419">
        <v>0</v>
      </c>
      <c r="E419">
        <v>43</v>
      </c>
      <c r="F419" t="s">
        <v>16</v>
      </c>
      <c r="G419" t="s">
        <v>462</v>
      </c>
      <c r="H419" t="str">
        <f>HYPERLINK("http://pbs.twimg.com/media/FfC9ANDWYAAUoVa.jpg", "http://pbs.twimg.com/media/FfC9ANDWYAAUoVa.jpg")</f>
        <v>http://pbs.twimg.com/media/FfC9ANDWYAAUoVa.jpg</v>
      </c>
      <c r="L419">
        <v>0</v>
      </c>
      <c r="M419">
        <v>0</v>
      </c>
      <c r="N419">
        <v>1</v>
      </c>
      <c r="O419">
        <v>0</v>
      </c>
    </row>
    <row r="420" spans="1:15" x14ac:dyDescent="0.2">
      <c r="A420" s="1" t="str">
        <f>HYPERLINK("http://www.twitter.com/banuakdenizli/status/1582398334496432128", "1582398334496432128")</f>
        <v>1582398334496432128</v>
      </c>
      <c r="B420" t="s">
        <v>15</v>
      </c>
      <c r="C420" s="2">
        <v>44852.658993055556</v>
      </c>
      <c r="D420">
        <v>0</v>
      </c>
      <c r="E420">
        <v>64</v>
      </c>
      <c r="F420" t="s">
        <v>23</v>
      </c>
      <c r="G420" t="s">
        <v>463</v>
      </c>
      <c r="H420" t="str">
        <f>HYPERLINK("http://pbs.twimg.com/media/FfDF70dWAAUVk1g.jpg", "http://pbs.twimg.com/media/FfDF70dWAAUVk1g.jpg")</f>
        <v>http://pbs.twimg.com/media/FfDF70dWAAUVk1g.jpg</v>
      </c>
      <c r="I420" t="str">
        <f>HYPERLINK("http://pbs.twimg.com/media/FfDF70ZWABI1gwO.jpg", "http://pbs.twimg.com/media/FfDF70ZWABI1gwO.jpg")</f>
        <v>http://pbs.twimg.com/media/FfDF70ZWABI1gwO.jpg</v>
      </c>
      <c r="L420">
        <v>0</v>
      </c>
      <c r="M420">
        <v>0</v>
      </c>
      <c r="N420">
        <v>1</v>
      </c>
      <c r="O420">
        <v>0</v>
      </c>
    </row>
    <row r="421" spans="1:15" x14ac:dyDescent="0.2">
      <c r="A421" s="1" t="str">
        <f>HYPERLINK("http://www.twitter.com/banuakdenizli/status/1582398327500734464", "1582398327500734464")</f>
        <v>1582398327500734464</v>
      </c>
      <c r="B421" t="s">
        <v>15</v>
      </c>
      <c r="C421" s="2">
        <v>44852.65896990741</v>
      </c>
      <c r="D421">
        <v>0</v>
      </c>
      <c r="E421">
        <v>68</v>
      </c>
      <c r="F421" t="s">
        <v>23</v>
      </c>
      <c r="G421" t="s">
        <v>464</v>
      </c>
      <c r="H421" t="str">
        <f>HYPERLINK("http://pbs.twimg.com/media/FfDMtThWAAIXQVT.jpg", "http://pbs.twimg.com/media/FfDMtThWAAIXQVT.jpg")</f>
        <v>http://pbs.twimg.com/media/FfDMtThWAAIXQVT.jpg</v>
      </c>
      <c r="I421" t="str">
        <f>HYPERLINK("http://pbs.twimg.com/media/FfDMtTYWAA8A7Zf.jpg", "http://pbs.twimg.com/media/FfDMtTYWAA8A7Zf.jpg")</f>
        <v>http://pbs.twimg.com/media/FfDMtTYWAA8A7Zf.jpg</v>
      </c>
      <c r="J421" t="str">
        <f>HYPERLINK("http://pbs.twimg.com/media/FfDMtTaWAAwAAvL.jpg", "http://pbs.twimg.com/media/FfDMtTaWAAwAAvL.jpg")</f>
        <v>http://pbs.twimg.com/media/FfDMtTaWAAwAAvL.jpg</v>
      </c>
      <c r="K421" t="str">
        <f>HYPERLINK("http://pbs.twimg.com/media/FfDMtTbWAAgScGv.jpg", "http://pbs.twimg.com/media/FfDMtTbWAAgScGv.jpg")</f>
        <v>http://pbs.twimg.com/media/FfDMtTbWAAgScGv.jpg</v>
      </c>
      <c r="L421">
        <v>0</v>
      </c>
      <c r="M421">
        <v>0</v>
      </c>
      <c r="N421">
        <v>1</v>
      </c>
      <c r="O421">
        <v>0</v>
      </c>
    </row>
    <row r="422" spans="1:15" x14ac:dyDescent="0.2">
      <c r="A422" s="1" t="str">
        <f>HYPERLINK("http://www.twitter.com/banuakdenizli/status/1582398176920670208", "1582398176920670208")</f>
        <v>1582398176920670208</v>
      </c>
      <c r="B422" t="s">
        <v>15</v>
      </c>
      <c r="C422" s="2">
        <v>44852.658553240741</v>
      </c>
      <c r="D422">
        <v>0</v>
      </c>
      <c r="E422">
        <v>40</v>
      </c>
      <c r="F422" t="s">
        <v>23</v>
      </c>
      <c r="G422" t="s">
        <v>465</v>
      </c>
      <c r="L422">
        <v>0</v>
      </c>
      <c r="M422">
        <v>0</v>
      </c>
      <c r="N422">
        <v>1</v>
      </c>
      <c r="O422">
        <v>0</v>
      </c>
    </row>
    <row r="423" spans="1:15" x14ac:dyDescent="0.2">
      <c r="A423" s="1" t="str">
        <f>HYPERLINK("http://www.twitter.com/banuakdenizli/status/1582398128111505410", "1582398128111505410")</f>
        <v>1582398128111505410</v>
      </c>
      <c r="B423" t="s">
        <v>15</v>
      </c>
      <c r="C423" s="2">
        <v>44852.658414351848</v>
      </c>
      <c r="D423">
        <v>0</v>
      </c>
      <c r="E423">
        <v>21</v>
      </c>
      <c r="F423" t="s">
        <v>16</v>
      </c>
      <c r="G423" t="s">
        <v>466</v>
      </c>
      <c r="L423">
        <v>0</v>
      </c>
      <c r="M423">
        <v>0</v>
      </c>
      <c r="N423">
        <v>1</v>
      </c>
      <c r="O423">
        <v>0</v>
      </c>
    </row>
    <row r="424" spans="1:15" x14ac:dyDescent="0.2">
      <c r="A424" s="1" t="str">
        <f>HYPERLINK("http://www.twitter.com/banuakdenizli/status/1582398008208990209", "1582398008208990209")</f>
        <v>1582398008208990209</v>
      </c>
      <c r="B424" t="s">
        <v>15</v>
      </c>
      <c r="C424" s="2">
        <v>44852.658090277779</v>
      </c>
      <c r="D424">
        <v>0</v>
      </c>
      <c r="E424">
        <v>998</v>
      </c>
      <c r="F424" t="s">
        <v>22</v>
      </c>
      <c r="G424" t="s">
        <v>467</v>
      </c>
      <c r="H424" t="str">
        <f>HYPERLINK("http://pbs.twimg.com/media/FfWL0h-WYAAokZm.jpg", "http://pbs.twimg.com/media/FfWL0h-WYAAokZm.jpg")</f>
        <v>http://pbs.twimg.com/media/FfWL0h-WYAAokZm.jpg</v>
      </c>
      <c r="I424" t="str">
        <f>HYPERLINK("http://pbs.twimg.com/media/FfWL0iBWIAAVXpy.jpg", "http://pbs.twimg.com/media/FfWL0iBWIAAVXpy.jpg")</f>
        <v>http://pbs.twimg.com/media/FfWL0iBWIAAVXpy.jpg</v>
      </c>
      <c r="J424" t="str">
        <f>HYPERLINK("http://pbs.twimg.com/media/FfWL0h6XwAEpwbV.jpg", "http://pbs.twimg.com/media/FfWL0h6XwAEpwbV.jpg")</f>
        <v>http://pbs.twimg.com/media/FfWL0h6XwAEpwbV.jpg</v>
      </c>
      <c r="L424">
        <v>0</v>
      </c>
      <c r="M424">
        <v>0</v>
      </c>
      <c r="N424">
        <v>1</v>
      </c>
      <c r="O424">
        <v>0</v>
      </c>
    </row>
    <row r="425" spans="1:15" x14ac:dyDescent="0.2">
      <c r="A425" s="1" t="str">
        <f>HYPERLINK("http://www.twitter.com/banuakdenizli/status/1582397768429371393", "1582397768429371393")</f>
        <v>1582397768429371393</v>
      </c>
      <c r="B425" t="s">
        <v>15</v>
      </c>
      <c r="C425" s="2">
        <v>44852.657430555562</v>
      </c>
      <c r="D425">
        <v>0</v>
      </c>
      <c r="E425">
        <v>16</v>
      </c>
      <c r="F425" t="s">
        <v>16</v>
      </c>
      <c r="G425" t="s">
        <v>468</v>
      </c>
      <c r="H425" t="str">
        <f>HYPERLINK("http://pbs.twimg.com/media/FfWg-GRWQAIRvln.jpg", "http://pbs.twimg.com/media/FfWg-GRWQAIRvln.jpg")</f>
        <v>http://pbs.twimg.com/media/FfWg-GRWQAIRvln.jpg</v>
      </c>
      <c r="I425" t="str">
        <f>HYPERLINK("http://pbs.twimg.com/media/FfWhGUVWAAE2Fk7.jpg", "http://pbs.twimg.com/media/FfWhGUVWAAE2Fk7.jpg")</f>
        <v>http://pbs.twimg.com/media/FfWhGUVWAAE2Fk7.jpg</v>
      </c>
      <c r="J425" t="str">
        <f>HYPERLINK("http://pbs.twimg.com/media/FfWhHqbWYAAjVes.jpg", "http://pbs.twimg.com/media/FfWhHqbWYAAjVes.jpg")</f>
        <v>http://pbs.twimg.com/media/FfWhHqbWYAAjVes.jpg</v>
      </c>
      <c r="K425" t="str">
        <f>HYPERLINK("http://pbs.twimg.com/media/FfWhHquXEAAVUD4.jpg", "http://pbs.twimg.com/media/FfWhHquXEAAVUD4.jpg")</f>
        <v>http://pbs.twimg.com/media/FfWhHquXEAAVUD4.jpg</v>
      </c>
      <c r="L425">
        <v>0</v>
      </c>
      <c r="M425">
        <v>0</v>
      </c>
      <c r="N425">
        <v>1</v>
      </c>
      <c r="O425">
        <v>0</v>
      </c>
    </row>
    <row r="426" spans="1:15" x14ac:dyDescent="0.2">
      <c r="A426" s="1" t="str">
        <f>HYPERLINK("http://www.twitter.com/banuakdenizli/status/1582397440048525312", "1582397440048525312")</f>
        <v>1582397440048525312</v>
      </c>
      <c r="B426" t="s">
        <v>15</v>
      </c>
      <c r="C426" s="2">
        <v>44852.6565162037</v>
      </c>
      <c r="D426">
        <v>0</v>
      </c>
      <c r="E426">
        <v>6</v>
      </c>
      <c r="F426" t="s">
        <v>16</v>
      </c>
      <c r="G426" t="s">
        <v>469</v>
      </c>
      <c r="H426" t="str">
        <f>HYPERLINK("http://pbs.twimg.com/media/FfWlw3gXoAEJifq.jpg", "http://pbs.twimg.com/media/FfWlw3gXoAEJifq.jpg")</f>
        <v>http://pbs.twimg.com/media/FfWlw3gXoAEJifq.jpg</v>
      </c>
      <c r="L426">
        <v>0</v>
      </c>
      <c r="M426">
        <v>0</v>
      </c>
      <c r="N426">
        <v>1</v>
      </c>
      <c r="O426">
        <v>0</v>
      </c>
    </row>
    <row r="427" spans="1:15" x14ac:dyDescent="0.2">
      <c r="A427" s="1" t="str">
        <f>HYPERLINK("http://www.twitter.com/banuakdenizli/status/1582397409434697728", "1582397409434697728")</f>
        <v>1582397409434697728</v>
      </c>
      <c r="B427" t="s">
        <v>15</v>
      </c>
      <c r="C427" s="2">
        <v>44852.656435185178</v>
      </c>
      <c r="D427">
        <v>0</v>
      </c>
      <c r="E427">
        <v>13</v>
      </c>
      <c r="F427" t="s">
        <v>16</v>
      </c>
      <c r="G427" t="s">
        <v>470</v>
      </c>
      <c r="H427" t="str">
        <f>HYPERLINK("http://pbs.twimg.com/media/FfW2EmDXgAEGQg6.jpg", "http://pbs.twimg.com/media/FfW2EmDXgAEGQg6.jpg")</f>
        <v>http://pbs.twimg.com/media/FfW2EmDXgAEGQg6.jpg</v>
      </c>
      <c r="I427" t="str">
        <f>HYPERLINK("http://pbs.twimg.com/media/FfW2El6X0AYu_Wc.jpg", "http://pbs.twimg.com/media/FfW2El6X0AYu_Wc.jpg")</f>
        <v>http://pbs.twimg.com/media/FfW2El6X0AYu_Wc.jpg</v>
      </c>
      <c r="J427" t="str">
        <f>HYPERLINK("http://pbs.twimg.com/media/FfW2EmHXgAM4fxw.jpg", "http://pbs.twimg.com/media/FfW2EmHXgAM4fxw.jpg")</f>
        <v>http://pbs.twimg.com/media/FfW2EmHXgAM4fxw.jpg</v>
      </c>
      <c r="L427">
        <v>0</v>
      </c>
      <c r="M427">
        <v>0</v>
      </c>
      <c r="N427">
        <v>1</v>
      </c>
      <c r="O427">
        <v>0</v>
      </c>
    </row>
    <row r="428" spans="1:15" x14ac:dyDescent="0.2">
      <c r="A428" s="1" t="str">
        <f>HYPERLINK("http://www.twitter.com/banuakdenizli/status/1582397402937692160", "1582397402937692160")</f>
        <v>1582397402937692160</v>
      </c>
      <c r="B428" t="s">
        <v>15</v>
      </c>
      <c r="C428" s="2">
        <v>44852.656423611108</v>
      </c>
      <c r="D428">
        <v>0</v>
      </c>
      <c r="E428">
        <v>8</v>
      </c>
      <c r="F428" t="s">
        <v>16</v>
      </c>
      <c r="G428" t="s">
        <v>471</v>
      </c>
      <c r="H428" t="str">
        <f>HYPERLINK("http://pbs.twimg.com/media/FfW24hQWQAM4m6K.jpg", "http://pbs.twimg.com/media/FfW24hQWQAM4m6K.jpg")</f>
        <v>http://pbs.twimg.com/media/FfW24hQWQAM4m6K.jpg</v>
      </c>
      <c r="L428">
        <v>0</v>
      </c>
      <c r="M428">
        <v>0</v>
      </c>
      <c r="N428">
        <v>1</v>
      </c>
      <c r="O428">
        <v>0</v>
      </c>
    </row>
    <row r="429" spans="1:15" x14ac:dyDescent="0.2">
      <c r="A429" s="1" t="str">
        <f>HYPERLINK("http://www.twitter.com/banuakdenizli/status/1582397391507816450", "1582397391507816450")</f>
        <v>1582397391507816450</v>
      </c>
      <c r="B429" t="s">
        <v>15</v>
      </c>
      <c r="C429" s="2">
        <v>44852.656388888892</v>
      </c>
      <c r="D429">
        <v>0</v>
      </c>
      <c r="E429">
        <v>25</v>
      </c>
      <c r="F429" t="s">
        <v>16</v>
      </c>
      <c r="G429" t="s">
        <v>472</v>
      </c>
      <c r="H429" t="str">
        <f>HYPERLINK("http://pbs.twimg.com/media/FfDBBcbXwAEuWsH.jpg", "http://pbs.twimg.com/media/FfDBBcbXwAEuWsH.jpg")</f>
        <v>http://pbs.twimg.com/media/FfDBBcbXwAEuWsH.jpg</v>
      </c>
      <c r="L429">
        <v>0</v>
      </c>
      <c r="M429">
        <v>0</v>
      </c>
      <c r="N429">
        <v>1</v>
      </c>
      <c r="O429">
        <v>0</v>
      </c>
    </row>
    <row r="430" spans="1:15" x14ac:dyDescent="0.2">
      <c r="A430" s="1" t="str">
        <f>HYPERLINK("http://www.twitter.com/banuakdenizli/status/1580933649750294529", "1580933649750294529")</f>
        <v>1580933649750294529</v>
      </c>
      <c r="B430" t="s">
        <v>15</v>
      </c>
      <c r="C430" s="2">
        <v>44848.6172337963</v>
      </c>
      <c r="D430">
        <v>0</v>
      </c>
      <c r="E430">
        <v>14</v>
      </c>
      <c r="F430" t="s">
        <v>473</v>
      </c>
      <c r="G430" t="s">
        <v>474</v>
      </c>
      <c r="H430" t="str">
        <f>HYPERLINK("http://pbs.twimg.com/media/Fe9r9o2WIAEzRjO.jpg", "http://pbs.twimg.com/media/Fe9r9o2WIAEzRjO.jpg")</f>
        <v>http://pbs.twimg.com/media/Fe9r9o2WIAEzRjO.jpg</v>
      </c>
      <c r="L430">
        <v>0</v>
      </c>
      <c r="M430">
        <v>0</v>
      </c>
      <c r="N430">
        <v>1</v>
      </c>
      <c r="O430">
        <v>0</v>
      </c>
    </row>
    <row r="431" spans="1:15" x14ac:dyDescent="0.2">
      <c r="A431" s="1" t="str">
        <f>HYPERLINK("http://www.twitter.com/banuakdenizli/status/1580933045552439300", "1580933045552439300")</f>
        <v>1580933045552439300</v>
      </c>
      <c r="B431" t="s">
        <v>15</v>
      </c>
      <c r="C431" s="2">
        <v>44848.615567129629</v>
      </c>
      <c r="D431">
        <v>1</v>
      </c>
      <c r="E431">
        <v>0</v>
      </c>
      <c r="G431" t="s">
        <v>475</v>
      </c>
      <c r="L431">
        <v>0</v>
      </c>
      <c r="M431">
        <v>0</v>
      </c>
      <c r="N431">
        <v>1</v>
      </c>
      <c r="O431">
        <v>0</v>
      </c>
    </row>
    <row r="432" spans="1:15" x14ac:dyDescent="0.2">
      <c r="A432" s="1" t="str">
        <f>HYPERLINK("http://www.twitter.com/banuakdenizli/status/1580932241248890882", "1580932241248890882")</f>
        <v>1580932241248890882</v>
      </c>
      <c r="B432" t="s">
        <v>15</v>
      </c>
      <c r="C432" s="2">
        <v>44848.613344907397</v>
      </c>
      <c r="D432">
        <v>2</v>
      </c>
      <c r="E432">
        <v>0</v>
      </c>
      <c r="G432" t="s">
        <v>476</v>
      </c>
      <c r="H432" t="str">
        <f>HYPERLINK("http://pbs.twimg.com/media/FfCZcDsXgAEDMoe.jpg", "http://pbs.twimg.com/media/FfCZcDsXgAEDMoe.jpg")</f>
        <v>http://pbs.twimg.com/media/FfCZcDsXgAEDMoe.jpg</v>
      </c>
      <c r="L432">
        <v>0</v>
      </c>
      <c r="M432">
        <v>0</v>
      </c>
      <c r="N432">
        <v>1</v>
      </c>
      <c r="O432">
        <v>0</v>
      </c>
    </row>
    <row r="433" spans="1:15" x14ac:dyDescent="0.2">
      <c r="A433" s="1" t="str">
        <f>HYPERLINK("http://www.twitter.com/banuakdenizli/status/1580929960059240448", "1580929960059240448")</f>
        <v>1580929960059240448</v>
      </c>
      <c r="B433" t="s">
        <v>15</v>
      </c>
      <c r="C433" s="2">
        <v>44848.607048611113</v>
      </c>
      <c r="D433">
        <v>1</v>
      </c>
      <c r="E433">
        <v>0</v>
      </c>
      <c r="G433" t="s">
        <v>477</v>
      </c>
      <c r="H433" t="str">
        <f>HYPERLINK("http://pbs.twimg.com/media/FfCXI6JWAAEuskM.jpg", "http://pbs.twimg.com/media/FfCXI6JWAAEuskM.jpg")</f>
        <v>http://pbs.twimg.com/media/FfCXI6JWAAEuskM.jpg</v>
      </c>
      <c r="L433">
        <v>0</v>
      </c>
      <c r="M433">
        <v>0</v>
      </c>
      <c r="N433">
        <v>1</v>
      </c>
      <c r="O433">
        <v>0</v>
      </c>
    </row>
    <row r="434" spans="1:15" x14ac:dyDescent="0.2">
      <c r="A434" s="1" t="str">
        <f>HYPERLINK("http://www.twitter.com/banuakdenizli/status/1580929060309372929", "1580929060309372929")</f>
        <v>1580929060309372929</v>
      </c>
      <c r="B434" t="s">
        <v>15</v>
      </c>
      <c r="C434" s="2">
        <v>44848.604560185187</v>
      </c>
      <c r="D434">
        <v>0</v>
      </c>
      <c r="E434">
        <v>6</v>
      </c>
      <c r="F434" t="s">
        <v>17</v>
      </c>
      <c r="G434" t="s">
        <v>478</v>
      </c>
      <c r="H434" t="str">
        <f>HYPERLINK("http://pbs.twimg.com/media/Fe5tzPnXEAMKg9b.jpg", "http://pbs.twimg.com/media/Fe5tzPnXEAMKg9b.jpg")</f>
        <v>http://pbs.twimg.com/media/Fe5tzPnXEAMKg9b.jpg</v>
      </c>
      <c r="L434">
        <v>0</v>
      </c>
      <c r="M434">
        <v>0</v>
      </c>
      <c r="N434">
        <v>1</v>
      </c>
      <c r="O434">
        <v>0</v>
      </c>
    </row>
    <row r="435" spans="1:15" x14ac:dyDescent="0.2">
      <c r="A435" s="1" t="str">
        <f>HYPERLINK("http://www.twitter.com/banuakdenizli/status/1580929048515317760", "1580929048515317760")</f>
        <v>1580929048515317760</v>
      </c>
      <c r="B435" t="s">
        <v>15</v>
      </c>
      <c r="C435" s="2">
        <v>44848.604537037027</v>
      </c>
      <c r="D435">
        <v>0</v>
      </c>
      <c r="E435">
        <v>33</v>
      </c>
      <c r="F435" t="s">
        <v>303</v>
      </c>
      <c r="G435" t="s">
        <v>479</v>
      </c>
      <c r="H435" t="str">
        <f>HYPERLINK("https://video.twimg.com/amplify_video/1580233592923357185/vid/720x1280/_SmfrRwcnl8EpBKr.mp4?tag=14", "https://video.twimg.com/amplify_video/1580233592923357185/vid/720x1280/_SmfrRwcnl8EpBKr.mp4?tag=14")</f>
        <v>https://video.twimg.com/amplify_video/1580233592923357185/vid/720x1280/_SmfrRwcnl8EpBKr.mp4?tag=14</v>
      </c>
      <c r="L435">
        <v>0</v>
      </c>
      <c r="M435">
        <v>0</v>
      </c>
      <c r="N435">
        <v>1</v>
      </c>
      <c r="O435">
        <v>0</v>
      </c>
    </row>
    <row r="436" spans="1:15" x14ac:dyDescent="0.2">
      <c r="A436" s="1" t="str">
        <f>HYPERLINK("http://www.twitter.com/banuakdenizli/status/1580928993355669504", "1580928993355669504")</f>
        <v>1580928993355669504</v>
      </c>
      <c r="B436" t="s">
        <v>15</v>
      </c>
      <c r="C436" s="2">
        <v>44848.604375000003</v>
      </c>
      <c r="D436">
        <v>0</v>
      </c>
      <c r="E436">
        <v>13</v>
      </c>
      <c r="F436" t="s">
        <v>18</v>
      </c>
      <c r="G436" t="s">
        <v>480</v>
      </c>
      <c r="H436" t="str">
        <f>HYPERLINK("http://pbs.twimg.com/media/FfCG3L0X0AApH05.jpg", "http://pbs.twimg.com/media/FfCG3L0X0AApH05.jpg")</f>
        <v>http://pbs.twimg.com/media/FfCG3L0X0AApH05.jpg</v>
      </c>
      <c r="I436" t="str">
        <f>HYPERLINK("http://pbs.twimg.com/media/FfCG3L6WQAAy_e3.jpg", "http://pbs.twimg.com/media/FfCG3L6WQAAy_e3.jpg")</f>
        <v>http://pbs.twimg.com/media/FfCG3L6WQAAy_e3.jpg</v>
      </c>
      <c r="J436" t="str">
        <f>HYPERLINK("http://pbs.twimg.com/media/FfCG3L5WAAMlvcr.jpg", "http://pbs.twimg.com/media/FfCG3L5WAAMlvcr.jpg")</f>
        <v>http://pbs.twimg.com/media/FfCG3L5WAAMlvcr.jpg</v>
      </c>
      <c r="L436">
        <v>0.55740000000000001</v>
      </c>
      <c r="M436">
        <v>0</v>
      </c>
      <c r="N436">
        <v>0.78300000000000003</v>
      </c>
      <c r="O436">
        <v>0.217</v>
      </c>
    </row>
    <row r="437" spans="1:15" x14ac:dyDescent="0.2">
      <c r="A437" s="1" t="str">
        <f>HYPERLINK("http://www.twitter.com/banuakdenizli/status/1580928985407836161", "1580928985407836161")</f>
        <v>1580928985407836161</v>
      </c>
      <c r="B437" t="s">
        <v>15</v>
      </c>
      <c r="C437" s="2">
        <v>44848.604363425933</v>
      </c>
      <c r="D437">
        <v>0</v>
      </c>
      <c r="E437">
        <v>59</v>
      </c>
      <c r="F437" t="s">
        <v>20</v>
      </c>
      <c r="G437" t="s">
        <v>481</v>
      </c>
      <c r="H437" t="str">
        <f>HYPERLINK("http://pbs.twimg.com/media/FfBuvj_WAAIp58h.jpg", "http://pbs.twimg.com/media/FfBuvj_WAAIp58h.jpg")</f>
        <v>http://pbs.twimg.com/media/FfBuvj_WAAIp58h.jpg</v>
      </c>
      <c r="L437">
        <v>0.86580000000000001</v>
      </c>
      <c r="M437">
        <v>5.6000000000000001E-2</v>
      </c>
      <c r="N437">
        <v>0.67600000000000005</v>
      </c>
      <c r="O437">
        <v>0.26800000000000002</v>
      </c>
    </row>
    <row r="438" spans="1:15" x14ac:dyDescent="0.2">
      <c r="A438" s="1" t="str">
        <f>HYPERLINK("http://www.twitter.com/banuakdenizli/status/1580928975508934656", "1580928975508934656")</f>
        <v>1580928975508934656</v>
      </c>
      <c r="B438" t="s">
        <v>15</v>
      </c>
      <c r="C438" s="2">
        <v>44848.604328703703</v>
      </c>
      <c r="D438">
        <v>0</v>
      </c>
      <c r="E438">
        <v>11</v>
      </c>
      <c r="F438" t="s">
        <v>18</v>
      </c>
      <c r="G438" t="s">
        <v>482</v>
      </c>
      <c r="H438" t="str">
        <f>HYPERLINK("http://pbs.twimg.com/media/FfBMwu4WQAAoSNo.jpg", "http://pbs.twimg.com/media/FfBMwu4WQAAoSNo.jpg")</f>
        <v>http://pbs.twimg.com/media/FfBMwu4WQAAoSNo.jpg</v>
      </c>
      <c r="L438">
        <v>0.40189999999999998</v>
      </c>
      <c r="M438">
        <v>0</v>
      </c>
      <c r="N438">
        <v>0.86299999999999999</v>
      </c>
      <c r="O438">
        <v>0.13700000000000001</v>
      </c>
    </row>
    <row r="439" spans="1:15" x14ac:dyDescent="0.2">
      <c r="A439" s="1" t="str">
        <f>HYPERLINK("http://www.twitter.com/banuakdenizli/status/1580928958149054470", "1580928958149054470")</f>
        <v>1580928958149054470</v>
      </c>
      <c r="B439" t="s">
        <v>15</v>
      </c>
      <c r="C439" s="2">
        <v>44848.60428240741</v>
      </c>
      <c r="D439">
        <v>0</v>
      </c>
      <c r="E439">
        <v>10</v>
      </c>
      <c r="F439" t="s">
        <v>18</v>
      </c>
      <c r="G439" t="s">
        <v>483</v>
      </c>
      <c r="H439" t="str">
        <f>HYPERLINK("http://pbs.twimg.com/media/Fe-qT1UX0AAxiD9.jpg", "http://pbs.twimg.com/media/Fe-qT1UX0AAxiD9.jpg")</f>
        <v>http://pbs.twimg.com/media/Fe-qT1UX0AAxiD9.jpg</v>
      </c>
      <c r="L439">
        <v>0</v>
      </c>
      <c r="M439">
        <v>0</v>
      </c>
      <c r="N439">
        <v>1</v>
      </c>
      <c r="O439">
        <v>0</v>
      </c>
    </row>
    <row r="440" spans="1:15" x14ac:dyDescent="0.2">
      <c r="A440" s="1" t="str">
        <f>HYPERLINK("http://www.twitter.com/banuakdenizli/status/1580928941707395072", "1580928941707395072")</f>
        <v>1580928941707395072</v>
      </c>
      <c r="B440" t="s">
        <v>15</v>
      </c>
      <c r="C440" s="2">
        <v>44848.60423611111</v>
      </c>
      <c r="D440">
        <v>0</v>
      </c>
      <c r="E440">
        <v>10</v>
      </c>
      <c r="F440" t="s">
        <v>18</v>
      </c>
      <c r="G440" t="s">
        <v>484</v>
      </c>
      <c r="H440" t="str">
        <f>HYPERLINK("http://pbs.twimg.com/media/Fe-fyHqXoAAz-AU.jpg", "http://pbs.twimg.com/media/Fe-fyHqXoAAz-AU.jpg")</f>
        <v>http://pbs.twimg.com/media/Fe-fyHqXoAAz-AU.jpg</v>
      </c>
      <c r="L440">
        <v>7.7200000000000005E-2</v>
      </c>
      <c r="M440">
        <v>0</v>
      </c>
      <c r="N440">
        <v>0.92900000000000005</v>
      </c>
      <c r="O440">
        <v>7.0999999999999994E-2</v>
      </c>
    </row>
    <row r="441" spans="1:15" x14ac:dyDescent="0.2">
      <c r="A441" s="1" t="str">
        <f>HYPERLINK("http://www.twitter.com/banuakdenizli/status/1580928928084267008", "1580928928084267008")</f>
        <v>1580928928084267008</v>
      </c>
      <c r="B441" t="s">
        <v>15</v>
      </c>
      <c r="C441" s="2">
        <v>44848.604201388887</v>
      </c>
      <c r="D441">
        <v>0</v>
      </c>
      <c r="E441">
        <v>10</v>
      </c>
      <c r="F441" t="s">
        <v>18</v>
      </c>
      <c r="G441" t="s">
        <v>485</v>
      </c>
      <c r="H441" t="str">
        <f>HYPERLINK("http://pbs.twimg.com/media/Fe-eS4-XwAEiKOn.jpg", "http://pbs.twimg.com/media/Fe-eS4-XwAEiKOn.jpg")</f>
        <v>http://pbs.twimg.com/media/Fe-eS4-XwAEiKOn.jpg</v>
      </c>
      <c r="L441">
        <v>0.40189999999999998</v>
      </c>
      <c r="M441">
        <v>0</v>
      </c>
      <c r="N441">
        <v>0.80300000000000005</v>
      </c>
      <c r="O441">
        <v>0.19700000000000001</v>
      </c>
    </row>
    <row r="442" spans="1:15" x14ac:dyDescent="0.2">
      <c r="A442" s="1" t="str">
        <f>HYPERLINK("http://www.twitter.com/banuakdenizli/status/1580928919364022273", "1580928919364022273")</f>
        <v>1580928919364022273</v>
      </c>
      <c r="B442" t="s">
        <v>15</v>
      </c>
      <c r="C442" s="2">
        <v>44848.604178240741</v>
      </c>
      <c r="D442">
        <v>0</v>
      </c>
      <c r="E442">
        <v>8</v>
      </c>
      <c r="F442" t="s">
        <v>18</v>
      </c>
      <c r="G442" t="s">
        <v>486</v>
      </c>
      <c r="H442" t="str">
        <f>HYPERLINK("http://pbs.twimg.com/media/Fe9-0QQXEBkHMOL.jpg", "http://pbs.twimg.com/media/Fe9-0QQXEBkHMOL.jpg")</f>
        <v>http://pbs.twimg.com/media/Fe9-0QQXEBkHMOL.jpg</v>
      </c>
      <c r="I442" t="str">
        <f>HYPERLINK("http://pbs.twimg.com/media/Fe9-0QUXEAw7yY8.jpg", "http://pbs.twimg.com/media/Fe9-0QUXEAw7yY8.jpg")</f>
        <v>http://pbs.twimg.com/media/Fe9-0QUXEAw7yY8.jpg</v>
      </c>
      <c r="J442" t="str">
        <f>HYPERLINK("http://pbs.twimg.com/media/Fe9-0QSXgAAFjR1.jpg", "http://pbs.twimg.com/media/Fe9-0QSXgAAFjR1.jpg")</f>
        <v>http://pbs.twimg.com/media/Fe9-0QSXgAAFjR1.jpg</v>
      </c>
      <c r="L442">
        <v>0</v>
      </c>
      <c r="M442">
        <v>0</v>
      </c>
      <c r="N442">
        <v>1</v>
      </c>
      <c r="O442">
        <v>0</v>
      </c>
    </row>
    <row r="443" spans="1:15" x14ac:dyDescent="0.2">
      <c r="A443" s="1" t="str">
        <f>HYPERLINK("http://www.twitter.com/banuakdenizli/status/1580928894378840065", "1580928894378840065")</f>
        <v>1580928894378840065</v>
      </c>
      <c r="B443" t="s">
        <v>15</v>
      </c>
      <c r="C443" s="2">
        <v>44848.604108796288</v>
      </c>
      <c r="D443">
        <v>0</v>
      </c>
      <c r="E443">
        <v>9</v>
      </c>
      <c r="F443" t="s">
        <v>18</v>
      </c>
      <c r="G443" t="s">
        <v>487</v>
      </c>
      <c r="H443" t="str">
        <f>HYPERLINK("http://pbs.twimg.com/media/Fe7t6E4XkAAPTT2.jpg", "http://pbs.twimg.com/media/Fe7t6E4XkAAPTT2.jpg")</f>
        <v>http://pbs.twimg.com/media/Fe7t6E4XkAAPTT2.jpg</v>
      </c>
      <c r="L443">
        <v>-0.71840000000000004</v>
      </c>
      <c r="M443">
        <v>0.308</v>
      </c>
      <c r="N443">
        <v>0.54500000000000004</v>
      </c>
      <c r="O443">
        <v>0.14699999999999999</v>
      </c>
    </row>
    <row r="444" spans="1:15" x14ac:dyDescent="0.2">
      <c r="A444" s="1" t="str">
        <f>HYPERLINK("http://www.twitter.com/banuakdenizli/status/1580928885906341888", "1580928885906341888")</f>
        <v>1580928885906341888</v>
      </c>
      <c r="B444" t="s">
        <v>15</v>
      </c>
      <c r="C444" s="2">
        <v>44848.604085648149</v>
      </c>
      <c r="D444">
        <v>0</v>
      </c>
      <c r="E444">
        <v>15</v>
      </c>
      <c r="F444" t="s">
        <v>18</v>
      </c>
      <c r="G444" t="s">
        <v>488</v>
      </c>
      <c r="H444" t="str">
        <f>HYPERLINK("http://pbs.twimg.com/media/Fe5qQtgWYAAk6MK.jpg", "http://pbs.twimg.com/media/Fe5qQtgWYAAk6MK.jpg")</f>
        <v>http://pbs.twimg.com/media/Fe5qQtgWYAAk6MK.jpg</v>
      </c>
      <c r="L444">
        <v>-0.29599999999999999</v>
      </c>
      <c r="M444">
        <v>0.22900000000000001</v>
      </c>
      <c r="N444">
        <v>0.625</v>
      </c>
      <c r="O444">
        <v>0.14599999999999999</v>
      </c>
    </row>
    <row r="445" spans="1:15" x14ac:dyDescent="0.2">
      <c r="A445" s="1" t="str">
        <f>HYPERLINK("http://www.twitter.com/banuakdenizli/status/1580928872387780609", "1580928872387780609")</f>
        <v>1580928872387780609</v>
      </c>
      <c r="B445" t="s">
        <v>15</v>
      </c>
      <c r="C445" s="2">
        <v>44848.604050925933</v>
      </c>
      <c r="D445">
        <v>0</v>
      </c>
      <c r="E445">
        <v>6</v>
      </c>
      <c r="F445" t="s">
        <v>18</v>
      </c>
      <c r="G445" t="s">
        <v>489</v>
      </c>
      <c r="H445" t="str">
        <f>HYPERLINK("http://pbs.twimg.com/media/Fe5iZYnWIAMY89S.jpg", "http://pbs.twimg.com/media/Fe5iZYnWIAMY89S.jpg")</f>
        <v>http://pbs.twimg.com/media/Fe5iZYnWIAMY89S.jpg</v>
      </c>
      <c r="L445">
        <v>0.2732</v>
      </c>
      <c r="M445">
        <v>0</v>
      </c>
      <c r="N445">
        <v>0.85099999999999998</v>
      </c>
      <c r="O445">
        <v>0.14899999999999999</v>
      </c>
    </row>
    <row r="446" spans="1:15" x14ac:dyDescent="0.2">
      <c r="A446" s="1" t="str">
        <f>HYPERLINK("http://www.twitter.com/banuakdenizli/status/1580928843694899201", "1580928843694899201")</f>
        <v>1580928843694899201</v>
      </c>
      <c r="B446" t="s">
        <v>15</v>
      </c>
      <c r="C446" s="2">
        <v>44848.60396990741</v>
      </c>
      <c r="D446">
        <v>0</v>
      </c>
      <c r="E446">
        <v>7</v>
      </c>
      <c r="F446" t="s">
        <v>18</v>
      </c>
      <c r="G446" t="s">
        <v>490</v>
      </c>
      <c r="H446" t="str">
        <f>HYPERLINK("http://pbs.twimg.com/media/Fe5fFR0WAAceYaJ.jpg", "http://pbs.twimg.com/media/Fe5fFR0WAAceYaJ.jpg")</f>
        <v>http://pbs.twimg.com/media/Fe5fFR0WAAceYaJ.jpg</v>
      </c>
      <c r="L446">
        <v>0.71840000000000004</v>
      </c>
      <c r="M446">
        <v>0</v>
      </c>
      <c r="N446">
        <v>0.77800000000000002</v>
      </c>
      <c r="O446">
        <v>0.222</v>
      </c>
    </row>
    <row r="447" spans="1:15" x14ac:dyDescent="0.2">
      <c r="A447" s="1" t="str">
        <f>HYPERLINK("http://www.twitter.com/banuakdenizli/status/1580928830696349697", "1580928830696349697")</f>
        <v>1580928830696349697</v>
      </c>
      <c r="B447" t="s">
        <v>15</v>
      </c>
      <c r="C447" s="2">
        <v>44848.603935185187</v>
      </c>
      <c r="D447">
        <v>0</v>
      </c>
      <c r="E447">
        <v>7</v>
      </c>
      <c r="F447" t="s">
        <v>18</v>
      </c>
      <c r="G447" t="s">
        <v>491</v>
      </c>
      <c r="H447" t="str">
        <f>HYPERLINK("http://pbs.twimg.com/media/Fe5duwRXEAAtiCk.jpg", "http://pbs.twimg.com/media/Fe5duwRXEAAtiCk.jpg")</f>
        <v>http://pbs.twimg.com/media/Fe5duwRXEAAtiCk.jpg</v>
      </c>
      <c r="L447">
        <v>0.40189999999999998</v>
      </c>
      <c r="M447">
        <v>0</v>
      </c>
      <c r="N447">
        <v>0.84699999999999998</v>
      </c>
      <c r="O447">
        <v>0.153</v>
      </c>
    </row>
    <row r="448" spans="1:15" x14ac:dyDescent="0.2">
      <c r="A448" s="1" t="str">
        <f>HYPERLINK("http://www.twitter.com/banuakdenizli/status/1580928819900608514", "1580928819900608514")</f>
        <v>1580928819900608514</v>
      </c>
      <c r="B448" t="s">
        <v>15</v>
      </c>
      <c r="C448" s="2">
        <v>44848.603900462957</v>
      </c>
      <c r="D448">
        <v>0</v>
      </c>
      <c r="E448">
        <v>8</v>
      </c>
      <c r="F448" t="s">
        <v>18</v>
      </c>
      <c r="G448" t="s">
        <v>492</v>
      </c>
      <c r="H448" t="str">
        <f>HYPERLINK("http://pbs.twimg.com/media/Fe5cuFkWIAAB9CX.jpg", "http://pbs.twimg.com/media/Fe5cuFkWIAAB9CX.jpg")</f>
        <v>http://pbs.twimg.com/media/Fe5cuFkWIAAB9CX.jpg</v>
      </c>
      <c r="L448">
        <v>-0.45879999999999999</v>
      </c>
      <c r="M448">
        <v>0.158</v>
      </c>
      <c r="N448">
        <v>0.84199999999999997</v>
      </c>
      <c r="O448">
        <v>0</v>
      </c>
    </row>
    <row r="449" spans="1:15" x14ac:dyDescent="0.2">
      <c r="A449" s="1" t="str">
        <f>HYPERLINK("http://www.twitter.com/banuakdenizli/status/1580928777621684224", "1580928777621684224")</f>
        <v>1580928777621684224</v>
      </c>
      <c r="B449" t="s">
        <v>15</v>
      </c>
      <c r="C449" s="2">
        <v>44848.603784722232</v>
      </c>
      <c r="D449">
        <v>0</v>
      </c>
      <c r="E449">
        <v>9</v>
      </c>
      <c r="F449" t="s">
        <v>18</v>
      </c>
      <c r="G449" t="s">
        <v>493</v>
      </c>
      <c r="H449" t="str">
        <f>HYPERLINK("http://pbs.twimg.com/media/Fe3H1x6WYAI3n2I.jpg", "http://pbs.twimg.com/media/Fe3H1x6WYAI3n2I.jpg")</f>
        <v>http://pbs.twimg.com/media/Fe3H1x6WYAI3n2I.jpg</v>
      </c>
      <c r="I449" t="str">
        <f>HYPERLINK("http://pbs.twimg.com/media/Fe3H2dMWAAAkLzB.jpg", "http://pbs.twimg.com/media/Fe3H2dMWAAAkLzB.jpg")</f>
        <v>http://pbs.twimg.com/media/Fe3H2dMWAAAkLzB.jpg</v>
      </c>
      <c r="L449">
        <v>0</v>
      </c>
      <c r="M449">
        <v>0</v>
      </c>
      <c r="N449">
        <v>1</v>
      </c>
      <c r="O449">
        <v>0</v>
      </c>
    </row>
    <row r="450" spans="1:15" x14ac:dyDescent="0.2">
      <c r="A450" s="1" t="str">
        <f>HYPERLINK("http://www.twitter.com/banuakdenizli/status/1580928642867400708", "1580928642867400708")</f>
        <v>1580928642867400708</v>
      </c>
      <c r="B450" t="s">
        <v>15</v>
      </c>
      <c r="C450" s="2">
        <v>44848.603414351863</v>
      </c>
      <c r="D450">
        <v>0</v>
      </c>
      <c r="E450">
        <v>7</v>
      </c>
      <c r="F450" t="s">
        <v>16</v>
      </c>
      <c r="G450" t="s">
        <v>494</v>
      </c>
      <c r="H450" t="str">
        <f>HYPERLINK("http://pbs.twimg.com/media/FfCQtR5WAAQADGp.jpg", "http://pbs.twimg.com/media/FfCQtR5WAAQADGp.jpg")</f>
        <v>http://pbs.twimg.com/media/FfCQtR5WAAQADGp.jpg</v>
      </c>
      <c r="L450">
        <v>0</v>
      </c>
      <c r="M450">
        <v>0</v>
      </c>
      <c r="N450">
        <v>1</v>
      </c>
      <c r="O450">
        <v>0</v>
      </c>
    </row>
    <row r="451" spans="1:15" x14ac:dyDescent="0.2">
      <c r="A451" s="1" t="str">
        <f>HYPERLINK("http://www.twitter.com/banuakdenizli/status/1580928632855285761", "1580928632855285761")</f>
        <v>1580928632855285761</v>
      </c>
      <c r="B451" t="s">
        <v>15</v>
      </c>
      <c r="C451" s="2">
        <v>44848.603379629632</v>
      </c>
      <c r="D451">
        <v>0</v>
      </c>
      <c r="E451">
        <v>9</v>
      </c>
      <c r="F451" t="s">
        <v>16</v>
      </c>
      <c r="G451" t="s">
        <v>495</v>
      </c>
      <c r="H451" t="str">
        <f>HYPERLINK("http://pbs.twimg.com/media/FfCJ-99XkAISqkF.jpg", "http://pbs.twimg.com/media/FfCJ-99XkAISqkF.jpg")</f>
        <v>http://pbs.twimg.com/media/FfCJ-99XkAISqkF.jpg</v>
      </c>
      <c r="I451" t="str">
        <f>HYPERLINK("http://pbs.twimg.com/media/FfCJ--DXoAISUX-.jpg", "http://pbs.twimg.com/media/FfCJ--DXoAISUX-.jpg")</f>
        <v>http://pbs.twimg.com/media/FfCJ--DXoAISUX-.jpg</v>
      </c>
      <c r="J451" t="str">
        <f>HYPERLINK("http://pbs.twimg.com/media/FfCJ--IXoAEf8Vi.jpg", "http://pbs.twimg.com/media/FfCJ--IXoAEf8Vi.jpg")</f>
        <v>http://pbs.twimg.com/media/FfCJ--IXoAEf8Vi.jpg</v>
      </c>
      <c r="K451" t="str">
        <f>HYPERLINK("http://pbs.twimg.com/media/FfCJ--EXoAAAFjZ.jpg", "http://pbs.twimg.com/media/FfCJ--EXoAAAFjZ.jpg")</f>
        <v>http://pbs.twimg.com/media/FfCJ--EXoAAAFjZ.jpg</v>
      </c>
      <c r="L451">
        <v>0</v>
      </c>
      <c r="M451">
        <v>0</v>
      </c>
      <c r="N451">
        <v>1</v>
      </c>
      <c r="O451">
        <v>0</v>
      </c>
    </row>
    <row r="452" spans="1:15" x14ac:dyDescent="0.2">
      <c r="A452" s="1" t="str">
        <f>HYPERLINK("http://www.twitter.com/banuakdenizli/status/1580928617533804545", "1580928617533804545")</f>
        <v>1580928617533804545</v>
      </c>
      <c r="B452" t="s">
        <v>15</v>
      </c>
      <c r="C452" s="2">
        <v>44848.603344907409</v>
      </c>
      <c r="D452">
        <v>0</v>
      </c>
      <c r="E452">
        <v>43</v>
      </c>
      <c r="F452" t="s">
        <v>16</v>
      </c>
      <c r="G452" t="s">
        <v>496</v>
      </c>
      <c r="H452" t="str">
        <f>HYPERLINK("https://video.twimg.com/ext_tw_video/1580908122864029696/pu/vid/1280x720/wbXxxGVGraEuAWDk.mp4?tag=12", "https://video.twimg.com/ext_tw_video/1580908122864029696/pu/vid/1280x720/wbXxxGVGraEuAWDk.mp4?tag=12")</f>
        <v>https://video.twimg.com/ext_tw_video/1580908122864029696/pu/vid/1280x720/wbXxxGVGraEuAWDk.mp4?tag=12</v>
      </c>
      <c r="L452">
        <v>0</v>
      </c>
      <c r="M452">
        <v>0</v>
      </c>
      <c r="N452">
        <v>1</v>
      </c>
      <c r="O452">
        <v>0</v>
      </c>
    </row>
    <row r="453" spans="1:15" x14ac:dyDescent="0.2">
      <c r="A453" s="1" t="str">
        <f>HYPERLINK("http://www.twitter.com/banuakdenizli/status/1580928609669160962", "1580928609669160962")</f>
        <v>1580928609669160962</v>
      </c>
      <c r="B453" t="s">
        <v>15</v>
      </c>
      <c r="C453" s="2">
        <v>44848.603321759263</v>
      </c>
      <c r="D453">
        <v>0</v>
      </c>
      <c r="E453">
        <v>10</v>
      </c>
      <c r="F453" t="s">
        <v>16</v>
      </c>
      <c r="G453" t="s">
        <v>497</v>
      </c>
      <c r="H453" t="str">
        <f>HYPERLINK("https://video.twimg.com/ext_tw_video/1580896014684377088/pu/vid/1280x720/I4mfiLxA-1IvmNlr.mp4?tag=12", "https://video.twimg.com/ext_tw_video/1580896014684377088/pu/vid/1280x720/I4mfiLxA-1IvmNlr.mp4?tag=12")</f>
        <v>https://video.twimg.com/ext_tw_video/1580896014684377088/pu/vid/1280x720/I4mfiLxA-1IvmNlr.mp4?tag=12</v>
      </c>
      <c r="L453">
        <v>0</v>
      </c>
      <c r="M453">
        <v>0</v>
      </c>
      <c r="N453">
        <v>1</v>
      </c>
      <c r="O453">
        <v>0</v>
      </c>
    </row>
    <row r="454" spans="1:15" x14ac:dyDescent="0.2">
      <c r="A454" s="1" t="str">
        <f>HYPERLINK("http://www.twitter.com/banuakdenizli/status/1580928600710467584", "1580928600710467584")</f>
        <v>1580928600710467584</v>
      </c>
      <c r="B454" t="s">
        <v>15</v>
      </c>
      <c r="C454" s="2">
        <v>44848.603298611109</v>
      </c>
      <c r="D454">
        <v>0</v>
      </c>
      <c r="E454">
        <v>17</v>
      </c>
      <c r="F454" t="s">
        <v>16</v>
      </c>
      <c r="G454" t="s">
        <v>498</v>
      </c>
      <c r="H454" t="str">
        <f>HYPERLINK("https://video.twimg.com/ext_tw_video/1580886040742707200/pu/vid/1280x720/SMnDk_n6J6H1U8F3.mp4?tag=12", "https://video.twimg.com/ext_tw_video/1580886040742707200/pu/vid/1280x720/SMnDk_n6J6H1U8F3.mp4?tag=12")</f>
        <v>https://video.twimg.com/ext_tw_video/1580886040742707200/pu/vid/1280x720/SMnDk_n6J6H1U8F3.mp4?tag=12</v>
      </c>
      <c r="L454">
        <v>0</v>
      </c>
      <c r="M454">
        <v>0</v>
      </c>
      <c r="N454">
        <v>1</v>
      </c>
      <c r="O454">
        <v>0</v>
      </c>
    </row>
    <row r="455" spans="1:15" x14ac:dyDescent="0.2">
      <c r="A455" s="1" t="str">
        <f>HYPERLINK("http://www.twitter.com/banuakdenizli/status/1580928592598667266", "1580928592598667266")</f>
        <v>1580928592598667266</v>
      </c>
      <c r="B455" t="s">
        <v>15</v>
      </c>
      <c r="C455" s="2">
        <v>44848.603275462963</v>
      </c>
      <c r="D455">
        <v>0</v>
      </c>
      <c r="E455">
        <v>89</v>
      </c>
      <c r="F455" t="s">
        <v>20</v>
      </c>
      <c r="G455" t="s">
        <v>499</v>
      </c>
      <c r="H455" t="str">
        <f>HYPERLINK("http://pbs.twimg.com/media/FfBpjcVXoAE1C44.jpg", "http://pbs.twimg.com/media/FfBpjcVXoAE1C44.jpg")</f>
        <v>http://pbs.twimg.com/media/FfBpjcVXoAE1C44.jpg</v>
      </c>
      <c r="L455">
        <v>0</v>
      </c>
      <c r="M455">
        <v>0</v>
      </c>
      <c r="N455">
        <v>1</v>
      </c>
      <c r="O455">
        <v>0</v>
      </c>
    </row>
    <row r="456" spans="1:15" x14ac:dyDescent="0.2">
      <c r="A456" s="1" t="str">
        <f>HYPERLINK("http://www.twitter.com/banuakdenizli/status/1580928585837481984", "1580928585837481984")</f>
        <v>1580928585837481984</v>
      </c>
      <c r="B456" t="s">
        <v>15</v>
      </c>
      <c r="C456" s="2">
        <v>44848.603252314817</v>
      </c>
      <c r="D456">
        <v>0</v>
      </c>
      <c r="E456">
        <v>27</v>
      </c>
      <c r="F456" t="s">
        <v>16</v>
      </c>
      <c r="G456" t="s">
        <v>500</v>
      </c>
      <c r="H456" t="str">
        <f>HYPERLINK("https://video.twimg.com/ext_tw_video/1580883814561320963/pu/vid/1280x720/AivQ4vqzoUxuCHAQ.mp4?tag=12", "https://video.twimg.com/ext_tw_video/1580883814561320963/pu/vid/1280x720/AivQ4vqzoUxuCHAQ.mp4?tag=12")</f>
        <v>https://video.twimg.com/ext_tw_video/1580883814561320963/pu/vid/1280x720/AivQ4vqzoUxuCHAQ.mp4?tag=12</v>
      </c>
      <c r="L456">
        <v>0</v>
      </c>
      <c r="M456">
        <v>0</v>
      </c>
      <c r="N456">
        <v>1</v>
      </c>
      <c r="O456">
        <v>0</v>
      </c>
    </row>
    <row r="457" spans="1:15" x14ac:dyDescent="0.2">
      <c r="A457" s="1" t="str">
        <f>HYPERLINK("http://www.twitter.com/banuakdenizli/status/1580928578744909825", "1580928578744909825")</f>
        <v>1580928578744909825</v>
      </c>
      <c r="B457" t="s">
        <v>15</v>
      </c>
      <c r="C457" s="2">
        <v>44848.60324074074</v>
      </c>
      <c r="D457">
        <v>0</v>
      </c>
      <c r="E457">
        <v>13</v>
      </c>
      <c r="F457" t="s">
        <v>16</v>
      </c>
      <c r="G457" t="s">
        <v>501</v>
      </c>
      <c r="H457" t="str">
        <f>HYPERLINK("http://pbs.twimg.com/media/FfBquJxWYAIDb70.jpg", "http://pbs.twimg.com/media/FfBquJxWYAIDb70.jpg")</f>
        <v>http://pbs.twimg.com/media/FfBquJxWYAIDb70.jpg</v>
      </c>
      <c r="I457" t="str">
        <f>HYPERLINK("http://pbs.twimg.com/media/FfBquJ1XkAATa5j.jpg", "http://pbs.twimg.com/media/FfBquJ1XkAATa5j.jpg")</f>
        <v>http://pbs.twimg.com/media/FfBquJ1XkAATa5j.jpg</v>
      </c>
      <c r="J457" t="str">
        <f>HYPERLINK("http://pbs.twimg.com/media/FfBquJ0XwAE_4xd.jpg", "http://pbs.twimg.com/media/FfBquJ0XwAE_4xd.jpg")</f>
        <v>http://pbs.twimg.com/media/FfBquJ0XwAE_4xd.jpg</v>
      </c>
      <c r="L457">
        <v>0</v>
      </c>
      <c r="M457">
        <v>0</v>
      </c>
      <c r="N457">
        <v>1</v>
      </c>
      <c r="O457">
        <v>0</v>
      </c>
    </row>
    <row r="458" spans="1:15" x14ac:dyDescent="0.2">
      <c r="A458" s="1" t="str">
        <f>HYPERLINK("http://www.twitter.com/banuakdenizli/status/1580928570058100736", "1580928570058100736")</f>
        <v>1580928570058100736</v>
      </c>
      <c r="B458" t="s">
        <v>15</v>
      </c>
      <c r="C458" s="2">
        <v>44848.603206018517</v>
      </c>
      <c r="D458">
        <v>0</v>
      </c>
      <c r="E458">
        <v>14</v>
      </c>
      <c r="F458" t="s">
        <v>16</v>
      </c>
      <c r="G458" t="s">
        <v>502</v>
      </c>
      <c r="H458" t="str">
        <f>HYPERLINK("https://video.twimg.com/ext_tw_video/1580877073983459329/pu/vid/1280x720/trdEt0owG0jzbzxN.mp4?tag=12", "https://video.twimg.com/ext_tw_video/1580877073983459329/pu/vid/1280x720/trdEt0owG0jzbzxN.mp4?tag=12")</f>
        <v>https://video.twimg.com/ext_tw_video/1580877073983459329/pu/vid/1280x720/trdEt0owG0jzbzxN.mp4?tag=12</v>
      </c>
      <c r="L458">
        <v>0</v>
      </c>
      <c r="M458">
        <v>0</v>
      </c>
      <c r="N458">
        <v>1</v>
      </c>
      <c r="O458">
        <v>0</v>
      </c>
    </row>
    <row r="459" spans="1:15" x14ac:dyDescent="0.2">
      <c r="A459" s="1" t="str">
        <f>HYPERLINK("http://www.twitter.com/banuakdenizli/status/1580928561099128832", "1580928561099128832")</f>
        <v>1580928561099128832</v>
      </c>
      <c r="B459" t="s">
        <v>15</v>
      </c>
      <c r="C459" s="2">
        <v>44848.603182870371</v>
      </c>
      <c r="D459">
        <v>0</v>
      </c>
      <c r="E459">
        <v>12</v>
      </c>
      <c r="F459" t="s">
        <v>16</v>
      </c>
      <c r="G459" t="s">
        <v>503</v>
      </c>
      <c r="H459" t="str">
        <f>HYPERLINK("http://pbs.twimg.com/media/Fe-Z5WcWAAINefI.jpg", "http://pbs.twimg.com/media/Fe-Z5WcWAAINefI.jpg")</f>
        <v>http://pbs.twimg.com/media/Fe-Z5WcWAAINefI.jpg</v>
      </c>
      <c r="L459">
        <v>0</v>
      </c>
      <c r="M459">
        <v>0</v>
      </c>
      <c r="N459">
        <v>1</v>
      </c>
      <c r="O459">
        <v>0</v>
      </c>
    </row>
    <row r="460" spans="1:15" x14ac:dyDescent="0.2">
      <c r="A460" s="1" t="str">
        <f>HYPERLINK("http://www.twitter.com/banuakdenizli/status/1580928538047545350", "1580928538047545350")</f>
        <v>1580928538047545350</v>
      </c>
      <c r="B460" t="s">
        <v>15</v>
      </c>
      <c r="C460" s="2">
        <v>44848.603125000001</v>
      </c>
      <c r="D460">
        <v>0</v>
      </c>
      <c r="E460">
        <v>7</v>
      </c>
      <c r="F460" t="s">
        <v>16</v>
      </c>
      <c r="G460" t="s">
        <v>504</v>
      </c>
      <c r="H460" t="str">
        <f>HYPERLINK("http://pbs.twimg.com/media/Fe-SwllXEA48ZmV.jpg", "http://pbs.twimg.com/media/Fe-SwllXEA48ZmV.jpg")</f>
        <v>http://pbs.twimg.com/media/Fe-SwllXEA48ZmV.jpg</v>
      </c>
      <c r="L460">
        <v>0</v>
      </c>
      <c r="M460">
        <v>0</v>
      </c>
      <c r="N460">
        <v>1</v>
      </c>
      <c r="O460">
        <v>0</v>
      </c>
    </row>
    <row r="461" spans="1:15" x14ac:dyDescent="0.2">
      <c r="A461" s="1" t="str">
        <f>HYPERLINK("http://www.twitter.com/banuakdenizli/status/1580928524701274112", "1580928524701274112")</f>
        <v>1580928524701274112</v>
      </c>
      <c r="B461" t="s">
        <v>15</v>
      </c>
      <c r="C461" s="2">
        <v>44848.603090277778</v>
      </c>
      <c r="D461">
        <v>0</v>
      </c>
      <c r="E461">
        <v>9</v>
      </c>
      <c r="F461" t="s">
        <v>16</v>
      </c>
      <c r="G461" t="s">
        <v>505</v>
      </c>
      <c r="H461" t="str">
        <f>HYPERLINK("http://pbs.twimg.com/media/Fe-Mv2SWIAIWSEg.jpg", "http://pbs.twimg.com/media/Fe-Mv2SWIAIWSEg.jpg")</f>
        <v>http://pbs.twimg.com/media/Fe-Mv2SWIAIWSEg.jpg</v>
      </c>
      <c r="L461">
        <v>0</v>
      </c>
      <c r="M461">
        <v>0</v>
      </c>
      <c r="N461">
        <v>1</v>
      </c>
      <c r="O461">
        <v>0</v>
      </c>
    </row>
    <row r="462" spans="1:15" x14ac:dyDescent="0.2">
      <c r="A462" s="1" t="str">
        <f>HYPERLINK("http://www.twitter.com/banuakdenizli/status/1580928514978549762", "1580928514978549762")</f>
        <v>1580928514978549762</v>
      </c>
      <c r="B462" t="s">
        <v>15</v>
      </c>
      <c r="C462" s="2">
        <v>44848.603055555563</v>
      </c>
      <c r="D462">
        <v>0</v>
      </c>
      <c r="E462">
        <v>68</v>
      </c>
      <c r="F462" t="s">
        <v>16</v>
      </c>
      <c r="G462" t="s">
        <v>506</v>
      </c>
      <c r="H462" t="str">
        <f>HYPERLINK("http://pbs.twimg.com/media/Fe-BPJTWAAAmU0r.jpg", "http://pbs.twimg.com/media/Fe-BPJTWAAAmU0r.jpg")</f>
        <v>http://pbs.twimg.com/media/Fe-BPJTWAAAmU0r.jpg</v>
      </c>
      <c r="L462">
        <v>0</v>
      </c>
      <c r="M462">
        <v>0</v>
      </c>
      <c r="N462">
        <v>1</v>
      </c>
      <c r="O462">
        <v>0</v>
      </c>
    </row>
    <row r="463" spans="1:15" x14ac:dyDescent="0.2">
      <c r="A463" s="1" t="str">
        <f>HYPERLINK("http://www.twitter.com/banuakdenizli/status/1580928505621028864", "1580928505621028864")</f>
        <v>1580928505621028864</v>
      </c>
      <c r="B463" t="s">
        <v>15</v>
      </c>
      <c r="C463" s="2">
        <v>44848.603032407409</v>
      </c>
      <c r="D463">
        <v>0</v>
      </c>
      <c r="E463">
        <v>12</v>
      </c>
      <c r="F463" t="s">
        <v>21</v>
      </c>
      <c r="G463" t="s">
        <v>507</v>
      </c>
      <c r="H463" t="str">
        <f>HYPERLINK("http://pbs.twimg.com/media/Fe9akYgWIAAE5Vo.jpg", "http://pbs.twimg.com/media/Fe9akYgWIAAE5Vo.jpg")</f>
        <v>http://pbs.twimg.com/media/Fe9akYgWIAAE5Vo.jpg</v>
      </c>
      <c r="I463" t="str">
        <f>HYPERLINK("http://pbs.twimg.com/media/Fe9akYhXoAECwaN.jpg", "http://pbs.twimg.com/media/Fe9akYhXoAECwaN.jpg")</f>
        <v>http://pbs.twimg.com/media/Fe9akYhXoAECwaN.jpg</v>
      </c>
      <c r="L463">
        <v>0</v>
      </c>
      <c r="M463">
        <v>0</v>
      </c>
      <c r="N463">
        <v>1</v>
      </c>
      <c r="O463">
        <v>0</v>
      </c>
    </row>
    <row r="464" spans="1:15" x14ac:dyDescent="0.2">
      <c r="A464" s="1" t="str">
        <f>HYPERLINK("http://www.twitter.com/banuakdenizli/status/1580928498910531585", "1580928498910531585")</f>
        <v>1580928498910531585</v>
      </c>
      <c r="B464" t="s">
        <v>15</v>
      </c>
      <c r="C464" s="2">
        <v>44848.603020833332</v>
      </c>
      <c r="D464">
        <v>0</v>
      </c>
      <c r="E464">
        <v>13</v>
      </c>
      <c r="F464" t="s">
        <v>16</v>
      </c>
      <c r="G464" t="s">
        <v>508</v>
      </c>
      <c r="H464" t="str">
        <f>HYPERLINK("http://pbs.twimg.com/media/Fe9Pc2yWIAU7Ysd.jpg", "http://pbs.twimg.com/media/Fe9Pc2yWIAU7Ysd.jpg")</f>
        <v>http://pbs.twimg.com/media/Fe9Pc2yWIAU7Ysd.jpg</v>
      </c>
      <c r="I464" t="str">
        <f>HYPERLINK("http://pbs.twimg.com/media/Fe9Pc2wXkAA6iS3.jpg", "http://pbs.twimg.com/media/Fe9Pc2wXkAA6iS3.jpg")</f>
        <v>http://pbs.twimg.com/media/Fe9Pc2wXkAA6iS3.jpg</v>
      </c>
      <c r="J464" t="str">
        <f>HYPERLINK("http://pbs.twimg.com/media/Fe9Pc2zX0AAZ2r-.jpg", "http://pbs.twimg.com/media/Fe9Pc2zX0AAZ2r-.jpg")</f>
        <v>http://pbs.twimg.com/media/Fe9Pc2zX0AAZ2r-.jpg</v>
      </c>
      <c r="L464">
        <v>0</v>
      </c>
      <c r="M464">
        <v>0</v>
      </c>
      <c r="N464">
        <v>1</v>
      </c>
      <c r="O464">
        <v>0</v>
      </c>
    </row>
    <row r="465" spans="1:15" x14ac:dyDescent="0.2">
      <c r="A465" s="1" t="str">
        <f>HYPERLINK("http://www.twitter.com/banuakdenizli/status/1580928489812725760", "1580928489812725760")</f>
        <v>1580928489812725760</v>
      </c>
      <c r="B465" t="s">
        <v>15</v>
      </c>
      <c r="C465" s="2">
        <v>44848.602986111109</v>
      </c>
      <c r="D465">
        <v>0</v>
      </c>
      <c r="E465">
        <v>5</v>
      </c>
      <c r="F465" t="s">
        <v>16</v>
      </c>
      <c r="G465" t="s">
        <v>509</v>
      </c>
      <c r="H465" t="str">
        <f>HYPERLINK("http://pbs.twimg.com/media/Fe8gKgVXoAIjfHB.jpg", "http://pbs.twimg.com/media/Fe8gKgVXoAIjfHB.jpg")</f>
        <v>http://pbs.twimg.com/media/Fe8gKgVXoAIjfHB.jpg</v>
      </c>
      <c r="I465" t="str">
        <f>HYPERLINK("http://pbs.twimg.com/media/Fe8gKgVXkAEiBaU.jpg", "http://pbs.twimg.com/media/Fe8gKgVXkAEiBaU.jpg")</f>
        <v>http://pbs.twimg.com/media/Fe8gKgVXkAEiBaU.jpg</v>
      </c>
      <c r="L465">
        <v>0</v>
      </c>
      <c r="M465">
        <v>0</v>
      </c>
      <c r="N465">
        <v>1</v>
      </c>
      <c r="O465">
        <v>0</v>
      </c>
    </row>
    <row r="466" spans="1:15" x14ac:dyDescent="0.2">
      <c r="A466" s="1" t="str">
        <f>HYPERLINK("http://www.twitter.com/banuakdenizli/status/1580928477762818049", "1580928477762818049")</f>
        <v>1580928477762818049</v>
      </c>
      <c r="B466" t="s">
        <v>15</v>
      </c>
      <c r="C466" s="2">
        <v>44848.602951388893</v>
      </c>
      <c r="D466">
        <v>0</v>
      </c>
      <c r="E466">
        <v>404</v>
      </c>
      <c r="F466" t="s">
        <v>22</v>
      </c>
      <c r="G466" t="s">
        <v>510</v>
      </c>
      <c r="H466" t="str">
        <f>HYPERLINK("http://pbs.twimg.com/media/Fe8e8nFWAAA-K7z.jpg", "http://pbs.twimg.com/media/Fe8e8nFWAAA-K7z.jpg")</f>
        <v>http://pbs.twimg.com/media/Fe8e8nFWAAA-K7z.jpg</v>
      </c>
      <c r="I466" t="str">
        <f>HYPERLINK("http://pbs.twimg.com/media/Fe8e8nHX0AI3Yom.jpg", "http://pbs.twimg.com/media/Fe8e8nHX0AI3Yom.jpg")</f>
        <v>http://pbs.twimg.com/media/Fe8e8nHX0AI3Yom.jpg</v>
      </c>
      <c r="L466">
        <v>0</v>
      </c>
      <c r="M466">
        <v>0</v>
      </c>
      <c r="N466">
        <v>1</v>
      </c>
      <c r="O466">
        <v>0</v>
      </c>
    </row>
    <row r="467" spans="1:15" x14ac:dyDescent="0.2">
      <c r="A467" s="1" t="str">
        <f>HYPERLINK("http://www.twitter.com/banuakdenizli/status/1580928468690214914", "1580928468690214914")</f>
        <v>1580928468690214914</v>
      </c>
      <c r="B467" t="s">
        <v>15</v>
      </c>
      <c r="C467" s="2">
        <v>44848.60292824074</v>
      </c>
      <c r="D467">
        <v>0</v>
      </c>
      <c r="E467">
        <v>578</v>
      </c>
      <c r="F467" t="s">
        <v>22</v>
      </c>
      <c r="G467" t="s">
        <v>511</v>
      </c>
      <c r="H467" t="str">
        <f>HYPERLINK("http://pbs.twimg.com/media/Fe8e7rtWIAAbA2T.jpg", "http://pbs.twimg.com/media/Fe8e7rtWIAAbA2T.jpg")</f>
        <v>http://pbs.twimg.com/media/Fe8e7rtWIAAbA2T.jpg</v>
      </c>
      <c r="I467" t="str">
        <f>HYPERLINK("http://pbs.twimg.com/media/Fe8e7rqX0AcmXaN.jpg", "http://pbs.twimg.com/media/Fe8e7rqX0AcmXaN.jpg")</f>
        <v>http://pbs.twimg.com/media/Fe8e7rqX0AcmXaN.jpg</v>
      </c>
      <c r="L467">
        <v>0</v>
      </c>
      <c r="M467">
        <v>0</v>
      </c>
      <c r="N467">
        <v>1</v>
      </c>
      <c r="O467">
        <v>0</v>
      </c>
    </row>
    <row r="468" spans="1:15" x14ac:dyDescent="0.2">
      <c r="A468" s="1" t="str">
        <f>HYPERLINK("http://www.twitter.com/banuakdenizli/status/1580928457692717056", "1580928457692717056")</f>
        <v>1580928457692717056</v>
      </c>
      <c r="B468" t="s">
        <v>15</v>
      </c>
      <c r="C468" s="2">
        <v>44848.602905092594</v>
      </c>
      <c r="D468">
        <v>0</v>
      </c>
      <c r="E468">
        <v>44</v>
      </c>
      <c r="F468" t="s">
        <v>23</v>
      </c>
      <c r="G468" t="s">
        <v>512</v>
      </c>
      <c r="L468">
        <v>0</v>
      </c>
      <c r="M468">
        <v>0</v>
      </c>
      <c r="N468">
        <v>1</v>
      </c>
      <c r="O468">
        <v>0</v>
      </c>
    </row>
    <row r="469" spans="1:15" x14ac:dyDescent="0.2">
      <c r="A469" s="1" t="str">
        <f>HYPERLINK("http://www.twitter.com/banuakdenizli/status/1580928441054298112", "1580928441054298112")</f>
        <v>1580928441054298112</v>
      </c>
      <c r="B469" t="s">
        <v>15</v>
      </c>
      <c r="C469" s="2">
        <v>44848.602858796286</v>
      </c>
      <c r="D469">
        <v>0</v>
      </c>
      <c r="E469">
        <v>62</v>
      </c>
      <c r="F469" t="s">
        <v>23</v>
      </c>
      <c r="G469" t="s">
        <v>513</v>
      </c>
      <c r="H469" t="str">
        <f>HYPERLINK("http://pbs.twimg.com/media/Fe8TVX3XEAA9VYR.jpg", "http://pbs.twimg.com/media/Fe8TVX3XEAA9VYR.jpg")</f>
        <v>http://pbs.twimg.com/media/Fe8TVX3XEAA9VYR.jpg</v>
      </c>
      <c r="I469" t="str">
        <f>HYPERLINK("http://pbs.twimg.com/media/Fe8TVX1WQAcbRt-.jpg", "http://pbs.twimg.com/media/Fe8TVX1WQAcbRt-.jpg")</f>
        <v>http://pbs.twimg.com/media/Fe8TVX1WQAcbRt-.jpg</v>
      </c>
      <c r="L469">
        <v>0</v>
      </c>
      <c r="M469">
        <v>0</v>
      </c>
      <c r="N469">
        <v>1</v>
      </c>
      <c r="O469">
        <v>0</v>
      </c>
    </row>
    <row r="470" spans="1:15" x14ac:dyDescent="0.2">
      <c r="A470" s="1" t="str">
        <f>HYPERLINK("http://www.twitter.com/banuakdenizli/status/1580928334502170624", "1580928334502170624")</f>
        <v>1580928334502170624</v>
      </c>
      <c r="B470" t="s">
        <v>15</v>
      </c>
      <c r="C470" s="2">
        <v>44848.60255787037</v>
      </c>
      <c r="D470">
        <v>0</v>
      </c>
      <c r="E470">
        <v>38</v>
      </c>
      <c r="F470" t="s">
        <v>23</v>
      </c>
      <c r="G470" t="s">
        <v>514</v>
      </c>
      <c r="H470" t="str">
        <f>HYPERLINK("http://pbs.twimg.com/media/Fe72GXMXgAACYwV.jpg", "http://pbs.twimg.com/media/Fe72GXMXgAACYwV.jpg")</f>
        <v>http://pbs.twimg.com/media/Fe72GXMXgAACYwV.jpg</v>
      </c>
      <c r="L470">
        <v>0</v>
      </c>
      <c r="M470">
        <v>0</v>
      </c>
      <c r="N470">
        <v>1</v>
      </c>
      <c r="O470">
        <v>0</v>
      </c>
    </row>
    <row r="471" spans="1:15" x14ac:dyDescent="0.2">
      <c r="A471" s="1" t="str">
        <f>HYPERLINK("http://www.twitter.com/banuakdenizli/status/1580928257393799168", "1580928257393799168")</f>
        <v>1580928257393799168</v>
      </c>
      <c r="B471" t="s">
        <v>15</v>
      </c>
      <c r="C471" s="2">
        <v>44848.602349537039</v>
      </c>
      <c r="D471">
        <v>0</v>
      </c>
      <c r="E471">
        <v>64</v>
      </c>
      <c r="F471" t="s">
        <v>23</v>
      </c>
      <c r="G471" t="s">
        <v>515</v>
      </c>
      <c r="H471" t="str">
        <f>HYPERLINK("http://pbs.twimg.com/media/Fe7yYMJWYAAiXN2.jpg", "http://pbs.twimg.com/media/Fe7yYMJWYAAiXN2.jpg")</f>
        <v>http://pbs.twimg.com/media/Fe7yYMJWYAAiXN2.jpg</v>
      </c>
      <c r="L471">
        <v>0</v>
      </c>
      <c r="M471">
        <v>0</v>
      </c>
      <c r="N471">
        <v>1</v>
      </c>
      <c r="O471">
        <v>0</v>
      </c>
    </row>
    <row r="472" spans="1:15" x14ac:dyDescent="0.2">
      <c r="A472" s="1" t="str">
        <f>HYPERLINK("http://www.twitter.com/banuakdenizli/status/1580928242659491850", "1580928242659491850")</f>
        <v>1580928242659491850</v>
      </c>
      <c r="B472" t="s">
        <v>15</v>
      </c>
      <c r="C472" s="2">
        <v>44848.602303240739</v>
      </c>
      <c r="D472">
        <v>0</v>
      </c>
      <c r="E472">
        <v>86</v>
      </c>
      <c r="F472" t="s">
        <v>23</v>
      </c>
      <c r="G472" t="s">
        <v>516</v>
      </c>
      <c r="H472" t="str">
        <f>HYPERLINK("http://pbs.twimg.com/media/Fe7o3sJXgAAz2k0.jpg", "http://pbs.twimg.com/media/Fe7o3sJXgAAz2k0.jpg")</f>
        <v>http://pbs.twimg.com/media/Fe7o3sJXgAAz2k0.jpg</v>
      </c>
      <c r="I472" t="str">
        <f>HYPERLINK("http://pbs.twimg.com/media/Fe7o3sAX0AArOmM.jpg", "http://pbs.twimg.com/media/Fe7o3sAX0AArOmM.jpg")</f>
        <v>http://pbs.twimg.com/media/Fe7o3sAX0AArOmM.jpg</v>
      </c>
      <c r="J472" t="str">
        <f>HYPERLINK("http://pbs.twimg.com/media/Fe7o3sCWIAEXrAw.jpg", "http://pbs.twimg.com/media/Fe7o3sCWIAEXrAw.jpg")</f>
        <v>http://pbs.twimg.com/media/Fe7o3sCWIAEXrAw.jpg</v>
      </c>
      <c r="K472" t="str">
        <f>HYPERLINK("http://pbs.twimg.com/media/Fe7o3sEWIAEjEbu.jpg", "http://pbs.twimg.com/media/Fe7o3sEWIAEjEbu.jpg")</f>
        <v>http://pbs.twimg.com/media/Fe7o3sEWIAEjEbu.jpg</v>
      </c>
      <c r="L472">
        <v>0</v>
      </c>
      <c r="M472">
        <v>0</v>
      </c>
      <c r="N472">
        <v>1</v>
      </c>
      <c r="O472">
        <v>0</v>
      </c>
    </row>
    <row r="473" spans="1:15" x14ac:dyDescent="0.2">
      <c r="A473" s="1" t="str">
        <f>HYPERLINK("http://www.twitter.com/banuakdenizli/status/1580928226313920512", "1580928226313920512")</f>
        <v>1580928226313920512</v>
      </c>
      <c r="B473" t="s">
        <v>15</v>
      </c>
      <c r="C473" s="2">
        <v>44848.602268518523</v>
      </c>
      <c r="D473">
        <v>0</v>
      </c>
      <c r="E473">
        <v>9</v>
      </c>
      <c r="F473" t="s">
        <v>16</v>
      </c>
      <c r="G473" t="s">
        <v>517</v>
      </c>
      <c r="H473" t="str">
        <f>HYPERLINK("http://pbs.twimg.com/media/Fe7TfthWAAAnImX.jpg", "http://pbs.twimg.com/media/Fe7TfthWAAAnImX.jpg")</f>
        <v>http://pbs.twimg.com/media/Fe7TfthWAAAnImX.jpg</v>
      </c>
      <c r="L473">
        <v>0</v>
      </c>
      <c r="M473">
        <v>0</v>
      </c>
      <c r="N473">
        <v>1</v>
      </c>
      <c r="O473">
        <v>0</v>
      </c>
    </row>
    <row r="474" spans="1:15" x14ac:dyDescent="0.2">
      <c r="A474" s="1" t="str">
        <f>HYPERLINK("http://www.twitter.com/banuakdenizli/status/1580928198438944769", "1580928198438944769")</f>
        <v>1580928198438944769</v>
      </c>
      <c r="B474" t="s">
        <v>15</v>
      </c>
      <c r="C474" s="2">
        <v>44848.602187500001</v>
      </c>
      <c r="D474">
        <v>0</v>
      </c>
      <c r="E474">
        <v>38</v>
      </c>
      <c r="F474" t="s">
        <v>16</v>
      </c>
      <c r="G474" t="s">
        <v>518</v>
      </c>
      <c r="H474" t="str">
        <f>HYPERLINK("http://pbs.twimg.com/media/Fe41dQkWABoZ1aM.jpg", "http://pbs.twimg.com/media/Fe41dQkWABoZ1aM.jpg")</f>
        <v>http://pbs.twimg.com/media/Fe41dQkWABoZ1aM.jpg</v>
      </c>
      <c r="L474">
        <v>0</v>
      </c>
      <c r="M474">
        <v>0</v>
      </c>
      <c r="N474">
        <v>1</v>
      </c>
      <c r="O474">
        <v>0</v>
      </c>
    </row>
    <row r="475" spans="1:15" x14ac:dyDescent="0.2">
      <c r="A475" s="1" t="str">
        <f>HYPERLINK("http://www.twitter.com/banuakdenizli/status/1580928182491877376", "1580928182491877376")</f>
        <v>1580928182491877376</v>
      </c>
      <c r="B475" t="s">
        <v>15</v>
      </c>
      <c r="C475" s="2">
        <v>44848.602141203701</v>
      </c>
      <c r="D475">
        <v>0</v>
      </c>
      <c r="E475">
        <v>5</v>
      </c>
      <c r="F475" t="s">
        <v>16</v>
      </c>
      <c r="G475" t="s">
        <v>519</v>
      </c>
      <c r="H475" t="str">
        <f>HYPERLINK("http://pbs.twimg.com/media/Fe409K2WAAIMmIM.jpg", "http://pbs.twimg.com/media/Fe409K2WAAIMmIM.jpg")</f>
        <v>http://pbs.twimg.com/media/Fe409K2WAAIMmIM.jpg</v>
      </c>
      <c r="L475">
        <v>0</v>
      </c>
      <c r="M475">
        <v>0</v>
      </c>
      <c r="N475">
        <v>1</v>
      </c>
      <c r="O475">
        <v>0</v>
      </c>
    </row>
    <row r="476" spans="1:15" x14ac:dyDescent="0.2">
      <c r="A476" s="1" t="str">
        <f>HYPERLINK("http://www.twitter.com/banuakdenizli/status/1580928170613620738", "1580928170613620738")</f>
        <v>1580928170613620738</v>
      </c>
      <c r="B476" t="s">
        <v>15</v>
      </c>
      <c r="C476" s="2">
        <v>44848.602106481478</v>
      </c>
      <c r="D476">
        <v>0</v>
      </c>
      <c r="E476">
        <v>8</v>
      </c>
      <c r="F476" t="s">
        <v>16</v>
      </c>
      <c r="G476" t="s">
        <v>520</v>
      </c>
      <c r="H476" t="str">
        <f>HYPERLINK("http://pbs.twimg.com/media/Fe4z108WAAsr9Br.jpg", "http://pbs.twimg.com/media/Fe4z108WAAsr9Br.jpg")</f>
        <v>http://pbs.twimg.com/media/Fe4z108WAAsr9Br.jpg</v>
      </c>
      <c r="L476">
        <v>0</v>
      </c>
      <c r="M476">
        <v>0</v>
      </c>
      <c r="N476">
        <v>1</v>
      </c>
      <c r="O476">
        <v>0</v>
      </c>
    </row>
    <row r="477" spans="1:15" x14ac:dyDescent="0.2">
      <c r="A477" s="1" t="str">
        <f>HYPERLINK("http://www.twitter.com/banuakdenizli/status/1580928156906663936", "1580928156906663936")</f>
        <v>1580928156906663936</v>
      </c>
      <c r="B477" t="s">
        <v>15</v>
      </c>
      <c r="C477" s="2">
        <v>44848.602071759262</v>
      </c>
      <c r="D477">
        <v>0</v>
      </c>
      <c r="E477">
        <v>7</v>
      </c>
      <c r="F477" t="s">
        <v>16</v>
      </c>
      <c r="G477" t="s">
        <v>521</v>
      </c>
      <c r="H477" t="str">
        <f>HYPERLINK("http://pbs.twimg.com/media/Fe4zMCpWAA4mfrG.jpg", "http://pbs.twimg.com/media/Fe4zMCpWAA4mfrG.jpg")</f>
        <v>http://pbs.twimg.com/media/Fe4zMCpWAA4mfrG.jpg</v>
      </c>
      <c r="L477">
        <v>0</v>
      </c>
      <c r="M477">
        <v>0</v>
      </c>
      <c r="N477">
        <v>1</v>
      </c>
      <c r="O477">
        <v>0</v>
      </c>
    </row>
    <row r="478" spans="1:15" x14ac:dyDescent="0.2">
      <c r="A478" s="1" t="str">
        <f>HYPERLINK("http://www.twitter.com/banuakdenizli/status/1580928128251494400", "1580928128251494400")</f>
        <v>1580928128251494400</v>
      </c>
      <c r="B478" t="s">
        <v>15</v>
      </c>
      <c r="C478" s="2">
        <v>44848.601990740739</v>
      </c>
      <c r="D478">
        <v>0</v>
      </c>
      <c r="E478">
        <v>10</v>
      </c>
      <c r="F478" t="s">
        <v>16</v>
      </c>
      <c r="G478" t="s">
        <v>522</v>
      </c>
      <c r="H478" t="str">
        <f>HYPERLINK("http://pbs.twimg.com/media/Fe4yaa8WQAAfVZ_.jpg", "http://pbs.twimg.com/media/Fe4yaa8WQAAfVZ_.jpg")</f>
        <v>http://pbs.twimg.com/media/Fe4yaa8WQAAfVZ_.jpg</v>
      </c>
      <c r="L478">
        <v>0</v>
      </c>
      <c r="M478">
        <v>0</v>
      </c>
      <c r="N478">
        <v>1</v>
      </c>
      <c r="O478">
        <v>0</v>
      </c>
    </row>
    <row r="479" spans="1:15" x14ac:dyDescent="0.2">
      <c r="A479" s="1" t="str">
        <f>HYPERLINK("http://www.twitter.com/banuakdenizli/status/1580928024572493826", "1580928024572493826")</f>
        <v>1580928024572493826</v>
      </c>
      <c r="B479" t="s">
        <v>15</v>
      </c>
      <c r="C479" s="2">
        <v>44848.601701388892</v>
      </c>
      <c r="D479">
        <v>0</v>
      </c>
      <c r="E479">
        <v>20</v>
      </c>
      <c r="F479" t="s">
        <v>21</v>
      </c>
      <c r="G479" t="s">
        <v>523</v>
      </c>
      <c r="L479">
        <v>0</v>
      </c>
      <c r="M479">
        <v>0</v>
      </c>
      <c r="N479">
        <v>1</v>
      </c>
      <c r="O479">
        <v>0</v>
      </c>
    </row>
    <row r="480" spans="1:15" x14ac:dyDescent="0.2">
      <c r="A480" s="1" t="str">
        <f>HYPERLINK("http://www.twitter.com/banuakdenizli/status/1580191635589079040", "1580191635589079040")</f>
        <v>1580191635589079040</v>
      </c>
      <c r="B480" t="s">
        <v>15</v>
      </c>
      <c r="C480" s="2">
        <v>44846.569664351853</v>
      </c>
      <c r="D480">
        <v>0</v>
      </c>
      <c r="E480">
        <v>10</v>
      </c>
      <c r="F480" t="s">
        <v>234</v>
      </c>
      <c r="G480" t="s">
        <v>524</v>
      </c>
      <c r="H480" t="str">
        <f>HYPERLINK("http://pbs.twimg.com/media/Fe30pRQWYAAmXVb.jpg", "http://pbs.twimg.com/media/Fe30pRQWYAAmXVb.jpg")</f>
        <v>http://pbs.twimg.com/media/Fe30pRQWYAAmXVb.jpg</v>
      </c>
      <c r="L480">
        <v>0</v>
      </c>
      <c r="M480">
        <v>0</v>
      </c>
      <c r="N480">
        <v>1</v>
      </c>
      <c r="O480">
        <v>0</v>
      </c>
    </row>
    <row r="481" spans="1:15" x14ac:dyDescent="0.2">
      <c r="A481" s="1" t="str">
        <f>HYPERLINK("http://www.twitter.com/banuakdenizli/status/1580189256244375552", "1580189256244375552")</f>
        <v>1580189256244375552</v>
      </c>
      <c r="B481" t="s">
        <v>15</v>
      </c>
      <c r="C481" s="2">
        <v>44846.563090277778</v>
      </c>
      <c r="D481">
        <v>0</v>
      </c>
      <c r="E481">
        <v>4</v>
      </c>
      <c r="F481" t="s">
        <v>17</v>
      </c>
      <c r="G481" t="s">
        <v>525</v>
      </c>
      <c r="H481" t="str">
        <f>HYPERLINK("http://pbs.twimg.com/media/Feyhr2gXEAIC162.jpg", "http://pbs.twimg.com/media/Feyhr2gXEAIC162.jpg")</f>
        <v>http://pbs.twimg.com/media/Feyhr2gXEAIC162.jpg</v>
      </c>
      <c r="I481" t="str">
        <f>HYPERLINK("http://pbs.twimg.com/media/Feyhr2nWQAErcUt.jpg", "http://pbs.twimg.com/media/Feyhr2nWQAErcUt.jpg")</f>
        <v>http://pbs.twimg.com/media/Feyhr2nWQAErcUt.jpg</v>
      </c>
      <c r="L481">
        <v>0</v>
      </c>
      <c r="M481">
        <v>0</v>
      </c>
      <c r="N481">
        <v>1</v>
      </c>
      <c r="O481">
        <v>0</v>
      </c>
    </row>
    <row r="482" spans="1:15" x14ac:dyDescent="0.2">
      <c r="A482" s="1" t="str">
        <f>HYPERLINK("http://www.twitter.com/banuakdenizli/status/1580189246610059267", "1580189246610059267")</f>
        <v>1580189246610059267</v>
      </c>
      <c r="B482" t="s">
        <v>15</v>
      </c>
      <c r="C482" s="2">
        <v>44846.563067129631</v>
      </c>
      <c r="D482">
        <v>0</v>
      </c>
      <c r="E482">
        <v>22</v>
      </c>
      <c r="F482" t="s">
        <v>20</v>
      </c>
      <c r="G482" t="s">
        <v>526</v>
      </c>
      <c r="L482">
        <v>0</v>
      </c>
      <c r="M482">
        <v>0</v>
      </c>
      <c r="N482">
        <v>1</v>
      </c>
      <c r="O482">
        <v>0</v>
      </c>
    </row>
    <row r="483" spans="1:15" x14ac:dyDescent="0.2">
      <c r="A483" s="1" t="str">
        <f>HYPERLINK("http://www.twitter.com/banuakdenizli/status/1580189131388637184", "1580189131388637184")</f>
        <v>1580189131388637184</v>
      </c>
      <c r="B483" t="s">
        <v>15</v>
      </c>
      <c r="C483" s="2">
        <v>44846.562754629631</v>
      </c>
      <c r="D483">
        <v>0</v>
      </c>
      <c r="E483">
        <v>7</v>
      </c>
      <c r="F483" t="s">
        <v>18</v>
      </c>
      <c r="G483" t="s">
        <v>527</v>
      </c>
      <c r="H483" t="str">
        <f>HYPERLINK("http://pbs.twimg.com/media/Fe0iAP8XoA0aqsf.jpg", "http://pbs.twimg.com/media/Fe0iAP8XoA0aqsf.jpg")</f>
        <v>http://pbs.twimg.com/media/Fe0iAP8XoA0aqsf.jpg</v>
      </c>
      <c r="L483">
        <v>0.64859999999999995</v>
      </c>
      <c r="M483">
        <v>0</v>
      </c>
      <c r="N483">
        <v>0.69399999999999995</v>
      </c>
      <c r="O483">
        <v>0.30599999999999999</v>
      </c>
    </row>
    <row r="484" spans="1:15" x14ac:dyDescent="0.2">
      <c r="A484" s="1" t="str">
        <f>HYPERLINK("http://www.twitter.com/banuakdenizli/status/1580189116481667072", "1580189116481667072")</f>
        <v>1580189116481667072</v>
      </c>
      <c r="B484" t="s">
        <v>15</v>
      </c>
      <c r="C484" s="2">
        <v>44846.562708333331</v>
      </c>
      <c r="D484">
        <v>0</v>
      </c>
      <c r="E484">
        <v>22</v>
      </c>
      <c r="F484" t="s">
        <v>20</v>
      </c>
      <c r="G484" t="s">
        <v>528</v>
      </c>
      <c r="L484">
        <v>0.93600000000000005</v>
      </c>
      <c r="M484">
        <v>0</v>
      </c>
      <c r="N484">
        <v>0.64800000000000002</v>
      </c>
      <c r="O484">
        <v>0.35199999999999998</v>
      </c>
    </row>
    <row r="485" spans="1:15" x14ac:dyDescent="0.2">
      <c r="A485" s="1" t="str">
        <f>HYPERLINK("http://www.twitter.com/banuakdenizli/status/1580189102392999936", "1580189102392999936")</f>
        <v>1580189102392999936</v>
      </c>
      <c r="B485" t="s">
        <v>15</v>
      </c>
      <c r="C485" s="2">
        <v>44846.562673611108</v>
      </c>
      <c r="D485">
        <v>0</v>
      </c>
      <c r="E485">
        <v>6</v>
      </c>
      <c r="F485" t="s">
        <v>18</v>
      </c>
      <c r="G485" t="s">
        <v>529</v>
      </c>
      <c r="H485" t="str">
        <f>HYPERLINK("http://pbs.twimg.com/media/Fe3FBA2WYAM9qF1.jpg", "http://pbs.twimg.com/media/Fe3FBA2WYAM9qF1.jpg")</f>
        <v>http://pbs.twimg.com/media/Fe3FBA2WYAM9qF1.jpg</v>
      </c>
      <c r="I485" t="str">
        <f>HYPERLINK("http://pbs.twimg.com/media/Fe3FBtqX0AEu3sn.jpg", "http://pbs.twimg.com/media/Fe3FBtqX0AEu3sn.jpg")</f>
        <v>http://pbs.twimg.com/media/Fe3FBtqX0AEu3sn.jpg</v>
      </c>
      <c r="L485">
        <v>0</v>
      </c>
      <c r="M485">
        <v>0</v>
      </c>
      <c r="N485">
        <v>1</v>
      </c>
      <c r="O485">
        <v>0</v>
      </c>
    </row>
    <row r="486" spans="1:15" x14ac:dyDescent="0.2">
      <c r="A486" s="1" t="str">
        <f>HYPERLINK("http://www.twitter.com/banuakdenizli/status/1580189084600832000", "1580189084600832000")</f>
        <v>1580189084600832000</v>
      </c>
      <c r="B486" t="s">
        <v>15</v>
      </c>
      <c r="C486" s="2">
        <v>44846.562615740739</v>
      </c>
      <c r="D486">
        <v>0</v>
      </c>
      <c r="E486">
        <v>6</v>
      </c>
      <c r="F486" t="s">
        <v>18</v>
      </c>
      <c r="G486" t="s">
        <v>530</v>
      </c>
      <c r="H486" t="str">
        <f>HYPERLINK("http://pbs.twimg.com/media/Fe2eKR-WQAAdjiw.jpg", "http://pbs.twimg.com/media/Fe2eKR-WQAAdjiw.jpg")</f>
        <v>http://pbs.twimg.com/media/Fe2eKR-WQAAdjiw.jpg</v>
      </c>
      <c r="L486">
        <v>0</v>
      </c>
      <c r="M486">
        <v>0</v>
      </c>
      <c r="N486">
        <v>1</v>
      </c>
      <c r="O486">
        <v>0</v>
      </c>
    </row>
    <row r="487" spans="1:15" x14ac:dyDescent="0.2">
      <c r="A487" s="1" t="str">
        <f>HYPERLINK("http://www.twitter.com/banuakdenizli/status/1580182922774032384", "1580182922774032384")</f>
        <v>1580182922774032384</v>
      </c>
      <c r="B487" t="s">
        <v>15</v>
      </c>
      <c r="C487" s="2">
        <v>44846.545613425929</v>
      </c>
      <c r="D487">
        <v>0</v>
      </c>
      <c r="E487">
        <v>8</v>
      </c>
      <c r="F487" t="s">
        <v>16</v>
      </c>
      <c r="G487" t="s">
        <v>531</v>
      </c>
      <c r="H487" t="str">
        <f>HYPERLINK("http://pbs.twimg.com/media/FeyBLd3WYAAIIFP.jpg", "http://pbs.twimg.com/media/FeyBLd3WYAAIIFP.jpg")</f>
        <v>http://pbs.twimg.com/media/FeyBLd3WYAAIIFP.jpg</v>
      </c>
      <c r="L487">
        <v>0</v>
      </c>
      <c r="M487">
        <v>0</v>
      </c>
      <c r="N487">
        <v>1</v>
      </c>
      <c r="O487">
        <v>0</v>
      </c>
    </row>
    <row r="488" spans="1:15" x14ac:dyDescent="0.2">
      <c r="A488" s="1" t="str">
        <f>HYPERLINK("http://www.twitter.com/banuakdenizli/status/1580182869234044928", "1580182869234044928")</f>
        <v>1580182869234044928</v>
      </c>
      <c r="B488" t="s">
        <v>15</v>
      </c>
      <c r="C488" s="2">
        <v>44846.545474537037</v>
      </c>
      <c r="D488">
        <v>0</v>
      </c>
      <c r="E488">
        <v>6</v>
      </c>
      <c r="F488" t="s">
        <v>16</v>
      </c>
      <c r="G488" t="s">
        <v>532</v>
      </c>
      <c r="H488" t="str">
        <f>HYPERLINK("http://pbs.twimg.com/media/Fez9GABXEAEKeAF.jpg", "http://pbs.twimg.com/media/Fez9GABXEAEKeAF.jpg")</f>
        <v>http://pbs.twimg.com/media/Fez9GABXEAEKeAF.jpg</v>
      </c>
      <c r="L488">
        <v>0</v>
      </c>
      <c r="M488">
        <v>0</v>
      </c>
      <c r="N488">
        <v>1</v>
      </c>
      <c r="O488">
        <v>0</v>
      </c>
    </row>
    <row r="489" spans="1:15" x14ac:dyDescent="0.2">
      <c r="A489" s="1" t="str">
        <f>HYPERLINK("http://www.twitter.com/banuakdenizli/status/1580182845787492353", "1580182845787492353")</f>
        <v>1580182845787492353</v>
      </c>
      <c r="B489" t="s">
        <v>15</v>
      </c>
      <c r="C489" s="2">
        <v>44846.545405092591</v>
      </c>
      <c r="D489">
        <v>0</v>
      </c>
      <c r="E489">
        <v>7</v>
      </c>
      <c r="F489" t="s">
        <v>16</v>
      </c>
      <c r="G489" t="s">
        <v>533</v>
      </c>
      <c r="H489" t="str">
        <f>HYPERLINK("http://pbs.twimg.com/media/Fe2DDrcXkAAxdXe.jpg", "http://pbs.twimg.com/media/Fe2DDrcXkAAxdXe.jpg")</f>
        <v>http://pbs.twimg.com/media/Fe2DDrcXkAAxdXe.jpg</v>
      </c>
      <c r="L489">
        <v>0</v>
      </c>
      <c r="M489">
        <v>0</v>
      </c>
      <c r="N489">
        <v>1</v>
      </c>
      <c r="O489">
        <v>0</v>
      </c>
    </row>
    <row r="490" spans="1:15" x14ac:dyDescent="0.2">
      <c r="A490" s="1" t="str">
        <f>HYPERLINK("http://www.twitter.com/banuakdenizli/status/1580182822748270593", "1580182822748270593")</f>
        <v>1580182822748270593</v>
      </c>
      <c r="B490" t="s">
        <v>15</v>
      </c>
      <c r="C490" s="2">
        <v>44846.545335648138</v>
      </c>
      <c r="D490">
        <v>0</v>
      </c>
      <c r="E490">
        <v>38</v>
      </c>
      <c r="F490" t="s">
        <v>20</v>
      </c>
      <c r="G490" t="s">
        <v>534</v>
      </c>
      <c r="L490">
        <v>0</v>
      </c>
      <c r="M490">
        <v>0</v>
      </c>
      <c r="N490">
        <v>1</v>
      </c>
      <c r="O490">
        <v>0</v>
      </c>
    </row>
    <row r="491" spans="1:15" x14ac:dyDescent="0.2">
      <c r="A491" s="1" t="str">
        <f>HYPERLINK("http://www.twitter.com/banuakdenizli/status/1580182788414013440", "1580182788414013440")</f>
        <v>1580182788414013440</v>
      </c>
      <c r="B491" t="s">
        <v>15</v>
      </c>
      <c r="C491" s="2">
        <v>44846.545243055552</v>
      </c>
      <c r="D491">
        <v>0</v>
      </c>
      <c r="E491">
        <v>58</v>
      </c>
      <c r="F491" t="s">
        <v>23</v>
      </c>
      <c r="G491" t="s">
        <v>535</v>
      </c>
      <c r="H491" t="str">
        <f>HYPERLINK("http://pbs.twimg.com/media/Fe2XR3eWYAARhLk.jpg", "http://pbs.twimg.com/media/Fe2XR3eWYAARhLk.jpg")</f>
        <v>http://pbs.twimg.com/media/Fe2XR3eWYAARhLk.jpg</v>
      </c>
      <c r="I491" t="str">
        <f>HYPERLINK("http://pbs.twimg.com/media/Fe2XR3iWYAEbRD2.jpg", "http://pbs.twimg.com/media/Fe2XR3iWYAEbRD2.jpg")</f>
        <v>http://pbs.twimg.com/media/Fe2XR3iWYAEbRD2.jpg</v>
      </c>
      <c r="J491" t="str">
        <f>HYPERLINK("http://pbs.twimg.com/media/Fe2XR3fWAAAVvOS.jpg", "http://pbs.twimg.com/media/Fe2XR3fWAAAVvOS.jpg")</f>
        <v>http://pbs.twimg.com/media/Fe2XR3fWAAAVvOS.jpg</v>
      </c>
      <c r="K491" t="str">
        <f>HYPERLINK("http://pbs.twimg.com/media/Fe2XR3XXoAENQ5B.jpg", "http://pbs.twimg.com/media/Fe2XR3XXoAENQ5B.jpg")</f>
        <v>http://pbs.twimg.com/media/Fe2XR3XXoAENQ5B.jpg</v>
      </c>
      <c r="L491">
        <v>0</v>
      </c>
      <c r="M491">
        <v>0</v>
      </c>
      <c r="N491">
        <v>1</v>
      </c>
      <c r="O491">
        <v>0</v>
      </c>
    </row>
    <row r="492" spans="1:15" x14ac:dyDescent="0.2">
      <c r="A492" s="1" t="str">
        <f>HYPERLINK("http://www.twitter.com/banuakdenizli/status/1580182780511940608", "1580182780511940608")</f>
        <v>1580182780511940608</v>
      </c>
      <c r="B492" t="s">
        <v>15</v>
      </c>
      <c r="C492" s="2">
        <v>44846.545219907413</v>
      </c>
      <c r="D492">
        <v>0</v>
      </c>
      <c r="E492">
        <v>48</v>
      </c>
      <c r="F492" t="s">
        <v>23</v>
      </c>
      <c r="G492" t="s">
        <v>536</v>
      </c>
      <c r="H492" t="str">
        <f>HYPERLINK("http://pbs.twimg.com/media/Fe2iPQdXgAA8rSy.jpg", "http://pbs.twimg.com/media/Fe2iPQdXgAA8rSy.jpg")</f>
        <v>http://pbs.twimg.com/media/Fe2iPQdXgAA8rSy.jpg</v>
      </c>
      <c r="I492" t="str">
        <f>HYPERLINK("http://pbs.twimg.com/media/Fe2iPQUXoAArKng.jpg", "http://pbs.twimg.com/media/Fe2iPQUXoAArKng.jpg")</f>
        <v>http://pbs.twimg.com/media/Fe2iPQUXoAArKng.jpg</v>
      </c>
      <c r="J492" t="str">
        <f>HYPERLINK("http://pbs.twimg.com/media/Fe2iPQdXoAEezNU.jpg", "http://pbs.twimg.com/media/Fe2iPQdXoAEezNU.jpg")</f>
        <v>http://pbs.twimg.com/media/Fe2iPQdXoAEezNU.jpg</v>
      </c>
      <c r="K492" t="str">
        <f>HYPERLINK("http://pbs.twimg.com/media/Fe2iPQsXkAAcZKQ.jpg", "http://pbs.twimg.com/media/Fe2iPQsXkAAcZKQ.jpg")</f>
        <v>http://pbs.twimg.com/media/Fe2iPQsXkAAcZKQ.jpg</v>
      </c>
      <c r="L492">
        <v>0</v>
      </c>
      <c r="M492">
        <v>0</v>
      </c>
      <c r="N492">
        <v>1</v>
      </c>
      <c r="O492">
        <v>0</v>
      </c>
    </row>
    <row r="493" spans="1:15" x14ac:dyDescent="0.2">
      <c r="A493" s="1" t="str">
        <f>HYPERLINK("http://www.twitter.com/banuakdenizli/status/1580182772374638594", "1580182772374638594")</f>
        <v>1580182772374638594</v>
      </c>
      <c r="B493" t="s">
        <v>15</v>
      </c>
      <c r="C493" s="2">
        <v>44846.54519675926</v>
      </c>
      <c r="D493">
        <v>0</v>
      </c>
      <c r="E493">
        <v>52</v>
      </c>
      <c r="F493" t="s">
        <v>23</v>
      </c>
      <c r="G493" t="s">
        <v>537</v>
      </c>
      <c r="H493" t="str">
        <f>HYPERLINK("http://pbs.twimg.com/media/Fe2mh6cXkAAKtva.jpg", "http://pbs.twimg.com/media/Fe2mh6cXkAAKtva.jpg")</f>
        <v>http://pbs.twimg.com/media/Fe2mh6cXkAAKtva.jpg</v>
      </c>
      <c r="I493" t="str">
        <f>HYPERLINK("http://pbs.twimg.com/media/Fe2mh6aXwAAzQJJ.jpg", "http://pbs.twimg.com/media/Fe2mh6aXwAAzQJJ.jpg")</f>
        <v>http://pbs.twimg.com/media/Fe2mh6aXwAAzQJJ.jpg</v>
      </c>
      <c r="L493">
        <v>0</v>
      </c>
      <c r="M493">
        <v>0</v>
      </c>
      <c r="N493">
        <v>1</v>
      </c>
      <c r="O493">
        <v>0</v>
      </c>
    </row>
    <row r="494" spans="1:15" x14ac:dyDescent="0.2">
      <c r="A494" s="1" t="str">
        <f>HYPERLINK("http://www.twitter.com/banuakdenizli/status/1580182740548272131", "1580182740548272131")</f>
        <v>1580182740548272131</v>
      </c>
      <c r="B494" t="s">
        <v>15</v>
      </c>
      <c r="C494" s="2">
        <v>44846.545115740737</v>
      </c>
      <c r="D494">
        <v>0</v>
      </c>
      <c r="E494">
        <v>60</v>
      </c>
      <c r="F494" t="s">
        <v>23</v>
      </c>
      <c r="G494" t="s">
        <v>538</v>
      </c>
      <c r="H494" t="str">
        <f>HYPERLINK("http://pbs.twimg.com/media/Fe2xI7KXEAIi0Vq.jpg", "http://pbs.twimg.com/media/Fe2xI7KXEAIi0Vq.jpg")</f>
        <v>http://pbs.twimg.com/media/Fe2xI7KXEAIi0Vq.jpg</v>
      </c>
      <c r="I494" t="str">
        <f>HYPERLINK("http://pbs.twimg.com/media/Fe2xI7RX0AIuj7U.jpg", "http://pbs.twimg.com/media/Fe2xI7RX0AIuj7U.jpg")</f>
        <v>http://pbs.twimg.com/media/Fe2xI7RX0AIuj7U.jpg</v>
      </c>
      <c r="J494" t="str">
        <f>HYPERLINK("http://pbs.twimg.com/media/Fe2xI7KWQAArHbb.jpg", "http://pbs.twimg.com/media/Fe2xI7KWQAArHbb.jpg")</f>
        <v>http://pbs.twimg.com/media/Fe2xI7KWQAArHbb.jpg</v>
      </c>
      <c r="K494" t="str">
        <f>HYPERLINK("http://pbs.twimg.com/media/Fe2xI7KXEAExKwy.jpg", "http://pbs.twimg.com/media/Fe2xI7KXEAExKwy.jpg")</f>
        <v>http://pbs.twimg.com/media/Fe2xI7KXEAExKwy.jpg</v>
      </c>
      <c r="L494">
        <v>0</v>
      </c>
      <c r="M494">
        <v>0</v>
      </c>
      <c r="N494">
        <v>1</v>
      </c>
      <c r="O494">
        <v>0</v>
      </c>
    </row>
    <row r="495" spans="1:15" x14ac:dyDescent="0.2">
      <c r="A495" s="1" t="str">
        <f>HYPERLINK("http://www.twitter.com/banuakdenizli/status/1580182727844069376", "1580182727844069376")</f>
        <v>1580182727844069376</v>
      </c>
      <c r="B495" t="s">
        <v>15</v>
      </c>
      <c r="C495" s="2">
        <v>44846.545081018521</v>
      </c>
      <c r="D495">
        <v>0</v>
      </c>
      <c r="E495">
        <v>63</v>
      </c>
      <c r="F495" t="s">
        <v>23</v>
      </c>
      <c r="G495" t="s">
        <v>539</v>
      </c>
      <c r="H495" t="str">
        <f>HYPERLINK("http://pbs.twimg.com/media/Fe27HFwWIAUTUU4.jpg", "http://pbs.twimg.com/media/Fe27HFwWIAUTUU4.jpg")</f>
        <v>http://pbs.twimg.com/media/Fe27HFwWIAUTUU4.jpg</v>
      </c>
      <c r="L495">
        <v>0</v>
      </c>
      <c r="M495">
        <v>0</v>
      </c>
      <c r="N495">
        <v>1</v>
      </c>
      <c r="O495">
        <v>0</v>
      </c>
    </row>
    <row r="496" spans="1:15" x14ac:dyDescent="0.2">
      <c r="A496" s="1" t="str">
        <f>HYPERLINK("http://www.twitter.com/banuakdenizli/status/1580182709250707458", "1580182709250707458")</f>
        <v>1580182709250707458</v>
      </c>
      <c r="B496" t="s">
        <v>15</v>
      </c>
      <c r="C496" s="2">
        <v>44846.545023148137</v>
      </c>
      <c r="D496">
        <v>0</v>
      </c>
      <c r="E496">
        <v>6</v>
      </c>
      <c r="F496" t="s">
        <v>16</v>
      </c>
      <c r="G496" t="s">
        <v>540</v>
      </c>
      <c r="H496" t="str">
        <f>HYPERLINK("http://pbs.twimg.com/media/Fe29_6NWQAErqcZ.jpg", "http://pbs.twimg.com/media/Fe29_6NWQAErqcZ.jpg")</f>
        <v>http://pbs.twimg.com/media/Fe29_6NWQAErqcZ.jpg</v>
      </c>
      <c r="I496" t="str">
        <f>HYPERLINK("http://pbs.twimg.com/media/Fe2-BSmWIAcFhts.jpg", "http://pbs.twimg.com/media/Fe2-BSmWIAcFhts.jpg")</f>
        <v>http://pbs.twimg.com/media/Fe2-BSmWIAcFhts.jpg</v>
      </c>
      <c r="L496">
        <v>0</v>
      </c>
      <c r="M496">
        <v>0</v>
      </c>
      <c r="N496">
        <v>1</v>
      </c>
      <c r="O496">
        <v>0</v>
      </c>
    </row>
    <row r="497" spans="1:15" x14ac:dyDescent="0.2">
      <c r="A497" s="1" t="str">
        <f>HYPERLINK("http://www.twitter.com/banuakdenizli/status/1580182657883049985", "1580182657883049985")</f>
        <v>1580182657883049985</v>
      </c>
      <c r="B497" t="s">
        <v>15</v>
      </c>
      <c r="C497" s="2">
        <v>44846.54488425926</v>
      </c>
      <c r="D497">
        <v>0</v>
      </c>
      <c r="E497">
        <v>21</v>
      </c>
      <c r="F497" t="s">
        <v>23</v>
      </c>
      <c r="G497" t="s">
        <v>541</v>
      </c>
      <c r="L497">
        <v>0</v>
      </c>
      <c r="M497">
        <v>0</v>
      </c>
      <c r="N497">
        <v>1</v>
      </c>
      <c r="O497">
        <v>0</v>
      </c>
    </row>
    <row r="498" spans="1:15" x14ac:dyDescent="0.2">
      <c r="A498" s="1" t="str">
        <f>HYPERLINK("http://www.twitter.com/banuakdenizli/status/1580180627345014784", "1580180627345014784")</f>
        <v>1580180627345014784</v>
      </c>
      <c r="B498" t="s">
        <v>15</v>
      </c>
      <c r="C498" s="2">
        <v>44846.539282407408</v>
      </c>
      <c r="D498">
        <v>0</v>
      </c>
      <c r="E498">
        <v>5</v>
      </c>
      <c r="F498" t="s">
        <v>18</v>
      </c>
      <c r="G498" t="s">
        <v>542</v>
      </c>
      <c r="H498" t="str">
        <f>HYPERLINK("http://pbs.twimg.com/media/FeysYKAXkAAx86g.jpg", "http://pbs.twimg.com/media/FeysYKAXkAAx86g.jpg")</f>
        <v>http://pbs.twimg.com/media/FeysYKAXkAAx86g.jpg</v>
      </c>
      <c r="L498">
        <v>0.40189999999999998</v>
      </c>
      <c r="M498">
        <v>0</v>
      </c>
      <c r="N498">
        <v>0.90900000000000003</v>
      </c>
      <c r="O498">
        <v>9.0999999999999998E-2</v>
      </c>
    </row>
    <row r="499" spans="1:15" x14ac:dyDescent="0.2">
      <c r="A499" s="1" t="str">
        <f>HYPERLINK("http://www.twitter.com/banuakdenizli/status/1580180599339618304", "1580180599339618304")</f>
        <v>1580180599339618304</v>
      </c>
      <c r="B499" t="s">
        <v>15</v>
      </c>
      <c r="C499" s="2">
        <v>44846.539201388892</v>
      </c>
      <c r="D499">
        <v>0</v>
      </c>
      <c r="E499">
        <v>85</v>
      </c>
      <c r="F499" t="s">
        <v>23</v>
      </c>
      <c r="G499" t="s">
        <v>543</v>
      </c>
      <c r="H499" t="str">
        <f>HYPERLINK("http://pbs.twimg.com/media/FeywLcHXkAUCps_.jpg", "http://pbs.twimg.com/media/FeywLcHXkAUCps_.jpg")</f>
        <v>http://pbs.twimg.com/media/FeywLcHXkAUCps_.jpg</v>
      </c>
      <c r="I499" t="str">
        <f>HYPERLINK("http://pbs.twimg.com/media/FeywLcQXgAA1kkT.jpg", "http://pbs.twimg.com/media/FeywLcQXgAA1kkT.jpg")</f>
        <v>http://pbs.twimg.com/media/FeywLcQXgAA1kkT.jpg</v>
      </c>
      <c r="L499">
        <v>0</v>
      </c>
      <c r="M499">
        <v>0</v>
      </c>
      <c r="N499">
        <v>1</v>
      </c>
      <c r="O499">
        <v>0</v>
      </c>
    </row>
    <row r="500" spans="1:15" x14ac:dyDescent="0.2">
      <c r="A500" s="1" t="str">
        <f>HYPERLINK("http://www.twitter.com/banuakdenizli/status/1578400820894351360", "1578400820894351360")</f>
        <v>1578400820894351360</v>
      </c>
      <c r="B500" t="s">
        <v>15</v>
      </c>
      <c r="C500" s="2">
        <v>44841.627951388888</v>
      </c>
      <c r="D500">
        <v>0</v>
      </c>
      <c r="E500">
        <v>13</v>
      </c>
      <c r="F500" t="s">
        <v>24</v>
      </c>
      <c r="G500" t="s">
        <v>544</v>
      </c>
      <c r="H500" t="str">
        <f>HYPERLINK("https://video.twimg.com/ext_tw_video/1578053919489642500/pu/vid/1280x720/REAN2Bm6Uhla3Ryp.mp4?tag=12", "https://video.twimg.com/ext_tw_video/1578053919489642500/pu/vid/1280x720/REAN2Bm6Uhla3Ryp.mp4?tag=12")</f>
        <v>https://video.twimg.com/ext_tw_video/1578053919489642500/pu/vid/1280x720/REAN2Bm6Uhla3Ryp.mp4?tag=12</v>
      </c>
      <c r="L500">
        <v>0</v>
      </c>
      <c r="M500">
        <v>0</v>
      </c>
      <c r="N500">
        <v>1</v>
      </c>
      <c r="O500">
        <v>0</v>
      </c>
    </row>
    <row r="501" spans="1:15" x14ac:dyDescent="0.2">
      <c r="A501" s="1" t="str">
        <f>HYPERLINK("http://www.twitter.com/banuakdenizli/status/1578400812480487431", "1578400812480487431")</f>
        <v>1578400812480487431</v>
      </c>
      <c r="B501" t="s">
        <v>15</v>
      </c>
      <c r="C501" s="2">
        <v>44841.627928240741</v>
      </c>
      <c r="D501">
        <v>0</v>
      </c>
      <c r="E501">
        <v>12</v>
      </c>
      <c r="F501" t="s">
        <v>201</v>
      </c>
      <c r="G501" t="s">
        <v>545</v>
      </c>
      <c r="H501" t="str">
        <f>HYPERLINK("http://pbs.twimg.com/media/Fea3rZ1XEAAHZIq.jpg", "http://pbs.twimg.com/media/Fea3rZ1XEAAHZIq.jpg")</f>
        <v>http://pbs.twimg.com/media/Fea3rZ1XEAAHZIq.jpg</v>
      </c>
      <c r="L501">
        <v>0.5423</v>
      </c>
      <c r="M501">
        <v>6.5000000000000002E-2</v>
      </c>
      <c r="N501">
        <v>0.78900000000000003</v>
      </c>
      <c r="O501">
        <v>0.14599999999999999</v>
      </c>
    </row>
    <row r="502" spans="1:15" x14ac:dyDescent="0.2">
      <c r="A502" s="1" t="str">
        <f>HYPERLINK("http://www.twitter.com/banuakdenizli/status/1578400803831877632", "1578400803831877632")</f>
        <v>1578400803831877632</v>
      </c>
      <c r="B502" t="s">
        <v>15</v>
      </c>
      <c r="C502" s="2">
        <v>44841.627905092602</v>
      </c>
      <c r="D502">
        <v>0</v>
      </c>
      <c r="E502">
        <v>25</v>
      </c>
      <c r="F502" t="s">
        <v>303</v>
      </c>
      <c r="G502" t="s">
        <v>546</v>
      </c>
      <c r="H502" t="str">
        <f>HYPERLINK("http://pbs.twimg.com/media/FeZo13LXoAEJWBk.jpg", "http://pbs.twimg.com/media/FeZo13LXoAEJWBk.jpg")</f>
        <v>http://pbs.twimg.com/media/FeZo13LXoAEJWBk.jpg</v>
      </c>
      <c r="L502">
        <v>0</v>
      </c>
      <c r="M502">
        <v>0</v>
      </c>
      <c r="N502">
        <v>1</v>
      </c>
      <c r="O502">
        <v>0</v>
      </c>
    </row>
    <row r="503" spans="1:15" x14ac:dyDescent="0.2">
      <c r="A503" s="1" t="str">
        <f>HYPERLINK("http://www.twitter.com/banuakdenizli/status/1578400751671513089", "1578400751671513089")</f>
        <v>1578400751671513089</v>
      </c>
      <c r="B503" t="s">
        <v>15</v>
      </c>
      <c r="C503" s="2">
        <v>44841.627766203703</v>
      </c>
      <c r="D503">
        <v>0</v>
      </c>
      <c r="E503">
        <v>6</v>
      </c>
      <c r="F503" t="s">
        <v>234</v>
      </c>
      <c r="G503" t="s">
        <v>547</v>
      </c>
      <c r="H503" t="str">
        <f>HYPERLINK("http://pbs.twimg.com/media/FeeT0DVWAAAmaX1.jpg", "http://pbs.twimg.com/media/FeeT0DVWAAAmaX1.jpg")</f>
        <v>http://pbs.twimg.com/media/FeeT0DVWAAAmaX1.jpg</v>
      </c>
      <c r="I503" t="str">
        <f>HYPERLINK("http://pbs.twimg.com/media/FeeT0D-XkAAA4rg.jpg", "http://pbs.twimg.com/media/FeeT0D-XkAAA4rg.jpg")</f>
        <v>http://pbs.twimg.com/media/FeeT0D-XkAAA4rg.jpg</v>
      </c>
      <c r="L503">
        <v>0</v>
      </c>
      <c r="M503">
        <v>0</v>
      </c>
      <c r="N503">
        <v>1</v>
      </c>
      <c r="O503">
        <v>0</v>
      </c>
    </row>
    <row r="504" spans="1:15" x14ac:dyDescent="0.2">
      <c r="A504" s="1" t="str">
        <f>HYPERLINK("http://www.twitter.com/banuakdenizli/status/1578089734458441753", "1578089734458441753")</f>
        <v>1578089734458441753</v>
      </c>
      <c r="B504" t="s">
        <v>15</v>
      </c>
      <c r="C504" s="2">
        <v>44840.769513888888</v>
      </c>
      <c r="D504">
        <v>0</v>
      </c>
      <c r="E504">
        <v>11</v>
      </c>
      <c r="F504" t="s">
        <v>18</v>
      </c>
      <c r="G504" t="s">
        <v>548</v>
      </c>
      <c r="H504" t="str">
        <f>HYPERLINK("http://pbs.twimg.com/media/FeYpjn2WAAAU32-.jpg", "http://pbs.twimg.com/media/FeYpjn2WAAAU32-.jpg")</f>
        <v>http://pbs.twimg.com/media/FeYpjn2WAAAU32-.jpg</v>
      </c>
      <c r="I504" t="str">
        <f>HYPERLINK("http://pbs.twimg.com/media/FeYpjn0XkAcGffu.jpg", "http://pbs.twimg.com/media/FeYpjn0XkAcGffu.jpg")</f>
        <v>http://pbs.twimg.com/media/FeYpjn0XkAcGffu.jpg</v>
      </c>
      <c r="J504" t="str">
        <f>HYPERLINK("http://pbs.twimg.com/media/FeYpjp2XEAA9Bqa.jpg", "http://pbs.twimg.com/media/FeYpjp2XEAA9Bqa.jpg")</f>
        <v>http://pbs.twimg.com/media/FeYpjp2XEAA9Bqa.jpg</v>
      </c>
      <c r="L504">
        <v>0</v>
      </c>
      <c r="M504">
        <v>0</v>
      </c>
      <c r="N504">
        <v>1</v>
      </c>
      <c r="O504">
        <v>0</v>
      </c>
    </row>
    <row r="505" spans="1:15" x14ac:dyDescent="0.2">
      <c r="A505" s="1" t="str">
        <f>HYPERLINK("http://www.twitter.com/banuakdenizli/status/1578089708495699983", "1578089708495699983")</f>
        <v>1578089708495699983</v>
      </c>
      <c r="B505" t="s">
        <v>15</v>
      </c>
      <c r="C505" s="2">
        <v>44840.769444444442</v>
      </c>
      <c r="D505">
        <v>0</v>
      </c>
      <c r="E505">
        <v>16</v>
      </c>
      <c r="F505" t="s">
        <v>16</v>
      </c>
      <c r="G505" t="s">
        <v>549</v>
      </c>
      <c r="H505" t="str">
        <f>HYPERLINK("http://pbs.twimg.com/media/FeYX5sBWIAArNoo.jpg", "http://pbs.twimg.com/media/FeYX5sBWIAArNoo.jpg")</f>
        <v>http://pbs.twimg.com/media/FeYX5sBWIAArNoo.jpg</v>
      </c>
      <c r="I505" t="str">
        <f>HYPERLINK("http://pbs.twimg.com/media/FeYX5r9XgAAYnAv.jpg", "http://pbs.twimg.com/media/FeYX5r9XgAAYnAv.jpg")</f>
        <v>http://pbs.twimg.com/media/FeYX5r9XgAAYnAv.jpg</v>
      </c>
      <c r="J505" t="str">
        <f>HYPERLINK("http://pbs.twimg.com/media/FeYX5sBWYAMrR4I.jpg", "http://pbs.twimg.com/media/FeYX5sBWYAMrR4I.jpg")</f>
        <v>http://pbs.twimg.com/media/FeYX5sBWYAMrR4I.jpg</v>
      </c>
      <c r="L505">
        <v>0</v>
      </c>
      <c r="M505">
        <v>0</v>
      </c>
      <c r="N505">
        <v>1</v>
      </c>
      <c r="O505">
        <v>0</v>
      </c>
    </row>
    <row r="506" spans="1:15" x14ac:dyDescent="0.2">
      <c r="A506" s="1" t="str">
        <f>HYPERLINK("http://www.twitter.com/banuakdenizli/status/1578089684386840581", "1578089684386840581")</f>
        <v>1578089684386840581</v>
      </c>
      <c r="B506" t="s">
        <v>15</v>
      </c>
      <c r="C506" s="2">
        <v>44840.769375000003</v>
      </c>
      <c r="D506">
        <v>0</v>
      </c>
      <c r="E506">
        <v>7</v>
      </c>
      <c r="F506" t="s">
        <v>17</v>
      </c>
      <c r="G506" t="s">
        <v>550</v>
      </c>
      <c r="H506" t="str">
        <f>HYPERLINK("https://video.twimg.com/ext_tw_video/1577751130473480193/pu/vid/1280x676/iVntOZzZr3mVmUy4.mp4?tag=12", "https://video.twimg.com/ext_tw_video/1577751130473480193/pu/vid/1280x676/iVntOZzZr3mVmUy4.mp4?tag=12")</f>
        <v>https://video.twimg.com/ext_tw_video/1577751130473480193/pu/vid/1280x676/iVntOZzZr3mVmUy4.mp4?tag=12</v>
      </c>
      <c r="L506">
        <v>0</v>
      </c>
      <c r="M506">
        <v>0</v>
      </c>
      <c r="N506">
        <v>1</v>
      </c>
      <c r="O506">
        <v>0</v>
      </c>
    </row>
    <row r="507" spans="1:15" x14ac:dyDescent="0.2">
      <c r="A507" s="1" t="str">
        <f>HYPERLINK("http://www.twitter.com/banuakdenizli/status/1578089674270179339", "1578089674270179339")</f>
        <v>1578089674270179339</v>
      </c>
      <c r="B507" t="s">
        <v>15</v>
      </c>
      <c r="C507" s="2">
        <v>44840.76935185185</v>
      </c>
      <c r="D507">
        <v>0</v>
      </c>
      <c r="E507">
        <v>589</v>
      </c>
      <c r="F507" t="s">
        <v>22</v>
      </c>
      <c r="G507" t="s">
        <v>551</v>
      </c>
      <c r="H507" t="str">
        <f>HYPERLINK("http://pbs.twimg.com/media/FeVCDs2X0AA_p9V.jpg", "http://pbs.twimg.com/media/FeVCDs2X0AA_p9V.jpg")</f>
        <v>http://pbs.twimg.com/media/FeVCDs2X0AA_p9V.jpg</v>
      </c>
      <c r="I507" t="str">
        <f>HYPERLINK("http://pbs.twimg.com/media/FeVCDs4XwBMavlQ.jpg", "http://pbs.twimg.com/media/FeVCDs4XwBMavlQ.jpg")</f>
        <v>http://pbs.twimg.com/media/FeVCDs4XwBMavlQ.jpg</v>
      </c>
      <c r="L507">
        <v>0</v>
      </c>
      <c r="M507">
        <v>0</v>
      </c>
      <c r="N507">
        <v>1</v>
      </c>
      <c r="O507">
        <v>0</v>
      </c>
    </row>
    <row r="508" spans="1:15" x14ac:dyDescent="0.2">
      <c r="A508" s="1" t="str">
        <f>HYPERLINK("http://www.twitter.com/banuakdenizli/status/1578008962766581760", "1578008962766581760")</f>
        <v>1578008962766581760</v>
      </c>
      <c r="B508" t="s">
        <v>15</v>
      </c>
      <c r="C508" s="2">
        <v>44840.546631944453</v>
      </c>
      <c r="D508">
        <v>0</v>
      </c>
      <c r="E508">
        <v>45</v>
      </c>
      <c r="F508" t="s">
        <v>23</v>
      </c>
      <c r="G508" t="s">
        <v>552</v>
      </c>
      <c r="H508" t="str">
        <f>HYPERLINK("http://pbs.twimg.com/media/FeUOVdoWIAQ5XX8.jpg", "http://pbs.twimg.com/media/FeUOVdoWIAQ5XX8.jpg")</f>
        <v>http://pbs.twimg.com/media/FeUOVdoWIAQ5XX8.jpg</v>
      </c>
      <c r="I508" t="str">
        <f>HYPERLINK("http://pbs.twimg.com/media/FeUOVdkWIAMdMdL.jpg", "http://pbs.twimg.com/media/FeUOVdkWIAMdMdL.jpg")</f>
        <v>http://pbs.twimg.com/media/FeUOVdkWIAMdMdL.jpg</v>
      </c>
      <c r="L508">
        <v>0</v>
      </c>
      <c r="M508">
        <v>0</v>
      </c>
      <c r="N508">
        <v>1</v>
      </c>
      <c r="O508">
        <v>0</v>
      </c>
    </row>
    <row r="509" spans="1:15" x14ac:dyDescent="0.2">
      <c r="A509" s="1" t="str">
        <f>HYPERLINK("http://www.twitter.com/banuakdenizli/status/1577726502032085006", "1577726502032085006")</f>
        <v>1577726502032085006</v>
      </c>
      <c r="B509" t="s">
        <v>15</v>
      </c>
      <c r="C509" s="2">
        <v>44839.767187500001</v>
      </c>
      <c r="D509">
        <v>0</v>
      </c>
      <c r="E509">
        <v>12</v>
      </c>
      <c r="F509" t="s">
        <v>234</v>
      </c>
      <c r="G509" t="s">
        <v>553</v>
      </c>
      <c r="H509" t="str">
        <f>HYPERLINK("http://pbs.twimg.com/media/FeTMDB4XgAIgKmv.jpg", "http://pbs.twimg.com/media/FeTMDB4XgAIgKmv.jpg")</f>
        <v>http://pbs.twimg.com/media/FeTMDB4XgAIgKmv.jpg</v>
      </c>
      <c r="L509">
        <v>0</v>
      </c>
      <c r="M509">
        <v>0</v>
      </c>
      <c r="N509">
        <v>1</v>
      </c>
      <c r="O509">
        <v>0</v>
      </c>
    </row>
    <row r="510" spans="1:15" x14ac:dyDescent="0.2">
      <c r="A510" s="1" t="str">
        <f>HYPERLINK("http://www.twitter.com/banuakdenizli/status/1577726469995991046", "1577726469995991046")</f>
        <v>1577726469995991046</v>
      </c>
      <c r="B510" t="s">
        <v>15</v>
      </c>
      <c r="C510" s="2">
        <v>44839.767094907409</v>
      </c>
      <c r="D510">
        <v>0</v>
      </c>
      <c r="E510">
        <v>49</v>
      </c>
      <c r="F510" t="s">
        <v>303</v>
      </c>
      <c r="G510" t="s">
        <v>554</v>
      </c>
      <c r="H510" t="str">
        <f>HYPERLINK("https://video.twimg.com/amplify_video/1577425042132049927/vid/720x720/G49mmcMCZx3Ge4kr.mp4?tag=14", "https://video.twimg.com/amplify_video/1577425042132049927/vid/720x720/G49mmcMCZx3Ge4kr.mp4?tag=14")</f>
        <v>https://video.twimg.com/amplify_video/1577425042132049927/vid/720x720/G49mmcMCZx3Ge4kr.mp4?tag=14</v>
      </c>
      <c r="L510">
        <v>0</v>
      </c>
      <c r="M510">
        <v>0</v>
      </c>
      <c r="N510">
        <v>1</v>
      </c>
      <c r="O510">
        <v>0</v>
      </c>
    </row>
    <row r="511" spans="1:15" x14ac:dyDescent="0.2">
      <c r="A511" s="1" t="str">
        <f>HYPERLINK("http://www.twitter.com/banuakdenizli/status/1577726435816574976", "1577726435816574976")</f>
        <v>1577726435816574976</v>
      </c>
      <c r="B511" t="s">
        <v>15</v>
      </c>
      <c r="C511" s="2">
        <v>44839.767002314817</v>
      </c>
      <c r="D511">
        <v>0</v>
      </c>
      <c r="E511">
        <v>88</v>
      </c>
      <c r="F511" t="s">
        <v>147</v>
      </c>
      <c r="G511" t="s">
        <v>555</v>
      </c>
      <c r="H511" t="str">
        <f>HYPERLINK("http://pbs.twimg.com/media/FeSfXZIXEAAqIY3.jpg", "http://pbs.twimg.com/media/FeSfXZIXEAAqIY3.jpg")</f>
        <v>http://pbs.twimg.com/media/FeSfXZIXEAAqIY3.jpg</v>
      </c>
      <c r="I511" t="str">
        <f>HYPERLINK("http://pbs.twimg.com/media/FeSfXZHWIAYitSq.jpg", "http://pbs.twimg.com/media/FeSfXZHWIAYitSq.jpg")</f>
        <v>http://pbs.twimg.com/media/FeSfXZHWIAYitSq.jpg</v>
      </c>
      <c r="J511" t="str">
        <f>HYPERLINK("http://pbs.twimg.com/media/FeSfXd2WIAEQNMb.jpg", "http://pbs.twimg.com/media/FeSfXd2WIAEQNMb.jpg")</f>
        <v>http://pbs.twimg.com/media/FeSfXd2WIAEQNMb.jpg</v>
      </c>
      <c r="K511" t="str">
        <f>HYPERLINK("http://pbs.twimg.com/media/FeSfXZGWIAM9a_K.jpg", "http://pbs.twimg.com/media/FeSfXZGWIAM9a_K.jpg")</f>
        <v>http://pbs.twimg.com/media/FeSfXZGWIAM9a_K.jpg</v>
      </c>
      <c r="L511">
        <v>0</v>
      </c>
      <c r="M511">
        <v>0</v>
      </c>
      <c r="N511">
        <v>1</v>
      </c>
      <c r="O511">
        <v>0</v>
      </c>
    </row>
    <row r="512" spans="1:15" x14ac:dyDescent="0.2">
      <c r="A512" s="1" t="str">
        <f>HYPERLINK("http://www.twitter.com/banuakdenizli/status/1577726424546426880", "1577726424546426880")</f>
        <v>1577726424546426880</v>
      </c>
      <c r="B512" t="s">
        <v>15</v>
      </c>
      <c r="C512" s="2">
        <v>44839.766979166663</v>
      </c>
      <c r="D512">
        <v>0</v>
      </c>
      <c r="E512">
        <v>13</v>
      </c>
      <c r="F512" t="s">
        <v>18</v>
      </c>
      <c r="G512" t="s">
        <v>556</v>
      </c>
      <c r="H512" t="str">
        <f>HYPERLINK("http://pbs.twimg.com/media/FeUQ6Q5XoAgwlbj.jpg", "http://pbs.twimg.com/media/FeUQ6Q5XoAgwlbj.jpg")</f>
        <v>http://pbs.twimg.com/media/FeUQ6Q5XoAgwlbj.jpg</v>
      </c>
      <c r="L512">
        <v>0.38179999999999997</v>
      </c>
      <c r="M512">
        <v>0</v>
      </c>
      <c r="N512">
        <v>0.84299999999999997</v>
      </c>
      <c r="O512">
        <v>0.157</v>
      </c>
    </row>
    <row r="513" spans="1:15" x14ac:dyDescent="0.2">
      <c r="A513" s="1" t="str">
        <f>HYPERLINK("http://www.twitter.com/banuakdenizli/status/1577708857727635456", "1577708857727635456")</f>
        <v>1577708857727635456</v>
      </c>
      <c r="B513" t="s">
        <v>15</v>
      </c>
      <c r="C513" s="2">
        <v>44839.718495370369</v>
      </c>
      <c r="D513">
        <v>0</v>
      </c>
      <c r="E513">
        <v>16</v>
      </c>
      <c r="F513" t="s">
        <v>234</v>
      </c>
      <c r="G513" t="s">
        <v>557</v>
      </c>
      <c r="H513" t="str">
        <f>HYPERLINK("http://pbs.twimg.com/media/FeTUlc2XoAUsrjn.jpg", "http://pbs.twimg.com/media/FeTUlc2XoAUsrjn.jpg")</f>
        <v>http://pbs.twimg.com/media/FeTUlc2XoAUsrjn.jpg</v>
      </c>
      <c r="I513" t="str">
        <f>HYPERLINK("http://pbs.twimg.com/media/FeTUldfWAAAOY0g.jpg", "http://pbs.twimg.com/media/FeTUldfWAAAOY0g.jpg")</f>
        <v>http://pbs.twimg.com/media/FeTUldfWAAAOY0g.jpg</v>
      </c>
      <c r="J513" t="str">
        <f>HYPERLINK("http://pbs.twimg.com/media/FeTUldDWYAEJYfs.jpg", "http://pbs.twimg.com/media/FeTUldDWYAEJYfs.jpg")</f>
        <v>http://pbs.twimg.com/media/FeTUldDWYAEJYfs.jpg</v>
      </c>
      <c r="K513" t="str">
        <f>HYPERLINK("http://pbs.twimg.com/media/FeTUld3XoAAbxz1.jpg", "http://pbs.twimg.com/media/FeTUld3XoAAbxz1.jpg")</f>
        <v>http://pbs.twimg.com/media/FeTUld3XoAAbxz1.jpg</v>
      </c>
      <c r="L513">
        <v>0</v>
      </c>
      <c r="M513">
        <v>0</v>
      </c>
      <c r="N513">
        <v>1</v>
      </c>
      <c r="O513">
        <v>0</v>
      </c>
    </row>
    <row r="514" spans="1:15" x14ac:dyDescent="0.2">
      <c r="A514" s="1" t="str">
        <f>HYPERLINK("http://www.twitter.com/banuakdenizli/status/1577708836839952386", "1577708836839952386")</f>
        <v>1577708836839952386</v>
      </c>
      <c r="B514" t="s">
        <v>15</v>
      </c>
      <c r="C514" s="2">
        <v>44839.7184375</v>
      </c>
      <c r="D514">
        <v>0</v>
      </c>
      <c r="E514">
        <v>4</v>
      </c>
      <c r="F514" t="s">
        <v>16</v>
      </c>
      <c r="G514" t="s">
        <v>558</v>
      </c>
      <c r="H514" t="str">
        <f>HYPERLINK("http://pbs.twimg.com/media/FeUBSIDX0AENng2.jpg", "http://pbs.twimg.com/media/FeUBSIDX0AENng2.jpg")</f>
        <v>http://pbs.twimg.com/media/FeUBSIDX0AENng2.jpg</v>
      </c>
      <c r="L514">
        <v>0</v>
      </c>
      <c r="M514">
        <v>0</v>
      </c>
      <c r="N514">
        <v>1</v>
      </c>
      <c r="O514">
        <v>0</v>
      </c>
    </row>
    <row r="515" spans="1:15" x14ac:dyDescent="0.2">
      <c r="A515" s="1" t="str">
        <f>HYPERLINK("http://www.twitter.com/banuakdenizli/status/1577708827050328064", "1577708827050328064")</f>
        <v>1577708827050328064</v>
      </c>
      <c r="B515" t="s">
        <v>15</v>
      </c>
      <c r="C515" s="2">
        <v>44839.718414351853</v>
      </c>
      <c r="D515">
        <v>0</v>
      </c>
      <c r="E515">
        <v>55</v>
      </c>
      <c r="F515" t="s">
        <v>23</v>
      </c>
      <c r="G515" t="s">
        <v>559</v>
      </c>
      <c r="H515" t="str">
        <f>HYPERLINK("http://pbs.twimg.com/media/FeT6MqRWAAAzCVo.jpg", "http://pbs.twimg.com/media/FeT6MqRWAAAzCVo.jpg")</f>
        <v>http://pbs.twimg.com/media/FeT6MqRWAAAzCVo.jpg</v>
      </c>
      <c r="I515" t="str">
        <f>HYPERLINK("http://pbs.twimg.com/media/FeT6MqSWIAA3SCM.jpg", "http://pbs.twimg.com/media/FeT6MqSWIAA3SCM.jpg")</f>
        <v>http://pbs.twimg.com/media/FeT6MqSWIAA3SCM.jpg</v>
      </c>
      <c r="L515">
        <v>0</v>
      </c>
      <c r="M515">
        <v>0</v>
      </c>
      <c r="N515">
        <v>1</v>
      </c>
      <c r="O515">
        <v>0</v>
      </c>
    </row>
    <row r="516" spans="1:15" x14ac:dyDescent="0.2">
      <c r="A516" s="1" t="str">
        <f>HYPERLINK("http://www.twitter.com/banuakdenizli/status/1577647199613329409", "1577647199613329409")</f>
        <v>1577647199613329409</v>
      </c>
      <c r="B516" t="s">
        <v>15</v>
      </c>
      <c r="C516" s="2">
        <v>44839.548356481479</v>
      </c>
      <c r="D516">
        <v>0</v>
      </c>
      <c r="E516">
        <v>41</v>
      </c>
      <c r="F516" t="s">
        <v>23</v>
      </c>
      <c r="G516" t="s">
        <v>560</v>
      </c>
      <c r="H516" t="str">
        <f>HYPERLINK("http://pbs.twimg.com/media/FeTspC8WQAAZxJn.jpg", "http://pbs.twimg.com/media/FeTspC8WQAAZxJn.jpg")</f>
        <v>http://pbs.twimg.com/media/FeTspC8WQAAZxJn.jpg</v>
      </c>
      <c r="I516" t="str">
        <f>HYPERLINK("http://pbs.twimg.com/media/FeTspC6XEAEctpm.jpg", "http://pbs.twimg.com/media/FeTspC6XEAEctpm.jpg")</f>
        <v>http://pbs.twimg.com/media/FeTspC6XEAEctpm.jpg</v>
      </c>
      <c r="J516" t="str">
        <f>HYPERLINK("http://pbs.twimg.com/media/FeTspC9WIAIm02j.jpg", "http://pbs.twimg.com/media/FeTspC9WIAIm02j.jpg")</f>
        <v>http://pbs.twimg.com/media/FeTspC9WIAIm02j.jpg</v>
      </c>
      <c r="K516" t="str">
        <f>HYPERLINK("http://pbs.twimg.com/media/FeTspDEWIAAdbhC.jpg", "http://pbs.twimg.com/media/FeTspDEWIAAdbhC.jpg")</f>
        <v>http://pbs.twimg.com/media/FeTspDEWIAAdbhC.jpg</v>
      </c>
      <c r="L516">
        <v>0</v>
      </c>
      <c r="M516">
        <v>0</v>
      </c>
      <c r="N516">
        <v>1</v>
      </c>
      <c r="O516">
        <v>0</v>
      </c>
    </row>
    <row r="517" spans="1:15" x14ac:dyDescent="0.2">
      <c r="A517" s="1" t="str">
        <f>HYPERLINK("http://www.twitter.com/banuakdenizli/status/1577644742241812480", "1577644742241812480")</f>
        <v>1577644742241812480</v>
      </c>
      <c r="B517" t="s">
        <v>15</v>
      </c>
      <c r="C517" s="2">
        <v>44839.541574074072</v>
      </c>
      <c r="D517">
        <v>0</v>
      </c>
      <c r="E517">
        <v>203</v>
      </c>
      <c r="F517" t="s">
        <v>24</v>
      </c>
      <c r="G517" t="s">
        <v>561</v>
      </c>
      <c r="H517" t="str">
        <f>HYPERLINK("https://video.twimg.com/amplify_video/1577610954942054400/vid/1280x720/YVMSmj5GoCQm-tp6.mp4?tag=14", "https://video.twimg.com/amplify_video/1577610954942054400/vid/1280x720/YVMSmj5GoCQm-tp6.mp4?tag=14")</f>
        <v>https://video.twimg.com/amplify_video/1577610954942054400/vid/1280x720/YVMSmj5GoCQm-tp6.mp4?tag=14</v>
      </c>
      <c r="L517">
        <v>0</v>
      </c>
      <c r="M517">
        <v>0</v>
      </c>
      <c r="N517">
        <v>1</v>
      </c>
      <c r="O517">
        <v>0</v>
      </c>
    </row>
    <row r="518" spans="1:15" x14ac:dyDescent="0.2">
      <c r="A518" s="1" t="str">
        <f>HYPERLINK("http://www.twitter.com/banuakdenizli/status/1577643720861798401", "1577643720861798401")</f>
        <v>1577643720861798401</v>
      </c>
      <c r="B518" t="s">
        <v>15</v>
      </c>
      <c r="C518" s="2">
        <v>44839.53875</v>
      </c>
      <c r="D518">
        <v>0</v>
      </c>
      <c r="E518">
        <v>2</v>
      </c>
      <c r="F518" t="s">
        <v>17</v>
      </c>
      <c r="G518" t="s">
        <v>562</v>
      </c>
      <c r="H518" t="str">
        <f>HYPERLINK("http://pbs.twimg.com/media/FeK_IeCWAAYt8BM.jpg", "http://pbs.twimg.com/media/FeK_IeCWAAYt8BM.jpg")</f>
        <v>http://pbs.twimg.com/media/FeK_IeCWAAYt8BM.jpg</v>
      </c>
      <c r="L518">
        <v>0</v>
      </c>
      <c r="M518">
        <v>0</v>
      </c>
      <c r="N518">
        <v>1</v>
      </c>
      <c r="O518">
        <v>0</v>
      </c>
    </row>
    <row r="519" spans="1:15" x14ac:dyDescent="0.2">
      <c r="A519" s="1" t="str">
        <f>HYPERLINK("http://www.twitter.com/banuakdenizli/status/1577643701756739586", "1577643701756739586")</f>
        <v>1577643701756739586</v>
      </c>
      <c r="B519" t="s">
        <v>15</v>
      </c>
      <c r="C519" s="2">
        <v>44839.538703703707</v>
      </c>
      <c r="D519">
        <v>0</v>
      </c>
      <c r="E519">
        <v>23</v>
      </c>
      <c r="F519" t="s">
        <v>303</v>
      </c>
      <c r="G519" t="s">
        <v>563</v>
      </c>
      <c r="H519" t="str">
        <f>HYPERLINK("https://video.twimg.com/amplify_video/1577416980713406466/vid/720x1280/pwf8hT_xqSyVP4Vk.mp4?tag=14", "https://video.twimg.com/amplify_video/1577416980713406466/vid/720x1280/pwf8hT_xqSyVP4Vk.mp4?tag=14")</f>
        <v>https://video.twimg.com/amplify_video/1577416980713406466/vid/720x1280/pwf8hT_xqSyVP4Vk.mp4?tag=14</v>
      </c>
      <c r="L519">
        <v>0</v>
      </c>
      <c r="M519">
        <v>0</v>
      </c>
      <c r="N519">
        <v>1</v>
      </c>
      <c r="O519">
        <v>0</v>
      </c>
    </row>
    <row r="520" spans="1:15" x14ac:dyDescent="0.2">
      <c r="A520" s="1" t="str">
        <f>HYPERLINK("http://www.twitter.com/banuakdenizli/status/1577643661134897156", "1577643661134897156")</f>
        <v>1577643661134897156</v>
      </c>
      <c r="B520" t="s">
        <v>15</v>
      </c>
      <c r="C520" s="2">
        <v>44839.538587962961</v>
      </c>
      <c r="D520">
        <v>0</v>
      </c>
      <c r="E520">
        <v>5</v>
      </c>
      <c r="F520" t="s">
        <v>17</v>
      </c>
      <c r="G520" t="s">
        <v>564</v>
      </c>
      <c r="H520" t="str">
        <f>HYPERLINK("https://video.twimg.com/ext_tw_video/1577167217380278273/pu/vid/1280x676/tArx28eWZbDxppp1.mp4?tag=12", "https://video.twimg.com/ext_tw_video/1577167217380278273/pu/vid/1280x676/tArx28eWZbDxppp1.mp4?tag=12")</f>
        <v>https://video.twimg.com/ext_tw_video/1577167217380278273/pu/vid/1280x676/tArx28eWZbDxppp1.mp4?tag=12</v>
      </c>
      <c r="L520">
        <v>0</v>
      </c>
      <c r="M520">
        <v>0</v>
      </c>
      <c r="N520">
        <v>1</v>
      </c>
      <c r="O520">
        <v>0</v>
      </c>
    </row>
    <row r="521" spans="1:15" x14ac:dyDescent="0.2">
      <c r="A521" s="1" t="str">
        <f>HYPERLINK("http://www.twitter.com/banuakdenizli/status/1577643319575855104", "1577643319575855104")</f>
        <v>1577643319575855104</v>
      </c>
      <c r="B521" t="s">
        <v>15</v>
      </c>
      <c r="C521" s="2">
        <v>44839.53765046296</v>
      </c>
      <c r="D521">
        <v>0</v>
      </c>
      <c r="E521">
        <v>9</v>
      </c>
      <c r="F521" t="s">
        <v>18</v>
      </c>
      <c r="G521" t="s">
        <v>565</v>
      </c>
      <c r="H521" t="str">
        <f>HYPERLINK("http://pbs.twimg.com/media/FeKuLEYXkAE78ES.jpg", "http://pbs.twimg.com/media/FeKuLEYXkAE78ES.jpg")</f>
        <v>http://pbs.twimg.com/media/FeKuLEYXkAE78ES.jpg</v>
      </c>
      <c r="I521" t="str">
        <f>HYPERLINK("http://pbs.twimg.com/media/FeKuLEiWYAASIBq.jpg", "http://pbs.twimg.com/media/FeKuLEiWYAASIBq.jpg")</f>
        <v>http://pbs.twimg.com/media/FeKuLEiWYAASIBq.jpg</v>
      </c>
      <c r="J521" t="str">
        <f>HYPERLINK("http://pbs.twimg.com/media/FeKuLEPXkAAeeEe.jpg", "http://pbs.twimg.com/media/FeKuLEPXkAAeeEe.jpg")</f>
        <v>http://pbs.twimg.com/media/FeKuLEPXkAAeeEe.jpg</v>
      </c>
      <c r="K521" t="str">
        <f>HYPERLINK("http://pbs.twimg.com/media/FeKuLEaWACAxccv.jpg", "http://pbs.twimg.com/media/FeKuLEaWACAxccv.jpg")</f>
        <v>http://pbs.twimg.com/media/FeKuLEaWACAxccv.jpg</v>
      </c>
      <c r="L521">
        <v>0</v>
      </c>
      <c r="M521">
        <v>0</v>
      </c>
      <c r="N521">
        <v>1</v>
      </c>
      <c r="O521">
        <v>0</v>
      </c>
    </row>
    <row r="522" spans="1:15" x14ac:dyDescent="0.2">
      <c r="A522" s="1" t="str">
        <f>HYPERLINK("http://www.twitter.com/banuakdenizli/status/1577643313338908673", "1577643313338908673")</f>
        <v>1577643313338908673</v>
      </c>
      <c r="B522" t="s">
        <v>15</v>
      </c>
      <c r="C522" s="2">
        <v>44839.537627314807</v>
      </c>
      <c r="D522">
        <v>0</v>
      </c>
      <c r="E522">
        <v>10</v>
      </c>
      <c r="F522" t="s">
        <v>18</v>
      </c>
      <c r="G522" t="s">
        <v>566</v>
      </c>
      <c r="H522" t="str">
        <f>HYPERLINK("https://video.twimg.com/ext_tw_video/1577015657064955905/pu/vid/1280x720/yTnWjbTArNhqiNKc.mp4?tag=12", "https://video.twimg.com/ext_tw_video/1577015657064955905/pu/vid/1280x720/yTnWjbTArNhqiNKc.mp4?tag=12")</f>
        <v>https://video.twimg.com/ext_tw_video/1577015657064955905/pu/vid/1280x720/yTnWjbTArNhqiNKc.mp4?tag=12</v>
      </c>
      <c r="L522">
        <v>0</v>
      </c>
      <c r="M522">
        <v>0</v>
      </c>
      <c r="N522">
        <v>1</v>
      </c>
      <c r="O522">
        <v>0</v>
      </c>
    </row>
    <row r="523" spans="1:15" x14ac:dyDescent="0.2">
      <c r="A523" s="1" t="str">
        <f>HYPERLINK("http://www.twitter.com/banuakdenizli/status/1577643297287413761", "1577643297287413761")</f>
        <v>1577643297287413761</v>
      </c>
      <c r="B523" t="s">
        <v>15</v>
      </c>
      <c r="C523" s="2">
        <v>44839.537581018521</v>
      </c>
      <c r="D523">
        <v>0</v>
      </c>
      <c r="E523">
        <v>9</v>
      </c>
      <c r="F523" t="s">
        <v>18</v>
      </c>
      <c r="G523" t="s">
        <v>567</v>
      </c>
      <c r="H523" t="str">
        <f>HYPERLINK("http://pbs.twimg.com/media/FeKxpvlWABgJ4Ek.jpg", "http://pbs.twimg.com/media/FeKxpvlWABgJ4Ek.jpg")</f>
        <v>http://pbs.twimg.com/media/FeKxpvlWABgJ4Ek.jpg</v>
      </c>
      <c r="L523">
        <v>0.70030000000000003</v>
      </c>
      <c r="M523">
        <v>0</v>
      </c>
      <c r="N523">
        <v>0.69099999999999995</v>
      </c>
      <c r="O523">
        <v>0.309</v>
      </c>
    </row>
    <row r="524" spans="1:15" x14ac:dyDescent="0.2">
      <c r="A524" s="1" t="str">
        <f>HYPERLINK("http://www.twitter.com/banuakdenizli/status/1577643287237857280", "1577643287237857280")</f>
        <v>1577643287237857280</v>
      </c>
      <c r="B524" t="s">
        <v>15</v>
      </c>
      <c r="C524" s="2">
        <v>44839.537557870368</v>
      </c>
      <c r="D524">
        <v>0</v>
      </c>
      <c r="E524">
        <v>9</v>
      </c>
      <c r="F524" t="s">
        <v>18</v>
      </c>
      <c r="G524" t="s">
        <v>568</v>
      </c>
      <c r="H524" t="str">
        <f>HYPERLINK("http://pbs.twimg.com/media/FeNYTd_XwAA3gZU.jpg", "http://pbs.twimg.com/media/FeNYTd_XwAA3gZU.jpg")</f>
        <v>http://pbs.twimg.com/media/FeNYTd_XwAA3gZU.jpg</v>
      </c>
      <c r="L524">
        <v>0.59940000000000004</v>
      </c>
      <c r="M524">
        <v>0</v>
      </c>
      <c r="N524">
        <v>0.77600000000000002</v>
      </c>
      <c r="O524">
        <v>0.224</v>
      </c>
    </row>
    <row r="525" spans="1:15" x14ac:dyDescent="0.2">
      <c r="A525" s="1" t="str">
        <f>HYPERLINK("http://www.twitter.com/banuakdenizli/status/1577643263825149952", "1577643263825149952")</f>
        <v>1577643263825149952</v>
      </c>
      <c r="B525" t="s">
        <v>15</v>
      </c>
      <c r="C525" s="2">
        <v>44839.537488425929</v>
      </c>
      <c r="D525">
        <v>0</v>
      </c>
      <c r="E525">
        <v>9</v>
      </c>
      <c r="F525" t="s">
        <v>18</v>
      </c>
      <c r="G525" t="s">
        <v>569</v>
      </c>
      <c r="H525" t="str">
        <f>HYPERLINK("http://pbs.twimg.com/media/FePAQRnX0AIjqT1.jpg", "http://pbs.twimg.com/media/FePAQRnX0AIjqT1.jpg")</f>
        <v>http://pbs.twimg.com/media/FePAQRnX0AIjqT1.jpg</v>
      </c>
      <c r="L525">
        <v>0.34</v>
      </c>
      <c r="M525">
        <v>0</v>
      </c>
      <c r="N525">
        <v>0.87</v>
      </c>
      <c r="O525">
        <v>0.13</v>
      </c>
    </row>
    <row r="526" spans="1:15" x14ac:dyDescent="0.2">
      <c r="A526" s="1" t="str">
        <f>HYPERLINK("http://www.twitter.com/banuakdenizli/status/1577643251728846852", "1577643251728846852")</f>
        <v>1577643251728846852</v>
      </c>
      <c r="B526" t="s">
        <v>15</v>
      </c>
      <c r="C526" s="2">
        <v>44839.537465277783</v>
      </c>
      <c r="D526">
        <v>0</v>
      </c>
      <c r="E526">
        <v>12</v>
      </c>
      <c r="F526" t="s">
        <v>18</v>
      </c>
      <c r="G526" t="s">
        <v>570</v>
      </c>
      <c r="H526" t="str">
        <f>HYPERLINK("http://pbs.twimg.com/media/FeQ-YQ1XoAExnJb.jpg", "http://pbs.twimg.com/media/FeQ-YQ1XoAExnJb.jpg")</f>
        <v>http://pbs.twimg.com/media/FeQ-YQ1XoAExnJb.jpg</v>
      </c>
      <c r="I526" t="str">
        <f>HYPERLINK("http://pbs.twimg.com/media/FeQ-YQ2X0AE5m7I.jpg", "http://pbs.twimg.com/media/FeQ-YQ2X0AE5m7I.jpg")</f>
        <v>http://pbs.twimg.com/media/FeQ-YQ2X0AE5m7I.jpg</v>
      </c>
      <c r="J526" t="str">
        <f>HYPERLINK("http://pbs.twimg.com/media/FeQ-YQ0XEAI3Uq_.jpg", "http://pbs.twimg.com/media/FeQ-YQ0XEAI3Uq_.jpg")</f>
        <v>http://pbs.twimg.com/media/FeQ-YQ0XEAI3Uq_.jpg</v>
      </c>
      <c r="K526" t="str">
        <f>HYPERLINK("http://pbs.twimg.com/media/FeQ-YQ0WIAQrH3p.jpg", "http://pbs.twimg.com/media/FeQ-YQ0WIAQrH3p.jpg")</f>
        <v>http://pbs.twimg.com/media/FeQ-YQ0WIAQrH3p.jpg</v>
      </c>
      <c r="L526">
        <v>0</v>
      </c>
      <c r="M526">
        <v>0</v>
      </c>
      <c r="N526">
        <v>1</v>
      </c>
      <c r="O526">
        <v>0</v>
      </c>
    </row>
    <row r="527" spans="1:15" x14ac:dyDescent="0.2">
      <c r="A527" s="1" t="str">
        <f>HYPERLINK("http://www.twitter.com/banuakdenizli/status/1577643222620426241", "1577643222620426241")</f>
        <v>1577643222620426241</v>
      </c>
      <c r="B527" t="s">
        <v>15</v>
      </c>
      <c r="C527" s="2">
        <v>44839.53738425926</v>
      </c>
      <c r="D527">
        <v>0</v>
      </c>
      <c r="E527">
        <v>10</v>
      </c>
      <c r="F527" t="s">
        <v>571</v>
      </c>
      <c r="G527" t="s">
        <v>572</v>
      </c>
      <c r="H527" t="str">
        <f>HYPERLINK("http://pbs.twimg.com/media/FeQeUY5WAAEuEeK.jpg", "http://pbs.twimg.com/media/FeQeUY5WAAEuEeK.jpg")</f>
        <v>http://pbs.twimg.com/media/FeQeUY5WAAEuEeK.jpg</v>
      </c>
      <c r="I527" t="str">
        <f>HYPERLINK("http://pbs.twimg.com/media/FeQfOGvacAABw7Y.jpg", "http://pbs.twimg.com/media/FeQfOGvacAABw7Y.jpg")</f>
        <v>http://pbs.twimg.com/media/FeQfOGvacAABw7Y.jpg</v>
      </c>
      <c r="J527" t="str">
        <f>HYPERLINK("http://pbs.twimg.com/media/FeQflVCacAA7Epv.jpg", "http://pbs.twimg.com/media/FeQflVCacAA7Epv.jpg")</f>
        <v>http://pbs.twimg.com/media/FeQflVCacAA7Epv.jpg</v>
      </c>
      <c r="K527" t="str">
        <f>HYPERLINK("http://pbs.twimg.com/media/FeQfnXXXoAERavB.jpg", "http://pbs.twimg.com/media/FeQfnXXXoAERavB.jpg")</f>
        <v>http://pbs.twimg.com/media/FeQfnXXXoAERavB.jpg</v>
      </c>
      <c r="L527">
        <v>0.57189999999999996</v>
      </c>
      <c r="M527">
        <v>0</v>
      </c>
      <c r="N527">
        <v>0.73</v>
      </c>
      <c r="O527">
        <v>0.27</v>
      </c>
    </row>
    <row r="528" spans="1:15" x14ac:dyDescent="0.2">
      <c r="A528" s="1" t="str">
        <f>HYPERLINK("http://www.twitter.com/banuakdenizli/status/1577643206782722049", "1577643206782722049")</f>
        <v>1577643206782722049</v>
      </c>
      <c r="B528" t="s">
        <v>15</v>
      </c>
      <c r="C528" s="2">
        <v>44839.53733796296</v>
      </c>
      <c r="D528">
        <v>0</v>
      </c>
      <c r="E528">
        <v>19</v>
      </c>
      <c r="F528" t="s">
        <v>19</v>
      </c>
      <c r="G528" t="s">
        <v>573</v>
      </c>
      <c r="L528">
        <v>0.92869999999999997</v>
      </c>
      <c r="M528">
        <v>0</v>
      </c>
      <c r="N528">
        <v>0.69</v>
      </c>
      <c r="O528">
        <v>0.31</v>
      </c>
    </row>
    <row r="529" spans="1:15" x14ac:dyDescent="0.2">
      <c r="A529" s="1" t="str">
        <f>HYPERLINK("http://www.twitter.com/banuakdenizli/status/1577643177678438400", "1577643177678438400")</f>
        <v>1577643177678438400</v>
      </c>
      <c r="B529" t="s">
        <v>15</v>
      </c>
      <c r="C529" s="2">
        <v>44839.537256944437</v>
      </c>
      <c r="D529">
        <v>0</v>
      </c>
      <c r="E529">
        <v>7</v>
      </c>
      <c r="F529" t="s">
        <v>18</v>
      </c>
      <c r="G529" t="s">
        <v>574</v>
      </c>
      <c r="H529" t="str">
        <f>HYPERLINK("http://pbs.twimg.com/media/FeTZfDFXkAIpeF8.jpg", "http://pbs.twimg.com/media/FeTZfDFXkAIpeF8.jpg")</f>
        <v>http://pbs.twimg.com/media/FeTZfDFXkAIpeF8.jpg</v>
      </c>
      <c r="L529">
        <v>0</v>
      </c>
      <c r="M529">
        <v>0</v>
      </c>
      <c r="N529">
        <v>1</v>
      </c>
      <c r="O529">
        <v>0</v>
      </c>
    </row>
    <row r="530" spans="1:15" x14ac:dyDescent="0.2">
      <c r="A530" s="1" t="str">
        <f>HYPERLINK("http://www.twitter.com/banuakdenizli/status/1577642985453457409", "1577642985453457409")</f>
        <v>1577642985453457409</v>
      </c>
      <c r="B530" t="s">
        <v>15</v>
      </c>
      <c r="C530" s="2">
        <v>44839.536724537043</v>
      </c>
      <c r="D530">
        <v>0</v>
      </c>
      <c r="E530">
        <v>12</v>
      </c>
      <c r="F530" t="s">
        <v>16</v>
      </c>
      <c r="G530" t="s">
        <v>575</v>
      </c>
      <c r="H530" t="str">
        <f>HYPERLINK("https://video.twimg.com/ext_tw_video/1577007599517564931/pu/vid/1280x720/UCvfZnI89CzP9ntV.mp4?tag=12", "https://video.twimg.com/ext_tw_video/1577007599517564931/pu/vid/1280x720/UCvfZnI89CzP9ntV.mp4?tag=12")</f>
        <v>https://video.twimg.com/ext_tw_video/1577007599517564931/pu/vid/1280x720/UCvfZnI89CzP9ntV.mp4?tag=12</v>
      </c>
      <c r="L530">
        <v>0</v>
      </c>
      <c r="M530">
        <v>0</v>
      </c>
      <c r="N530">
        <v>1</v>
      </c>
      <c r="O530">
        <v>0</v>
      </c>
    </row>
    <row r="531" spans="1:15" x14ac:dyDescent="0.2">
      <c r="A531" s="1" t="str">
        <f>HYPERLINK("http://www.twitter.com/banuakdenizli/status/1577642939563577345", "1577642939563577345")</f>
        <v>1577642939563577345</v>
      </c>
      <c r="B531" t="s">
        <v>15</v>
      </c>
      <c r="C531" s="2">
        <v>44839.536597222221</v>
      </c>
      <c r="D531">
        <v>0</v>
      </c>
      <c r="E531">
        <v>48</v>
      </c>
      <c r="F531" t="s">
        <v>23</v>
      </c>
      <c r="G531" t="s">
        <v>576</v>
      </c>
      <c r="H531" t="str">
        <f>HYPERLINK("http://pbs.twimg.com/media/FeN6wvYXkAAmaAF.jpg", "http://pbs.twimg.com/media/FeN6wvYXkAAmaAF.jpg")</f>
        <v>http://pbs.twimg.com/media/FeN6wvYXkAAmaAF.jpg</v>
      </c>
      <c r="I531" t="str">
        <f>HYPERLINK("http://pbs.twimg.com/media/FeN6wvXXoAYhyt6.jpg", "http://pbs.twimg.com/media/FeN6wvXXoAYhyt6.jpg")</f>
        <v>http://pbs.twimg.com/media/FeN6wvXXoAYhyt6.jpg</v>
      </c>
      <c r="L531">
        <v>0</v>
      </c>
      <c r="M531">
        <v>0</v>
      </c>
      <c r="N531">
        <v>1</v>
      </c>
      <c r="O531">
        <v>0</v>
      </c>
    </row>
    <row r="532" spans="1:15" x14ac:dyDescent="0.2">
      <c r="A532" s="1" t="str">
        <f>HYPERLINK("http://www.twitter.com/banuakdenizli/status/1577642780570124291", "1577642780570124291")</f>
        <v>1577642780570124291</v>
      </c>
      <c r="B532" t="s">
        <v>15</v>
      </c>
      <c r="C532" s="2">
        <v>44839.536157407398</v>
      </c>
      <c r="D532">
        <v>0</v>
      </c>
      <c r="E532">
        <v>7</v>
      </c>
      <c r="F532" t="s">
        <v>16</v>
      </c>
      <c r="G532" t="s">
        <v>577</v>
      </c>
      <c r="H532" t="str">
        <f>HYPERLINK("http://pbs.twimg.com/media/FeOQ0lGXwAANYxN.jpg", "http://pbs.twimg.com/media/FeOQ0lGXwAANYxN.jpg")</f>
        <v>http://pbs.twimg.com/media/FeOQ0lGXwAANYxN.jpg</v>
      </c>
      <c r="L532">
        <v>0</v>
      </c>
      <c r="M532">
        <v>0</v>
      </c>
      <c r="N532">
        <v>1</v>
      </c>
      <c r="O532">
        <v>0</v>
      </c>
    </row>
    <row r="533" spans="1:15" x14ac:dyDescent="0.2">
      <c r="A533" s="1" t="str">
        <f>HYPERLINK("http://www.twitter.com/banuakdenizli/status/1577642630527197184", "1577642630527197184")</f>
        <v>1577642630527197184</v>
      </c>
      <c r="B533" t="s">
        <v>15</v>
      </c>
      <c r="C533" s="2">
        <v>44839.535740740743</v>
      </c>
      <c r="D533">
        <v>0</v>
      </c>
      <c r="E533">
        <v>14</v>
      </c>
      <c r="F533" t="s">
        <v>16</v>
      </c>
      <c r="G533" t="s">
        <v>578</v>
      </c>
      <c r="H533" t="str">
        <f>HYPERLINK("http://pbs.twimg.com/media/FePAIQSX0AERYyF.jpg", "http://pbs.twimg.com/media/FePAIQSX0AERYyF.jpg")</f>
        <v>http://pbs.twimg.com/media/FePAIQSX0AERYyF.jpg</v>
      </c>
      <c r="L533">
        <v>0</v>
      </c>
      <c r="M533">
        <v>0</v>
      </c>
      <c r="N533">
        <v>1</v>
      </c>
      <c r="O533">
        <v>0</v>
      </c>
    </row>
    <row r="534" spans="1:15" x14ac:dyDescent="0.2">
      <c r="A534" s="1" t="str">
        <f>HYPERLINK("http://www.twitter.com/banuakdenizli/status/1577642611036266498", "1577642611036266498")</f>
        <v>1577642611036266498</v>
      </c>
      <c r="B534" t="s">
        <v>15</v>
      </c>
      <c r="C534" s="2">
        <v>44839.535694444443</v>
      </c>
      <c r="D534">
        <v>0</v>
      </c>
      <c r="E534">
        <v>11</v>
      </c>
      <c r="F534" t="s">
        <v>16</v>
      </c>
      <c r="G534" t="s">
        <v>579</v>
      </c>
      <c r="H534" t="str">
        <f>HYPERLINK("http://pbs.twimg.com/media/FeP2LSmWQDYF6l3.jpg", "http://pbs.twimg.com/media/FeP2LSmWQDYF6l3.jpg")</f>
        <v>http://pbs.twimg.com/media/FeP2LSmWQDYF6l3.jpg</v>
      </c>
      <c r="I534" t="str">
        <f>HYPERLINK("http://pbs.twimg.com/media/FeP2LSbWQBkt6xU.jpg", "http://pbs.twimg.com/media/FeP2LSbWQBkt6xU.jpg")</f>
        <v>http://pbs.twimg.com/media/FeP2LSbWQBkt6xU.jpg</v>
      </c>
      <c r="J534" t="str">
        <f>HYPERLINK("http://pbs.twimg.com/media/FeP2LSbXoAABEXd.jpg", "http://pbs.twimg.com/media/FeP2LSbXoAABEXd.jpg")</f>
        <v>http://pbs.twimg.com/media/FeP2LSbXoAABEXd.jpg</v>
      </c>
      <c r="K534" t="str">
        <f>HYPERLINK("http://pbs.twimg.com/media/FeP2LSlWQBQrUXj.jpg", "http://pbs.twimg.com/media/FeP2LSlWQBQrUXj.jpg")</f>
        <v>http://pbs.twimg.com/media/FeP2LSlWQBQrUXj.jpg</v>
      </c>
      <c r="L534">
        <v>0</v>
      </c>
      <c r="M534">
        <v>0</v>
      </c>
      <c r="N534">
        <v>1</v>
      </c>
      <c r="O534">
        <v>0</v>
      </c>
    </row>
    <row r="535" spans="1:15" x14ac:dyDescent="0.2">
      <c r="A535" s="1" t="str">
        <f>HYPERLINK("http://www.twitter.com/banuakdenizli/status/1577642592363286530", "1577642592363286530")</f>
        <v>1577642592363286530</v>
      </c>
      <c r="B535" t="s">
        <v>15</v>
      </c>
      <c r="C535" s="2">
        <v>44839.535636574074</v>
      </c>
      <c r="D535">
        <v>0</v>
      </c>
      <c r="E535">
        <v>20</v>
      </c>
      <c r="F535" t="s">
        <v>16</v>
      </c>
      <c r="G535" t="s">
        <v>580</v>
      </c>
      <c r="H535" t="str">
        <f>HYPERLINK("http://pbs.twimg.com/media/FeP52hWXkAAz_Wd.jpg", "http://pbs.twimg.com/media/FeP52hWXkAAz_Wd.jpg")</f>
        <v>http://pbs.twimg.com/media/FeP52hWXkAAz_Wd.jpg</v>
      </c>
      <c r="I535" t="str">
        <f>HYPERLINK("http://pbs.twimg.com/media/FeP52hsWQAc0LfN.jpg", "http://pbs.twimg.com/media/FeP52hsWQAc0LfN.jpg")</f>
        <v>http://pbs.twimg.com/media/FeP52hsWQAc0LfN.jpg</v>
      </c>
      <c r="J535" t="str">
        <f>HYPERLINK("http://pbs.twimg.com/media/FeP52haWQBUJQTA.jpg", "http://pbs.twimg.com/media/FeP52haWQBUJQTA.jpg")</f>
        <v>http://pbs.twimg.com/media/FeP52haWQBUJQTA.jpg</v>
      </c>
      <c r="K535" t="str">
        <f>HYPERLINK("http://pbs.twimg.com/media/FeP52hgWQAMKx2S.jpg", "http://pbs.twimg.com/media/FeP52hgWQAMKx2S.jpg")</f>
        <v>http://pbs.twimg.com/media/FeP52hgWQAMKx2S.jpg</v>
      </c>
      <c r="L535">
        <v>0</v>
      </c>
      <c r="M535">
        <v>0</v>
      </c>
      <c r="N535">
        <v>1</v>
      </c>
      <c r="O535">
        <v>0</v>
      </c>
    </row>
    <row r="536" spans="1:15" x14ac:dyDescent="0.2">
      <c r="A536" s="1" t="str">
        <f>HYPERLINK("http://www.twitter.com/banuakdenizli/status/1577642430777724930", "1577642430777724930")</f>
        <v>1577642430777724930</v>
      </c>
      <c r="B536" t="s">
        <v>15</v>
      </c>
      <c r="C536" s="2">
        <v>44839.535196759258</v>
      </c>
      <c r="D536">
        <v>0</v>
      </c>
      <c r="E536">
        <v>21</v>
      </c>
      <c r="F536" t="s">
        <v>16</v>
      </c>
      <c r="G536" t="s">
        <v>581</v>
      </c>
      <c r="H536" t="str">
        <f>HYPERLINK("https://video.twimg.com/ext_tw_video/1577384333018648578/pu/vid/1280x720/m0QexTFILxmpGc84.mp4?tag=12", "https://video.twimg.com/ext_tw_video/1577384333018648578/pu/vid/1280x720/m0QexTFILxmpGc84.mp4?tag=12")</f>
        <v>https://video.twimg.com/ext_tw_video/1577384333018648578/pu/vid/1280x720/m0QexTFILxmpGc84.mp4?tag=12</v>
      </c>
      <c r="L536">
        <v>0</v>
      </c>
      <c r="M536">
        <v>0</v>
      </c>
      <c r="N536">
        <v>1</v>
      </c>
      <c r="O536">
        <v>0</v>
      </c>
    </row>
    <row r="537" spans="1:15" x14ac:dyDescent="0.2">
      <c r="A537" s="1" t="str">
        <f>HYPERLINK("http://www.twitter.com/banuakdenizli/status/1577642403028258817", "1577642403028258817")</f>
        <v>1577642403028258817</v>
      </c>
      <c r="B537" t="s">
        <v>15</v>
      </c>
      <c r="C537" s="2">
        <v>44839.535115740742</v>
      </c>
      <c r="D537">
        <v>0</v>
      </c>
      <c r="E537">
        <v>12</v>
      </c>
      <c r="F537" t="s">
        <v>16</v>
      </c>
      <c r="G537" t="s">
        <v>582</v>
      </c>
      <c r="H537" t="str">
        <f>HYPERLINK("http://pbs.twimg.com/media/FeSO94jXEAMbqmS.jpg", "http://pbs.twimg.com/media/FeSO94jXEAMbqmS.jpg")</f>
        <v>http://pbs.twimg.com/media/FeSO94jXEAMbqmS.jpg</v>
      </c>
      <c r="L537">
        <v>0</v>
      </c>
      <c r="M537">
        <v>0</v>
      </c>
      <c r="N537">
        <v>1</v>
      </c>
      <c r="O537">
        <v>0</v>
      </c>
    </row>
    <row r="538" spans="1:15" x14ac:dyDescent="0.2">
      <c r="A538" s="1" t="str">
        <f>HYPERLINK("http://www.twitter.com/banuakdenizli/status/1577642354172993547", "1577642354172993547")</f>
        <v>1577642354172993547</v>
      </c>
      <c r="B538" t="s">
        <v>15</v>
      </c>
      <c r="C538" s="2">
        <v>44839.534988425927</v>
      </c>
      <c r="D538">
        <v>0</v>
      </c>
      <c r="E538">
        <v>22</v>
      </c>
      <c r="F538" t="s">
        <v>571</v>
      </c>
      <c r="G538" t="s">
        <v>583</v>
      </c>
      <c r="H538" t="str">
        <f>HYPERLINK("http://pbs.twimg.com/media/FeQdlXAWQAAp5Pb.jpg", "http://pbs.twimg.com/media/FeQdlXAWQAAp5Pb.jpg")</f>
        <v>http://pbs.twimg.com/media/FeQdlXAWQAAp5Pb.jpg</v>
      </c>
      <c r="I538" t="str">
        <f>HYPERLINK("http://pbs.twimg.com/media/FeQdomcWIAEByMI.jpg", "http://pbs.twimg.com/media/FeQdomcWIAEByMI.jpg")</f>
        <v>http://pbs.twimg.com/media/FeQdomcWIAEByMI.jpg</v>
      </c>
      <c r="J538" t="str">
        <f>HYPERLINK("http://pbs.twimg.com/media/FeQdqVWVEAAjU5l.jpg", "http://pbs.twimg.com/media/FeQdqVWVEAAjU5l.jpg")</f>
        <v>http://pbs.twimg.com/media/FeQdqVWVEAAjU5l.jpg</v>
      </c>
      <c r="K538" t="str">
        <f>HYPERLINK("http://pbs.twimg.com/media/FeQdrP9XgAAcgXI.jpg", "http://pbs.twimg.com/media/FeQdrP9XgAAcgXI.jpg")</f>
        <v>http://pbs.twimg.com/media/FeQdrP9XgAAcgXI.jpg</v>
      </c>
      <c r="L538">
        <v>0</v>
      </c>
      <c r="M538">
        <v>0</v>
      </c>
      <c r="N538">
        <v>1</v>
      </c>
      <c r="O538">
        <v>0</v>
      </c>
    </row>
    <row r="539" spans="1:15" x14ac:dyDescent="0.2">
      <c r="A539" s="1" t="str">
        <f>HYPERLINK("http://www.twitter.com/banuakdenizli/status/1577642326511566848", "1577642326511566848")</f>
        <v>1577642326511566848</v>
      </c>
      <c r="B539" t="s">
        <v>15</v>
      </c>
      <c r="C539" s="2">
        <v>44839.534907407397</v>
      </c>
      <c r="D539">
        <v>0</v>
      </c>
      <c r="E539">
        <v>21</v>
      </c>
      <c r="F539" t="s">
        <v>19</v>
      </c>
      <c r="G539" t="s">
        <v>584</v>
      </c>
      <c r="L539">
        <v>0</v>
      </c>
      <c r="M539">
        <v>0</v>
      </c>
      <c r="N539">
        <v>1</v>
      </c>
      <c r="O539">
        <v>0</v>
      </c>
    </row>
    <row r="540" spans="1:15" x14ac:dyDescent="0.2">
      <c r="A540" s="1" t="str">
        <f>HYPERLINK("http://www.twitter.com/banuakdenizli/status/1577642316843597827", "1577642316843597827")</f>
        <v>1577642316843597827</v>
      </c>
      <c r="B540" t="s">
        <v>15</v>
      </c>
      <c r="C540" s="2">
        <v>44839.534884259258</v>
      </c>
      <c r="D540">
        <v>0</v>
      </c>
      <c r="E540">
        <v>7</v>
      </c>
      <c r="F540" t="s">
        <v>16</v>
      </c>
      <c r="G540" t="s">
        <v>585</v>
      </c>
      <c r="H540" t="str">
        <f>HYPERLINK("http://pbs.twimg.com/media/FeSxpv_XEAcyaO8.jpg", "http://pbs.twimg.com/media/FeSxpv_XEAcyaO8.jpg")</f>
        <v>http://pbs.twimg.com/media/FeSxpv_XEAcyaO8.jpg</v>
      </c>
      <c r="L540">
        <v>0</v>
      </c>
      <c r="M540">
        <v>0</v>
      </c>
      <c r="N540">
        <v>1</v>
      </c>
      <c r="O540">
        <v>0</v>
      </c>
    </row>
    <row r="541" spans="1:15" x14ac:dyDescent="0.2">
      <c r="A541" s="1" t="str">
        <f>HYPERLINK("http://www.twitter.com/banuakdenizli/status/1577642198270726146", "1577642198270726146")</f>
        <v>1577642198270726146</v>
      </c>
      <c r="B541" t="s">
        <v>15</v>
      </c>
      <c r="C541" s="2">
        <v>44839.534548611111</v>
      </c>
      <c r="D541">
        <v>0</v>
      </c>
      <c r="E541">
        <v>22</v>
      </c>
      <c r="F541" t="s">
        <v>23</v>
      </c>
      <c r="G541" t="s">
        <v>586</v>
      </c>
      <c r="H541" t="str">
        <f>HYPERLINK("http://pbs.twimg.com/media/FeTO08HWQAEdeOa.jpg", "http://pbs.twimg.com/media/FeTO08HWQAEdeOa.jpg")</f>
        <v>http://pbs.twimg.com/media/FeTO08HWQAEdeOa.jpg</v>
      </c>
      <c r="L541">
        <v>0</v>
      </c>
      <c r="M541">
        <v>0</v>
      </c>
      <c r="N541">
        <v>1</v>
      </c>
      <c r="O541">
        <v>0</v>
      </c>
    </row>
    <row r="542" spans="1:15" x14ac:dyDescent="0.2">
      <c r="A542" s="1" t="str">
        <f>HYPERLINK("http://www.twitter.com/banuakdenizli/status/1577642175566942210", "1577642175566942210")</f>
        <v>1577642175566942210</v>
      </c>
      <c r="B542" t="s">
        <v>15</v>
      </c>
      <c r="C542" s="2">
        <v>44839.534490740742</v>
      </c>
      <c r="D542">
        <v>0</v>
      </c>
      <c r="E542">
        <v>72</v>
      </c>
      <c r="F542" t="s">
        <v>23</v>
      </c>
      <c r="G542" t="s">
        <v>587</v>
      </c>
      <c r="H542" t="str">
        <f>HYPERLINK("http://pbs.twimg.com/media/FeTTLp6XwAAe3rt.jpg", "http://pbs.twimg.com/media/FeTTLp6XwAAe3rt.jpg")</f>
        <v>http://pbs.twimg.com/media/FeTTLp6XwAAe3rt.jpg</v>
      </c>
      <c r="I542" t="str">
        <f>HYPERLINK("http://pbs.twimg.com/media/FeTTLp8XkAAvExS.jpg", "http://pbs.twimg.com/media/FeTTLp8XkAAvExS.jpg")</f>
        <v>http://pbs.twimg.com/media/FeTTLp8XkAAvExS.jpg</v>
      </c>
      <c r="J542" t="str">
        <f>HYPERLINK("http://pbs.twimg.com/media/FeTTLp7WAAAyrMo.jpg", "http://pbs.twimg.com/media/FeTTLp7WAAAyrMo.jpg")</f>
        <v>http://pbs.twimg.com/media/FeTTLp7WAAAyrMo.jpg</v>
      </c>
      <c r="K542" t="str">
        <f>HYPERLINK("http://pbs.twimg.com/media/FeTTLp6XgAAtYeq.jpg", "http://pbs.twimg.com/media/FeTTLp6XgAAtYeq.jpg")</f>
        <v>http://pbs.twimg.com/media/FeTTLp6XgAAtYeq.jpg</v>
      </c>
      <c r="L542">
        <v>0</v>
      </c>
      <c r="M542">
        <v>0</v>
      </c>
      <c r="N542">
        <v>1</v>
      </c>
      <c r="O542">
        <v>0</v>
      </c>
    </row>
    <row r="543" spans="1:15" x14ac:dyDescent="0.2">
      <c r="A543" s="1" t="str">
        <f>HYPERLINK("http://www.twitter.com/banuakdenizli/status/1577354353286995968", "1577354353286995968")</f>
        <v>1577354353286995968</v>
      </c>
      <c r="B543" t="s">
        <v>15</v>
      </c>
      <c r="C543" s="2">
        <v>44838.740254629629</v>
      </c>
      <c r="D543">
        <v>0</v>
      </c>
      <c r="E543">
        <v>11</v>
      </c>
      <c r="F543" t="s">
        <v>16</v>
      </c>
      <c r="G543" t="s">
        <v>588</v>
      </c>
      <c r="H543" t="str">
        <f>HYPERLINK("http://pbs.twimg.com/media/FeM5l97XkAMiY_H.jpg", "http://pbs.twimg.com/media/FeM5l97XkAMiY_H.jpg")</f>
        <v>http://pbs.twimg.com/media/FeM5l97XkAMiY_H.jpg</v>
      </c>
      <c r="L543">
        <v>0</v>
      </c>
      <c r="M543">
        <v>0</v>
      </c>
      <c r="N543">
        <v>1</v>
      </c>
      <c r="O543">
        <v>0</v>
      </c>
    </row>
    <row r="544" spans="1:15" x14ac:dyDescent="0.2">
      <c r="A544" s="1" t="str">
        <f>HYPERLINK("http://www.twitter.com/banuakdenizli/status/1577283228599488514", "1577283228599488514")</f>
        <v>1577283228599488514</v>
      </c>
      <c r="B544" t="s">
        <v>15</v>
      </c>
      <c r="C544" s="2">
        <v>44838.543981481482</v>
      </c>
      <c r="D544">
        <v>0</v>
      </c>
      <c r="E544">
        <v>1</v>
      </c>
      <c r="F544" t="s">
        <v>589</v>
      </c>
      <c r="G544" t="s">
        <v>590</v>
      </c>
      <c r="H544" t="str">
        <f>HYPERLINK("http://pbs.twimg.com/media/FeKckK2XkAUPG50.jpg", "http://pbs.twimg.com/media/FeKckK2XkAUPG50.jpg")</f>
        <v>http://pbs.twimg.com/media/FeKckK2XkAUPG50.jpg</v>
      </c>
      <c r="I544" t="str">
        <f>HYPERLINK("http://pbs.twimg.com/media/FeKckLZXkAM-nkr.jpg", "http://pbs.twimg.com/media/FeKckLZXkAM-nkr.jpg")</f>
        <v>http://pbs.twimg.com/media/FeKckLZXkAM-nkr.jpg</v>
      </c>
      <c r="J544" t="str">
        <f>HYPERLINK("http://pbs.twimg.com/media/FeKckL5XgAAG9s4.jpg", "http://pbs.twimg.com/media/FeKckL5XgAAG9s4.jpg")</f>
        <v>http://pbs.twimg.com/media/FeKckL5XgAAG9s4.jpg</v>
      </c>
      <c r="L544">
        <v>0</v>
      </c>
      <c r="M544">
        <v>0</v>
      </c>
      <c r="N544">
        <v>1</v>
      </c>
      <c r="O544">
        <v>0</v>
      </c>
    </row>
    <row r="545" spans="1:15" x14ac:dyDescent="0.2">
      <c r="A545" s="1" t="str">
        <f>HYPERLINK("http://www.twitter.com/banuakdenizli/status/1577283091722567680", "1577283091722567680")</f>
        <v>1577283091722567680</v>
      </c>
      <c r="B545" t="s">
        <v>15</v>
      </c>
      <c r="C545" s="2">
        <v>44838.543611111112</v>
      </c>
      <c r="D545">
        <v>0</v>
      </c>
      <c r="E545">
        <v>4</v>
      </c>
      <c r="F545" t="s">
        <v>16</v>
      </c>
      <c r="G545" t="s">
        <v>591</v>
      </c>
      <c r="H545" t="str">
        <f>HYPERLINK("http://pbs.twimg.com/media/FeKeKs5XkBUVgfz.jpg", "http://pbs.twimg.com/media/FeKeKs5XkBUVgfz.jpg")</f>
        <v>http://pbs.twimg.com/media/FeKeKs5XkBUVgfz.jpg</v>
      </c>
      <c r="L545">
        <v>0</v>
      </c>
      <c r="M545">
        <v>0</v>
      </c>
      <c r="N545">
        <v>1</v>
      </c>
      <c r="O545">
        <v>0</v>
      </c>
    </row>
    <row r="546" spans="1:15" x14ac:dyDescent="0.2">
      <c r="A546" s="1" t="str">
        <f>HYPERLINK("http://www.twitter.com/banuakdenizli/status/1577283067151978497", "1577283067151978497")</f>
        <v>1577283067151978497</v>
      </c>
      <c r="B546" t="s">
        <v>15</v>
      </c>
      <c r="C546" s="2">
        <v>44838.543541666673</v>
      </c>
      <c r="D546">
        <v>0</v>
      </c>
      <c r="E546">
        <v>37</v>
      </c>
      <c r="F546" t="s">
        <v>20</v>
      </c>
      <c r="G546" t="s">
        <v>592</v>
      </c>
      <c r="H546" t="str">
        <f>HYPERLINK("http://pbs.twimg.com/media/FeKewJwXkBU7VDR.jpg", "http://pbs.twimg.com/media/FeKewJwXkBU7VDR.jpg")</f>
        <v>http://pbs.twimg.com/media/FeKewJwXkBU7VDR.jpg</v>
      </c>
      <c r="L546">
        <v>0.80740000000000001</v>
      </c>
      <c r="M546">
        <v>0</v>
      </c>
      <c r="N546">
        <v>0.79900000000000004</v>
      </c>
      <c r="O546">
        <v>0.20100000000000001</v>
      </c>
    </row>
    <row r="547" spans="1:15" x14ac:dyDescent="0.2">
      <c r="A547" s="1" t="str">
        <f>HYPERLINK("http://www.twitter.com/banuakdenizli/status/1577283055462780930", "1577283055462780930")</f>
        <v>1577283055462780930</v>
      </c>
      <c r="B547" t="s">
        <v>15</v>
      </c>
      <c r="C547" s="2">
        <v>44838.543506944443</v>
      </c>
      <c r="D547">
        <v>0</v>
      </c>
      <c r="E547">
        <v>34</v>
      </c>
      <c r="F547" t="s">
        <v>20</v>
      </c>
      <c r="G547" t="s">
        <v>593</v>
      </c>
      <c r="H547" t="str">
        <f>HYPERLINK("http://pbs.twimg.com/media/FeKbnNoXEAIXb1z.jpg", "http://pbs.twimg.com/media/FeKbnNoXEAIXb1z.jpg")</f>
        <v>http://pbs.twimg.com/media/FeKbnNoXEAIXb1z.jpg</v>
      </c>
      <c r="L547">
        <v>0</v>
      </c>
      <c r="M547">
        <v>0</v>
      </c>
      <c r="N547">
        <v>1</v>
      </c>
      <c r="O547">
        <v>0</v>
      </c>
    </row>
    <row r="548" spans="1:15" x14ac:dyDescent="0.2">
      <c r="A548" s="1" t="str">
        <f>HYPERLINK("http://www.twitter.com/banuakdenizli/status/1577283044301365248", "1577283044301365248")</f>
        <v>1577283044301365248</v>
      </c>
      <c r="B548" t="s">
        <v>15</v>
      </c>
      <c r="C548" s="2">
        <v>44838.54347222222</v>
      </c>
      <c r="D548">
        <v>0</v>
      </c>
      <c r="E548">
        <v>10</v>
      </c>
      <c r="F548" t="s">
        <v>16</v>
      </c>
      <c r="G548" t="s">
        <v>594</v>
      </c>
      <c r="H548" t="str">
        <f>HYPERLINK("http://pbs.twimg.com/media/FeKbx7xXwAEmlCT.jpg", "http://pbs.twimg.com/media/FeKbx7xXwAEmlCT.jpg")</f>
        <v>http://pbs.twimg.com/media/FeKbx7xXwAEmlCT.jpg</v>
      </c>
      <c r="I548" t="str">
        <f>HYPERLINK("http://pbs.twimg.com/media/FeKbx77XEAEykGU.jpg", "http://pbs.twimg.com/media/FeKbx77XEAEykGU.jpg")</f>
        <v>http://pbs.twimg.com/media/FeKbx77XEAEykGU.jpg</v>
      </c>
      <c r="J548" t="str">
        <f>HYPERLINK("http://pbs.twimg.com/media/FeKbx78XkA84ck0.jpg", "http://pbs.twimg.com/media/FeKbx78XkA84ck0.jpg")</f>
        <v>http://pbs.twimg.com/media/FeKbx78XkA84ck0.jpg</v>
      </c>
      <c r="L548">
        <v>0</v>
      </c>
      <c r="M548">
        <v>0</v>
      </c>
      <c r="N548">
        <v>1</v>
      </c>
      <c r="O548">
        <v>0</v>
      </c>
    </row>
    <row r="549" spans="1:15" x14ac:dyDescent="0.2">
      <c r="A549" s="1" t="str">
        <f>HYPERLINK("http://www.twitter.com/banuakdenizli/status/1576961260171976706", "1576961260171976706")</f>
        <v>1576961260171976706</v>
      </c>
      <c r="B549" t="s">
        <v>15</v>
      </c>
      <c r="C549" s="2">
        <v>44837.65552083333</v>
      </c>
      <c r="D549">
        <v>0</v>
      </c>
      <c r="E549">
        <v>5</v>
      </c>
      <c r="F549" t="s">
        <v>17</v>
      </c>
      <c r="G549" t="s">
        <v>595</v>
      </c>
      <c r="H549" t="str">
        <f>HYPERLINK("http://pbs.twimg.com/media/FeFxh-aXgAEEEVJ.jpg", "http://pbs.twimg.com/media/FeFxh-aXgAEEEVJ.jpg")</f>
        <v>http://pbs.twimg.com/media/FeFxh-aXgAEEEVJ.jpg</v>
      </c>
      <c r="L549">
        <v>0</v>
      </c>
      <c r="M549">
        <v>0</v>
      </c>
      <c r="N549">
        <v>1</v>
      </c>
      <c r="O549">
        <v>0</v>
      </c>
    </row>
    <row r="550" spans="1:15" x14ac:dyDescent="0.2">
      <c r="A550" s="1" t="str">
        <f>HYPERLINK("http://www.twitter.com/banuakdenizli/status/1576945964665147393", "1576945964665147393")</f>
        <v>1576945964665147393</v>
      </c>
      <c r="B550" t="s">
        <v>15</v>
      </c>
      <c r="C550" s="2">
        <v>44837.613310185188</v>
      </c>
      <c r="D550">
        <v>0</v>
      </c>
      <c r="E550">
        <v>7</v>
      </c>
      <c r="F550" t="s">
        <v>17</v>
      </c>
      <c r="G550" t="s">
        <v>596</v>
      </c>
      <c r="H550" t="str">
        <f>HYPERLINK("https://video.twimg.com/ext_tw_video/1576813620507328513/pu/vid/1280x720/TpgGXLn8Bz8F6a7m.mp4?tag=12", "https://video.twimg.com/ext_tw_video/1576813620507328513/pu/vid/1280x720/TpgGXLn8Bz8F6a7m.mp4?tag=12")</f>
        <v>https://video.twimg.com/ext_tw_video/1576813620507328513/pu/vid/1280x720/TpgGXLn8Bz8F6a7m.mp4?tag=12</v>
      </c>
      <c r="L550">
        <v>0</v>
      </c>
      <c r="M550">
        <v>0</v>
      </c>
      <c r="N550">
        <v>1</v>
      </c>
      <c r="O550">
        <v>0</v>
      </c>
    </row>
    <row r="551" spans="1:15" x14ac:dyDescent="0.2">
      <c r="A551" s="1" t="str">
        <f>HYPERLINK("http://www.twitter.com/banuakdenizli/status/1576945933778300928", "1576945933778300928")</f>
        <v>1576945933778300928</v>
      </c>
      <c r="B551" t="s">
        <v>15</v>
      </c>
      <c r="C551" s="2">
        <v>44837.613229166673</v>
      </c>
      <c r="D551">
        <v>0</v>
      </c>
      <c r="E551">
        <v>14</v>
      </c>
      <c r="F551" t="s">
        <v>30</v>
      </c>
      <c r="G551" t="s">
        <v>597</v>
      </c>
      <c r="H551" t="str">
        <f>HYPERLINK("http://pbs.twimg.com/media/Fd6278YXkAEAfwq.jpg", "http://pbs.twimg.com/media/Fd6278YXkAEAfwq.jpg")</f>
        <v>http://pbs.twimg.com/media/Fd6278YXkAEAfwq.jpg</v>
      </c>
      <c r="I551" t="str">
        <f>HYPERLINK("http://pbs.twimg.com/media/Fd6277tXoAAcYhS.jpg", "http://pbs.twimg.com/media/Fd6277tXoAAcYhS.jpg")</f>
        <v>http://pbs.twimg.com/media/Fd6277tXoAAcYhS.jpg</v>
      </c>
      <c r="L551">
        <v>0.75060000000000004</v>
      </c>
      <c r="M551">
        <v>5.2999999999999999E-2</v>
      </c>
      <c r="N551">
        <v>0.748</v>
      </c>
      <c r="O551">
        <v>0.19900000000000001</v>
      </c>
    </row>
    <row r="552" spans="1:15" x14ac:dyDescent="0.2">
      <c r="A552" s="1" t="str">
        <f>HYPERLINK("http://www.twitter.com/banuakdenizli/status/1576945914580566017", "1576945914580566017")</f>
        <v>1576945914580566017</v>
      </c>
      <c r="B552" t="s">
        <v>15</v>
      </c>
      <c r="C552" s="2">
        <v>44837.613171296303</v>
      </c>
      <c r="D552">
        <v>0</v>
      </c>
      <c r="E552">
        <v>8</v>
      </c>
      <c r="F552" t="s">
        <v>18</v>
      </c>
      <c r="G552" t="s">
        <v>598</v>
      </c>
      <c r="H552" t="str">
        <f>HYPERLINK("http://pbs.twimg.com/media/Fd-WFOlWQAATf-P.jpg", "http://pbs.twimg.com/media/Fd-WFOlWQAATf-P.jpg")</f>
        <v>http://pbs.twimg.com/media/Fd-WFOlWQAATf-P.jpg</v>
      </c>
      <c r="L552">
        <v>-0.75060000000000004</v>
      </c>
      <c r="M552">
        <v>0.51600000000000001</v>
      </c>
      <c r="N552">
        <v>0.48399999999999999</v>
      </c>
      <c r="O552">
        <v>0</v>
      </c>
    </row>
    <row r="553" spans="1:15" x14ac:dyDescent="0.2">
      <c r="A553" s="1" t="str">
        <f>HYPERLINK("http://www.twitter.com/banuakdenizli/status/1576945899661824002", "1576945899661824002")</f>
        <v>1576945899661824002</v>
      </c>
      <c r="B553" t="s">
        <v>15</v>
      </c>
      <c r="C553" s="2">
        <v>44837.613136574073</v>
      </c>
      <c r="D553">
        <v>0</v>
      </c>
      <c r="E553">
        <v>18</v>
      </c>
      <c r="F553" t="s">
        <v>20</v>
      </c>
      <c r="G553" t="s">
        <v>599</v>
      </c>
      <c r="L553">
        <v>0.95650000000000002</v>
      </c>
      <c r="M553">
        <v>0</v>
      </c>
      <c r="N553">
        <v>0.49099999999999999</v>
      </c>
      <c r="O553">
        <v>0.50900000000000001</v>
      </c>
    </row>
    <row r="554" spans="1:15" x14ac:dyDescent="0.2">
      <c r="A554" s="1" t="str">
        <f>HYPERLINK("http://www.twitter.com/banuakdenizli/status/1576945888802766848", "1576945888802766848")</f>
        <v>1576945888802766848</v>
      </c>
      <c r="B554" t="s">
        <v>15</v>
      </c>
      <c r="C554" s="2">
        <v>44837.61310185185</v>
      </c>
      <c r="D554">
        <v>0</v>
      </c>
      <c r="E554">
        <v>7</v>
      </c>
      <c r="F554" t="s">
        <v>18</v>
      </c>
      <c r="G554" t="s">
        <v>600</v>
      </c>
      <c r="H554" t="str">
        <f>HYPERLINK("http://pbs.twimg.com/media/Fd_xyp1XEAQJ07g.jpg", "http://pbs.twimg.com/media/Fd_xyp1XEAQJ07g.jpg")</f>
        <v>http://pbs.twimg.com/media/Fd_xyp1XEAQJ07g.jpg</v>
      </c>
      <c r="I554" t="str">
        <f>HYPERLINK("http://pbs.twimg.com/media/Fd_xyrEWQAAtRW5.jpg", "http://pbs.twimg.com/media/Fd_xyrEWQAAtRW5.jpg")</f>
        <v>http://pbs.twimg.com/media/Fd_xyrEWQAAtRW5.jpg</v>
      </c>
      <c r="J554" t="str">
        <f>HYPERLINK("http://pbs.twimg.com/media/Fd_xyp9X0AAf2aS.jpg", "http://pbs.twimg.com/media/Fd_xyp9X0AAf2aS.jpg")</f>
        <v>http://pbs.twimg.com/media/Fd_xyp9X0AAf2aS.jpg</v>
      </c>
      <c r="L554">
        <v>0</v>
      </c>
      <c r="M554">
        <v>0</v>
      </c>
      <c r="N554">
        <v>1</v>
      </c>
      <c r="O554">
        <v>0</v>
      </c>
    </row>
    <row r="555" spans="1:15" x14ac:dyDescent="0.2">
      <c r="A555" s="1" t="str">
        <f>HYPERLINK("http://www.twitter.com/banuakdenizli/status/1576945883978997761", "1576945883978997761")</f>
        <v>1576945883978997761</v>
      </c>
      <c r="B555" t="s">
        <v>15</v>
      </c>
      <c r="C555" s="2">
        <v>44837.61309027778</v>
      </c>
      <c r="D555">
        <v>0</v>
      </c>
      <c r="E555">
        <v>7</v>
      </c>
      <c r="F555" t="s">
        <v>18</v>
      </c>
      <c r="G555" t="s">
        <v>601</v>
      </c>
      <c r="H555" t="str">
        <f>HYPERLINK("http://pbs.twimg.com/media/FeAU3ndWAAAN-5K.jpg", "http://pbs.twimg.com/media/FeAU3ndWAAAN-5K.jpg")</f>
        <v>http://pbs.twimg.com/media/FeAU3ndWAAAN-5K.jpg</v>
      </c>
      <c r="I555" t="str">
        <f>HYPERLINK("http://pbs.twimg.com/media/FeAU3nnWQAA8LE4.jpg", "http://pbs.twimg.com/media/FeAU3nnWQAA8LE4.jpg")</f>
        <v>http://pbs.twimg.com/media/FeAU3nnWQAA8LE4.jpg</v>
      </c>
      <c r="J555" t="str">
        <f>HYPERLINK("http://pbs.twimg.com/media/FeAU3nlWQAoyqnS.jpg", "http://pbs.twimg.com/media/FeAU3nlWQAoyqnS.jpg")</f>
        <v>http://pbs.twimg.com/media/FeAU3nlWQAoyqnS.jpg</v>
      </c>
      <c r="L555">
        <v>0</v>
      </c>
      <c r="M555">
        <v>0</v>
      </c>
      <c r="N555">
        <v>1</v>
      </c>
      <c r="O555">
        <v>0</v>
      </c>
    </row>
    <row r="556" spans="1:15" x14ac:dyDescent="0.2">
      <c r="A556" s="1" t="str">
        <f>HYPERLINK("http://www.twitter.com/banuakdenizli/status/1576945871807459329", "1576945871807459329")</f>
        <v>1576945871807459329</v>
      </c>
      <c r="B556" t="s">
        <v>15</v>
      </c>
      <c r="C556" s="2">
        <v>44837.613055555557</v>
      </c>
      <c r="D556">
        <v>0</v>
      </c>
      <c r="E556">
        <v>30</v>
      </c>
      <c r="F556" t="s">
        <v>20</v>
      </c>
      <c r="G556" t="s">
        <v>602</v>
      </c>
      <c r="H556" t="str">
        <f>HYPERLINK("http://pbs.twimg.com/media/FeDcIN-XEAYY8nl.jpg", "http://pbs.twimg.com/media/FeDcIN-XEAYY8nl.jpg")</f>
        <v>http://pbs.twimg.com/media/FeDcIN-XEAYY8nl.jpg</v>
      </c>
      <c r="L556">
        <v>0.82250000000000001</v>
      </c>
      <c r="M556">
        <v>0</v>
      </c>
      <c r="N556">
        <v>0.76900000000000002</v>
      </c>
      <c r="O556">
        <v>0.23100000000000001</v>
      </c>
    </row>
    <row r="557" spans="1:15" x14ac:dyDescent="0.2">
      <c r="A557" s="1" t="str">
        <f>HYPERLINK("http://www.twitter.com/banuakdenizli/status/1576945850953048065", "1576945850953048065")</f>
        <v>1576945850953048065</v>
      </c>
      <c r="B557" t="s">
        <v>15</v>
      </c>
      <c r="C557" s="2">
        <v>44837.612997685188</v>
      </c>
      <c r="D557">
        <v>0</v>
      </c>
      <c r="E557">
        <v>10</v>
      </c>
      <c r="F557" t="s">
        <v>18</v>
      </c>
      <c r="G557" t="s">
        <v>603</v>
      </c>
      <c r="H557" t="str">
        <f>HYPERLINK("http://pbs.twimg.com/media/FeDtki-X0AEVavh.jpg", "http://pbs.twimg.com/media/FeDtki-X0AEVavh.jpg")</f>
        <v>http://pbs.twimg.com/media/FeDtki-X0AEVavh.jpg</v>
      </c>
      <c r="I557" t="str">
        <f>HYPERLINK("http://pbs.twimg.com/media/FeDtknqXoAE3JPE.jpg", "http://pbs.twimg.com/media/FeDtknqXoAE3JPE.jpg")</f>
        <v>http://pbs.twimg.com/media/FeDtknqXoAE3JPE.jpg</v>
      </c>
      <c r="J557" t="str">
        <f>HYPERLINK("http://pbs.twimg.com/media/FeDtknyXwAA3LLE.jpg", "http://pbs.twimg.com/media/FeDtknyXwAA3LLE.jpg")</f>
        <v>http://pbs.twimg.com/media/FeDtknyXwAA3LLE.jpg</v>
      </c>
      <c r="K557" t="str">
        <f>HYPERLINK("http://pbs.twimg.com/media/FeDtkntXkAAjPRu.jpg", "http://pbs.twimg.com/media/FeDtkntXkAAjPRu.jpg")</f>
        <v>http://pbs.twimg.com/media/FeDtkntXkAAjPRu.jpg</v>
      </c>
      <c r="L557">
        <v>0</v>
      </c>
      <c r="M557">
        <v>0</v>
      </c>
      <c r="N557">
        <v>1</v>
      </c>
      <c r="O557">
        <v>0</v>
      </c>
    </row>
    <row r="558" spans="1:15" x14ac:dyDescent="0.2">
      <c r="A558" s="1" t="str">
        <f>HYPERLINK("http://www.twitter.com/banuakdenizli/status/1576945835312435201", "1576945835312435201")</f>
        <v>1576945835312435201</v>
      </c>
      <c r="B558" t="s">
        <v>15</v>
      </c>
      <c r="C558" s="2">
        <v>44837.612962962958</v>
      </c>
      <c r="D558">
        <v>0</v>
      </c>
      <c r="E558">
        <v>15</v>
      </c>
      <c r="F558" t="s">
        <v>18</v>
      </c>
      <c r="G558" t="s">
        <v>604</v>
      </c>
      <c r="H558" t="str">
        <f>HYPERLINK("http://pbs.twimg.com/media/FeFdAMSXkAUo2qM.jpg", "http://pbs.twimg.com/media/FeFdAMSXkAUo2qM.jpg")</f>
        <v>http://pbs.twimg.com/media/FeFdAMSXkAUo2qM.jpg</v>
      </c>
      <c r="L558">
        <v>0.67049999999999998</v>
      </c>
      <c r="M558">
        <v>0</v>
      </c>
      <c r="N558">
        <v>0.66700000000000004</v>
      </c>
      <c r="O558">
        <v>0.33300000000000002</v>
      </c>
    </row>
    <row r="559" spans="1:15" x14ac:dyDescent="0.2">
      <c r="A559" s="1" t="str">
        <f>HYPERLINK("http://www.twitter.com/banuakdenizli/status/1576945810360541186", "1576945810360541186")</f>
        <v>1576945810360541186</v>
      </c>
      <c r="B559" t="s">
        <v>15</v>
      </c>
      <c r="C559" s="2">
        <v>44837.612893518519</v>
      </c>
      <c r="D559">
        <v>0</v>
      </c>
      <c r="E559">
        <v>12</v>
      </c>
      <c r="F559" t="s">
        <v>18</v>
      </c>
      <c r="G559" t="s">
        <v>605</v>
      </c>
      <c r="H559" t="str">
        <f>HYPERLINK("http://pbs.twimg.com/media/FeJt4KbX0AAJ348.jpg", "http://pbs.twimg.com/media/FeJt4KbX0AAJ348.jpg")</f>
        <v>http://pbs.twimg.com/media/FeJt4KbX0AAJ348.jpg</v>
      </c>
      <c r="L559">
        <v>0.42149999999999999</v>
      </c>
      <c r="M559">
        <v>0.16</v>
      </c>
      <c r="N559">
        <v>0.53200000000000003</v>
      </c>
      <c r="O559">
        <v>0.309</v>
      </c>
    </row>
    <row r="560" spans="1:15" x14ac:dyDescent="0.2">
      <c r="A560" s="1" t="str">
        <f>HYPERLINK("http://www.twitter.com/banuakdenizli/status/1576945769952604161", "1576945769952604161")</f>
        <v>1576945769952604161</v>
      </c>
      <c r="B560" t="s">
        <v>15</v>
      </c>
      <c r="C560" s="2">
        <v>44837.61277777778</v>
      </c>
      <c r="D560">
        <v>0</v>
      </c>
      <c r="E560">
        <v>84</v>
      </c>
      <c r="F560" t="s">
        <v>147</v>
      </c>
      <c r="G560" t="s">
        <v>606</v>
      </c>
      <c r="H560" t="str">
        <f>HYPERLINK("http://pbs.twimg.com/media/FdzjUmuXEAAAcaQ.jpg", "http://pbs.twimg.com/media/FdzjUmuXEAAAcaQ.jpg")</f>
        <v>http://pbs.twimg.com/media/FdzjUmuXEAAAcaQ.jpg</v>
      </c>
      <c r="L560">
        <v>0</v>
      </c>
      <c r="M560">
        <v>0</v>
      </c>
      <c r="N560">
        <v>1</v>
      </c>
      <c r="O560">
        <v>0</v>
      </c>
    </row>
    <row r="561" spans="1:15" x14ac:dyDescent="0.2">
      <c r="A561" s="1" t="str">
        <f>HYPERLINK("http://www.twitter.com/banuakdenizli/status/1576945738554421249", "1576945738554421249")</f>
        <v>1576945738554421249</v>
      </c>
      <c r="B561" t="s">
        <v>15</v>
      </c>
      <c r="C561" s="2">
        <v>44837.612685185188</v>
      </c>
      <c r="D561">
        <v>0</v>
      </c>
      <c r="E561">
        <v>32</v>
      </c>
      <c r="F561" t="s">
        <v>30</v>
      </c>
      <c r="G561" t="s">
        <v>607</v>
      </c>
      <c r="H561" t="str">
        <f>HYPERLINK("http://pbs.twimg.com/media/Fd6zJ7IXwAEXLM-.jpg", "http://pbs.twimg.com/media/Fd6zJ7IXwAEXLM-.jpg")</f>
        <v>http://pbs.twimg.com/media/Fd6zJ7IXwAEXLM-.jpg</v>
      </c>
      <c r="I561" t="str">
        <f>HYPERLINK("http://pbs.twimg.com/media/Fd6zJ7IXgAA7c4D.jpg", "http://pbs.twimg.com/media/Fd6zJ7IXgAA7c4D.jpg")</f>
        <v>http://pbs.twimg.com/media/Fd6zJ7IXgAA7c4D.jpg</v>
      </c>
      <c r="L561">
        <v>0</v>
      </c>
      <c r="M561">
        <v>0</v>
      </c>
      <c r="N561">
        <v>1</v>
      </c>
      <c r="O561">
        <v>0</v>
      </c>
    </row>
    <row r="562" spans="1:15" x14ac:dyDescent="0.2">
      <c r="A562" s="1" t="str">
        <f>HYPERLINK("http://www.twitter.com/banuakdenizli/status/1576945682841104385", "1576945682841104385")</f>
        <v>1576945682841104385</v>
      </c>
      <c r="B562" t="s">
        <v>15</v>
      </c>
      <c r="C562" s="2">
        <v>44837.612534722219</v>
      </c>
      <c r="D562">
        <v>0</v>
      </c>
      <c r="E562">
        <v>14</v>
      </c>
      <c r="F562" t="s">
        <v>16</v>
      </c>
      <c r="G562" t="s">
        <v>608</v>
      </c>
      <c r="H562" t="str">
        <f>HYPERLINK("http://pbs.twimg.com/media/Fd-St4oXgAEMyEm.jpg", "http://pbs.twimg.com/media/Fd-St4oXgAEMyEm.jpg")</f>
        <v>http://pbs.twimg.com/media/Fd-St4oXgAEMyEm.jpg</v>
      </c>
      <c r="L562">
        <v>0</v>
      </c>
      <c r="M562">
        <v>0</v>
      </c>
      <c r="N562">
        <v>1</v>
      </c>
      <c r="O562">
        <v>0</v>
      </c>
    </row>
    <row r="563" spans="1:15" x14ac:dyDescent="0.2">
      <c r="A563" s="1" t="str">
        <f>HYPERLINK("http://www.twitter.com/banuakdenizli/status/1576945672737427456", "1576945672737427456")</f>
        <v>1576945672737427456</v>
      </c>
      <c r="B563" t="s">
        <v>15</v>
      </c>
      <c r="C563" s="2">
        <v>44837.612511574072</v>
      </c>
      <c r="D563">
        <v>0</v>
      </c>
      <c r="E563">
        <v>19</v>
      </c>
      <c r="F563" t="s">
        <v>16</v>
      </c>
      <c r="G563" t="s">
        <v>609</v>
      </c>
      <c r="H563" t="str">
        <f>HYPERLINK("http://pbs.twimg.com/media/Fd-S2TuXEAAPdbN.jpg", "http://pbs.twimg.com/media/Fd-S2TuXEAAPdbN.jpg")</f>
        <v>http://pbs.twimg.com/media/Fd-S2TuXEAAPdbN.jpg</v>
      </c>
      <c r="L563">
        <v>0</v>
      </c>
      <c r="M563">
        <v>0</v>
      </c>
      <c r="N563">
        <v>1</v>
      </c>
      <c r="O563">
        <v>0</v>
      </c>
    </row>
    <row r="564" spans="1:15" x14ac:dyDescent="0.2">
      <c r="A564" s="1" t="str">
        <f>HYPERLINK("http://www.twitter.com/banuakdenizli/status/1576945655888547841", "1576945655888547841")</f>
        <v>1576945655888547841</v>
      </c>
      <c r="B564" t="s">
        <v>15</v>
      </c>
      <c r="C564" s="2">
        <v>44837.61246527778</v>
      </c>
      <c r="D564">
        <v>0</v>
      </c>
      <c r="E564">
        <v>41</v>
      </c>
      <c r="F564" t="s">
        <v>20</v>
      </c>
      <c r="G564" t="s">
        <v>610</v>
      </c>
      <c r="L564">
        <v>0</v>
      </c>
      <c r="M564">
        <v>0</v>
      </c>
      <c r="N564">
        <v>1</v>
      </c>
      <c r="O564">
        <v>0</v>
      </c>
    </row>
    <row r="565" spans="1:15" x14ac:dyDescent="0.2">
      <c r="A565" s="1" t="str">
        <f>HYPERLINK("http://www.twitter.com/banuakdenizli/status/1576945650796593157", "1576945650796593157")</f>
        <v>1576945650796593157</v>
      </c>
      <c r="B565" t="s">
        <v>15</v>
      </c>
      <c r="C565" s="2">
        <v>44837.612453703703</v>
      </c>
      <c r="D565">
        <v>0</v>
      </c>
      <c r="E565">
        <v>13</v>
      </c>
      <c r="F565" t="s">
        <v>16</v>
      </c>
      <c r="G565" t="s">
        <v>611</v>
      </c>
      <c r="H565" t="str">
        <f>HYPERLINK("http://pbs.twimg.com/media/Fd_m8RPX0AEqC6a.jpg", "http://pbs.twimg.com/media/Fd_m8RPX0AEqC6a.jpg")</f>
        <v>http://pbs.twimg.com/media/Fd_m8RPX0AEqC6a.jpg</v>
      </c>
      <c r="I565" t="str">
        <f>HYPERLINK("http://pbs.twimg.com/media/Fd_m8RQWYAApflU.jpg", "http://pbs.twimg.com/media/Fd_m8RQWYAApflU.jpg")</f>
        <v>http://pbs.twimg.com/media/Fd_m8RQWYAApflU.jpg</v>
      </c>
      <c r="J565" t="str">
        <f>HYPERLINK("http://pbs.twimg.com/media/Fd_m8RVXoAI_3yq.jpg", "http://pbs.twimg.com/media/Fd_m8RVXoAI_3yq.jpg")</f>
        <v>http://pbs.twimg.com/media/Fd_m8RVXoAI_3yq.jpg</v>
      </c>
      <c r="L565">
        <v>0</v>
      </c>
      <c r="M565">
        <v>0</v>
      </c>
      <c r="N565">
        <v>1</v>
      </c>
      <c r="O565">
        <v>0</v>
      </c>
    </row>
    <row r="566" spans="1:15" x14ac:dyDescent="0.2">
      <c r="A566" s="1" t="str">
        <f>HYPERLINK("http://www.twitter.com/banuakdenizli/status/1576945640407724032", "1576945640407724032")</f>
        <v>1576945640407724032</v>
      </c>
      <c r="B566" t="s">
        <v>15</v>
      </c>
      <c r="C566" s="2">
        <v>44837.61241898148</v>
      </c>
      <c r="D566">
        <v>0</v>
      </c>
      <c r="E566">
        <v>13</v>
      </c>
      <c r="F566" t="s">
        <v>16</v>
      </c>
      <c r="G566" t="s">
        <v>612</v>
      </c>
      <c r="H566" t="str">
        <f>HYPERLINK("http://pbs.twimg.com/media/FeAK49mXoAEd5hx.jpg", "http://pbs.twimg.com/media/FeAK49mXoAEd5hx.jpg")</f>
        <v>http://pbs.twimg.com/media/FeAK49mXoAEd5hx.jpg</v>
      </c>
      <c r="I566" t="str">
        <f>HYPERLINK("http://pbs.twimg.com/media/FeAK49pXoAIiMUV.jpg", "http://pbs.twimg.com/media/FeAK49pXoAIiMUV.jpg")</f>
        <v>http://pbs.twimg.com/media/FeAK49pXoAIiMUV.jpg</v>
      </c>
      <c r="J566" t="str">
        <f>HYPERLINK("http://pbs.twimg.com/media/FeAK49tXEAElDC-.jpg", "http://pbs.twimg.com/media/FeAK49tXEAElDC-.jpg")</f>
        <v>http://pbs.twimg.com/media/FeAK49tXEAElDC-.jpg</v>
      </c>
      <c r="L566">
        <v>0</v>
      </c>
      <c r="M566">
        <v>0</v>
      </c>
      <c r="N566">
        <v>1</v>
      </c>
      <c r="O566">
        <v>0</v>
      </c>
    </row>
    <row r="567" spans="1:15" x14ac:dyDescent="0.2">
      <c r="A567" s="1" t="str">
        <f>HYPERLINK("http://www.twitter.com/banuakdenizli/status/1576945611181391873", "1576945611181391873")</f>
        <v>1576945611181391873</v>
      </c>
      <c r="B567" t="s">
        <v>15</v>
      </c>
      <c r="C567" s="2">
        <v>44837.612337962957</v>
      </c>
      <c r="D567">
        <v>0</v>
      </c>
      <c r="E567">
        <v>16</v>
      </c>
      <c r="F567" t="s">
        <v>16</v>
      </c>
      <c r="G567" t="s">
        <v>613</v>
      </c>
      <c r="H567" t="str">
        <f>HYPERLINK("https://video.twimg.com/ext_tw_video/1576502149399412736/pu/vid/1280x720/6DzHTh6BDSLpM7Is.mp4?tag=12", "https://video.twimg.com/ext_tw_video/1576502149399412736/pu/vid/1280x720/6DzHTh6BDSLpM7Is.mp4?tag=12")</f>
        <v>https://video.twimg.com/ext_tw_video/1576502149399412736/pu/vid/1280x720/6DzHTh6BDSLpM7Is.mp4?tag=12</v>
      </c>
      <c r="L567">
        <v>0</v>
      </c>
      <c r="M567">
        <v>0</v>
      </c>
      <c r="N567">
        <v>1</v>
      </c>
      <c r="O567">
        <v>0</v>
      </c>
    </row>
    <row r="568" spans="1:15" x14ac:dyDescent="0.2">
      <c r="A568" s="1" t="str">
        <f>HYPERLINK("http://www.twitter.com/banuakdenizli/status/1576945600834457602", "1576945600834457602")</f>
        <v>1576945600834457602</v>
      </c>
      <c r="B568" t="s">
        <v>15</v>
      </c>
      <c r="C568" s="2">
        <v>44837.612314814818</v>
      </c>
      <c r="D568">
        <v>0</v>
      </c>
      <c r="E568">
        <v>41</v>
      </c>
      <c r="F568" t="s">
        <v>20</v>
      </c>
      <c r="G568" t="s">
        <v>614</v>
      </c>
      <c r="H568" t="str">
        <f>HYPERLINK("http://pbs.twimg.com/media/FeDXpjoWYAA91RO.jpg", "http://pbs.twimg.com/media/FeDXpjoWYAA91RO.jpg")</f>
        <v>http://pbs.twimg.com/media/FeDXpjoWYAA91RO.jpg</v>
      </c>
      <c r="L568">
        <v>0</v>
      </c>
      <c r="M568">
        <v>0</v>
      </c>
      <c r="N568">
        <v>1</v>
      </c>
      <c r="O568">
        <v>0</v>
      </c>
    </row>
    <row r="569" spans="1:15" x14ac:dyDescent="0.2">
      <c r="A569" s="1" t="str">
        <f>HYPERLINK("http://www.twitter.com/banuakdenizli/status/1576945568320225281", "1576945568320225281")</f>
        <v>1576945568320225281</v>
      </c>
      <c r="B569" t="s">
        <v>15</v>
      </c>
      <c r="C569" s="2">
        <v>44837.612222222233</v>
      </c>
      <c r="D569">
        <v>0</v>
      </c>
      <c r="E569">
        <v>7</v>
      </c>
      <c r="F569" t="s">
        <v>16</v>
      </c>
      <c r="G569" t="s">
        <v>615</v>
      </c>
      <c r="H569" t="str">
        <f>HYPERLINK("http://pbs.twimg.com/media/FeDq4WkXwAINi7p.jpg", "http://pbs.twimg.com/media/FeDq4WkXwAINi7p.jpg")</f>
        <v>http://pbs.twimg.com/media/FeDq4WkXwAINi7p.jpg</v>
      </c>
      <c r="I569" t="str">
        <f>HYPERLINK("http://pbs.twimg.com/media/FeDq4WiXgAEGxAJ.jpg", "http://pbs.twimg.com/media/FeDq4WiXgAEGxAJ.jpg")</f>
        <v>http://pbs.twimg.com/media/FeDq4WiXgAEGxAJ.jpg</v>
      </c>
      <c r="J569" t="str">
        <f>HYPERLINK("http://pbs.twimg.com/media/FeDq4WkXoAE-T1O.jpg", "http://pbs.twimg.com/media/FeDq4WkXoAE-T1O.jpg")</f>
        <v>http://pbs.twimg.com/media/FeDq4WkXoAE-T1O.jpg</v>
      </c>
      <c r="K569" t="str">
        <f>HYPERLINK("http://pbs.twimg.com/media/FeDq4RhXwAEqieZ.jpg", "http://pbs.twimg.com/media/FeDq4RhXwAEqieZ.jpg")</f>
        <v>http://pbs.twimg.com/media/FeDq4RhXwAEqieZ.jpg</v>
      </c>
      <c r="L569">
        <v>0</v>
      </c>
      <c r="M569">
        <v>0</v>
      </c>
      <c r="N569">
        <v>1</v>
      </c>
      <c r="O569">
        <v>0</v>
      </c>
    </row>
    <row r="570" spans="1:15" x14ac:dyDescent="0.2">
      <c r="A570" s="1" t="str">
        <f>HYPERLINK("http://www.twitter.com/banuakdenizli/status/1576926114135408640", "1576926114135408640")</f>
        <v>1576926114135408640</v>
      </c>
      <c r="B570" t="s">
        <v>15</v>
      </c>
      <c r="C570" s="2">
        <v>44837.558541666673</v>
      </c>
      <c r="D570">
        <v>0</v>
      </c>
      <c r="E570">
        <v>30</v>
      </c>
      <c r="F570" t="s">
        <v>16</v>
      </c>
      <c r="G570" t="s">
        <v>616</v>
      </c>
      <c r="H570" t="str">
        <f>HYPERLINK("http://pbs.twimg.com/media/FeFc4V6XoAEk8kc.jpg", "http://pbs.twimg.com/media/FeFc4V6XoAEk8kc.jpg")</f>
        <v>http://pbs.twimg.com/media/FeFc4V6XoAEk8kc.jpg</v>
      </c>
      <c r="L570">
        <v>0</v>
      </c>
      <c r="M570">
        <v>0</v>
      </c>
      <c r="N570">
        <v>1</v>
      </c>
      <c r="O570">
        <v>0</v>
      </c>
    </row>
    <row r="571" spans="1:15" x14ac:dyDescent="0.2">
      <c r="A571" s="1" t="str">
        <f>HYPERLINK("http://www.twitter.com/banuakdenizli/status/1576925919100358656", "1576925919100358656")</f>
        <v>1576925919100358656</v>
      </c>
      <c r="B571" t="s">
        <v>15</v>
      </c>
      <c r="C571" s="2">
        <v>44837.557997685188</v>
      </c>
      <c r="D571">
        <v>0</v>
      </c>
      <c r="E571">
        <v>32</v>
      </c>
      <c r="F571" t="s">
        <v>23</v>
      </c>
      <c r="G571" t="s">
        <v>617</v>
      </c>
      <c r="L571">
        <v>0</v>
      </c>
      <c r="M571">
        <v>0</v>
      </c>
      <c r="N571">
        <v>1</v>
      </c>
      <c r="O57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2023-03-27T13:20:20Z</dcterms:created>
  <dcterms:modified xsi:type="dcterms:W3CDTF">2023-04-03T11:41:18Z</dcterms:modified>
</cp:coreProperties>
</file>