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FE3D3DCE-301F-AA44-89AB-438824B0BBE2}"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1" i="1" l="1"/>
  <c r="A551" i="1"/>
  <c r="H550" i="1"/>
  <c r="A550" i="1"/>
  <c r="H549" i="1"/>
  <c r="A549" i="1"/>
  <c r="H548" i="1"/>
  <c r="A548" i="1"/>
  <c r="A547" i="1"/>
  <c r="A546" i="1"/>
  <c r="A545" i="1"/>
  <c r="H544" i="1"/>
  <c r="A544" i="1"/>
  <c r="H543" i="1"/>
  <c r="A543" i="1"/>
  <c r="K542" i="1"/>
  <c r="J542" i="1"/>
  <c r="I542" i="1"/>
  <c r="H542" i="1"/>
  <c r="A542" i="1"/>
  <c r="H541" i="1"/>
  <c r="A541" i="1"/>
  <c r="H540" i="1"/>
  <c r="A540" i="1"/>
  <c r="A539" i="1"/>
  <c r="H538" i="1"/>
  <c r="A538" i="1"/>
  <c r="H537" i="1"/>
  <c r="A537" i="1"/>
  <c r="H536" i="1"/>
  <c r="A536" i="1"/>
  <c r="H535" i="1"/>
  <c r="A535" i="1"/>
  <c r="A534" i="1"/>
  <c r="A533" i="1"/>
  <c r="I532" i="1"/>
  <c r="H532" i="1"/>
  <c r="A532" i="1"/>
  <c r="A531" i="1"/>
  <c r="A530" i="1"/>
  <c r="H529" i="1"/>
  <c r="A529" i="1"/>
  <c r="A528" i="1"/>
  <c r="H527" i="1"/>
  <c r="A527" i="1"/>
  <c r="A526" i="1"/>
  <c r="A525" i="1"/>
  <c r="H524" i="1"/>
  <c r="A524" i="1"/>
  <c r="H523" i="1"/>
  <c r="A523" i="1"/>
  <c r="K522" i="1"/>
  <c r="J522" i="1"/>
  <c r="I522" i="1"/>
  <c r="H522" i="1"/>
  <c r="A522" i="1"/>
  <c r="H521" i="1"/>
  <c r="A521" i="1"/>
  <c r="H520" i="1"/>
  <c r="A520" i="1"/>
  <c r="H519" i="1"/>
  <c r="A519" i="1"/>
  <c r="A518" i="1"/>
  <c r="A517" i="1"/>
  <c r="I516" i="1"/>
  <c r="H516" i="1"/>
  <c r="A516" i="1"/>
  <c r="I515" i="1"/>
  <c r="H515" i="1"/>
  <c r="A515" i="1"/>
  <c r="A514" i="1"/>
  <c r="H513" i="1"/>
  <c r="A513" i="1"/>
  <c r="H512" i="1"/>
  <c r="A512" i="1"/>
  <c r="I511" i="1"/>
  <c r="H511" i="1"/>
  <c r="A511" i="1"/>
  <c r="K510" i="1"/>
  <c r="J510" i="1"/>
  <c r="I510" i="1"/>
  <c r="H510" i="1"/>
  <c r="A510" i="1"/>
  <c r="A509" i="1"/>
  <c r="A508" i="1"/>
  <c r="A507" i="1"/>
  <c r="H506" i="1"/>
  <c r="A506" i="1"/>
  <c r="A505" i="1"/>
  <c r="J504" i="1"/>
  <c r="I504" i="1"/>
  <c r="H504" i="1"/>
  <c r="A504" i="1"/>
  <c r="A503" i="1"/>
  <c r="H502" i="1"/>
  <c r="A502" i="1"/>
  <c r="H501" i="1"/>
  <c r="A501" i="1"/>
  <c r="A500" i="1"/>
  <c r="H499" i="1"/>
  <c r="A499" i="1"/>
  <c r="H498" i="1"/>
  <c r="A498" i="1"/>
  <c r="I497" i="1"/>
  <c r="H497" i="1"/>
  <c r="A497" i="1"/>
  <c r="H496" i="1"/>
  <c r="A496" i="1"/>
  <c r="H495" i="1"/>
  <c r="A495" i="1"/>
  <c r="H494" i="1"/>
  <c r="A494" i="1"/>
  <c r="H493" i="1"/>
  <c r="A493" i="1"/>
  <c r="H492" i="1"/>
  <c r="A492" i="1"/>
  <c r="K491" i="1"/>
  <c r="J491" i="1"/>
  <c r="I491" i="1"/>
  <c r="H491" i="1"/>
  <c r="A491" i="1"/>
  <c r="I490" i="1"/>
  <c r="H490" i="1"/>
  <c r="A490" i="1"/>
  <c r="H489" i="1"/>
  <c r="A489" i="1"/>
  <c r="H488" i="1"/>
  <c r="A488" i="1"/>
  <c r="H487" i="1"/>
  <c r="A487" i="1"/>
  <c r="J486" i="1"/>
  <c r="I486" i="1"/>
  <c r="H486" i="1"/>
  <c r="A486" i="1"/>
  <c r="H485" i="1"/>
  <c r="A485" i="1"/>
  <c r="H484" i="1"/>
  <c r="A484" i="1"/>
  <c r="A483" i="1"/>
  <c r="A482" i="1"/>
  <c r="H481" i="1"/>
  <c r="A481" i="1"/>
  <c r="A480" i="1"/>
  <c r="A479" i="1"/>
  <c r="H478" i="1"/>
  <c r="A478" i="1"/>
  <c r="H477" i="1"/>
  <c r="A477" i="1"/>
  <c r="H476" i="1"/>
  <c r="A476" i="1"/>
  <c r="K475" i="1"/>
  <c r="J475" i="1"/>
  <c r="I475" i="1"/>
  <c r="H475" i="1"/>
  <c r="A475" i="1"/>
  <c r="A474" i="1"/>
  <c r="A473" i="1"/>
  <c r="H472" i="1"/>
  <c r="A472" i="1"/>
  <c r="A471" i="1"/>
  <c r="H470" i="1"/>
  <c r="A470" i="1"/>
  <c r="H469" i="1"/>
  <c r="A469" i="1"/>
  <c r="H468" i="1"/>
  <c r="A468" i="1"/>
  <c r="A467" i="1"/>
  <c r="K466" i="1"/>
  <c r="J466" i="1"/>
  <c r="I466" i="1"/>
  <c r="H466" i="1"/>
  <c r="A466" i="1"/>
  <c r="H465" i="1"/>
  <c r="A465" i="1"/>
  <c r="H464" i="1"/>
  <c r="A464" i="1"/>
  <c r="H463" i="1"/>
  <c r="A463" i="1"/>
  <c r="A462" i="1"/>
  <c r="J461" i="1"/>
  <c r="I461" i="1"/>
  <c r="H461" i="1"/>
  <c r="A461" i="1"/>
  <c r="I460" i="1"/>
  <c r="H460" i="1"/>
  <c r="A460" i="1"/>
  <c r="H459" i="1"/>
  <c r="A459" i="1"/>
  <c r="H458" i="1"/>
  <c r="A458" i="1"/>
  <c r="H457" i="1"/>
  <c r="A457" i="1"/>
  <c r="I456" i="1"/>
  <c r="H456" i="1"/>
  <c r="A456" i="1"/>
  <c r="H455" i="1"/>
  <c r="A455" i="1"/>
  <c r="K454" i="1"/>
  <c r="J454" i="1"/>
  <c r="I454" i="1"/>
  <c r="H454" i="1"/>
  <c r="A454" i="1"/>
  <c r="K453" i="1"/>
  <c r="J453" i="1"/>
  <c r="I453" i="1"/>
  <c r="H453" i="1"/>
  <c r="A453" i="1"/>
  <c r="H452" i="1"/>
  <c r="A452" i="1"/>
  <c r="A451" i="1"/>
  <c r="A450" i="1"/>
  <c r="H449" i="1"/>
  <c r="A449" i="1"/>
  <c r="H448" i="1"/>
  <c r="A448" i="1"/>
  <c r="H447" i="1"/>
  <c r="A447" i="1"/>
  <c r="H446" i="1"/>
  <c r="A446" i="1"/>
  <c r="A445" i="1"/>
  <c r="H444" i="1"/>
  <c r="A444" i="1"/>
  <c r="H443" i="1"/>
  <c r="A443" i="1"/>
  <c r="H442" i="1"/>
  <c r="A442" i="1"/>
  <c r="K441" i="1"/>
  <c r="J441" i="1"/>
  <c r="I441" i="1"/>
  <c r="H441" i="1"/>
  <c r="A441" i="1"/>
  <c r="A440" i="1"/>
  <c r="A439" i="1"/>
  <c r="A438" i="1"/>
  <c r="A437" i="1"/>
  <c r="H436" i="1"/>
  <c r="A436" i="1"/>
  <c r="H435" i="1"/>
  <c r="A435" i="1"/>
  <c r="A434" i="1"/>
  <c r="A433" i="1"/>
  <c r="H432" i="1"/>
  <c r="A432" i="1"/>
  <c r="H431" i="1"/>
  <c r="A431" i="1"/>
  <c r="H430" i="1"/>
  <c r="A430" i="1"/>
  <c r="H429" i="1"/>
  <c r="A429" i="1"/>
  <c r="H428" i="1"/>
  <c r="A428" i="1"/>
  <c r="H427" i="1"/>
  <c r="A427" i="1"/>
  <c r="J426" i="1"/>
  <c r="I426" i="1"/>
  <c r="H426" i="1"/>
  <c r="A426" i="1"/>
  <c r="J425" i="1"/>
  <c r="I425" i="1"/>
  <c r="H425" i="1"/>
  <c r="A425" i="1"/>
  <c r="K424" i="1"/>
  <c r="J424" i="1"/>
  <c r="I424" i="1"/>
  <c r="H424" i="1"/>
  <c r="A424" i="1"/>
  <c r="K423" i="1"/>
  <c r="J423" i="1"/>
  <c r="I423" i="1"/>
  <c r="H423" i="1"/>
  <c r="A423" i="1"/>
  <c r="A422" i="1"/>
  <c r="A421" i="1"/>
  <c r="K420" i="1"/>
  <c r="J420" i="1"/>
  <c r="I420" i="1"/>
  <c r="H420" i="1"/>
  <c r="A420" i="1"/>
  <c r="H419" i="1"/>
  <c r="A419" i="1"/>
  <c r="I418" i="1"/>
  <c r="H418" i="1"/>
  <c r="A418" i="1"/>
  <c r="I417" i="1"/>
  <c r="H417" i="1"/>
  <c r="A417" i="1"/>
  <c r="H416" i="1"/>
  <c r="A416" i="1"/>
  <c r="H415" i="1"/>
  <c r="A415" i="1"/>
  <c r="H414" i="1"/>
  <c r="A414" i="1"/>
  <c r="H413" i="1"/>
  <c r="A413" i="1"/>
  <c r="H412" i="1"/>
  <c r="A412" i="1"/>
  <c r="H411" i="1"/>
  <c r="A411" i="1"/>
  <c r="H410" i="1"/>
  <c r="A410" i="1"/>
  <c r="H409" i="1"/>
  <c r="A409" i="1"/>
  <c r="A408" i="1"/>
  <c r="H407" i="1"/>
  <c r="A407" i="1"/>
  <c r="H406" i="1"/>
  <c r="A406" i="1"/>
  <c r="A405" i="1"/>
  <c r="I404" i="1"/>
  <c r="H404" i="1"/>
  <c r="A404" i="1"/>
  <c r="H403" i="1"/>
  <c r="A403" i="1"/>
  <c r="A402" i="1"/>
  <c r="H401" i="1"/>
  <c r="A401" i="1"/>
  <c r="H400" i="1"/>
  <c r="A400" i="1"/>
  <c r="A399" i="1"/>
  <c r="H398" i="1"/>
  <c r="A398" i="1"/>
  <c r="I397" i="1"/>
  <c r="H397" i="1"/>
  <c r="A397" i="1"/>
  <c r="A396" i="1"/>
  <c r="H395" i="1"/>
  <c r="A395" i="1"/>
  <c r="K394" i="1"/>
  <c r="J394" i="1"/>
  <c r="I394" i="1"/>
  <c r="H394" i="1"/>
  <c r="A394" i="1"/>
  <c r="H393" i="1"/>
  <c r="A393" i="1"/>
  <c r="H392" i="1"/>
  <c r="A392" i="1"/>
  <c r="H391" i="1"/>
  <c r="A391" i="1"/>
  <c r="A390" i="1"/>
  <c r="A389" i="1"/>
  <c r="H388" i="1"/>
  <c r="A388" i="1"/>
  <c r="H387" i="1"/>
  <c r="A387" i="1"/>
  <c r="H386" i="1"/>
  <c r="A386" i="1"/>
  <c r="H385" i="1"/>
  <c r="A385" i="1"/>
  <c r="H384" i="1"/>
  <c r="A384" i="1"/>
  <c r="H383" i="1"/>
  <c r="A383" i="1"/>
  <c r="H382" i="1"/>
  <c r="A382" i="1"/>
  <c r="H381" i="1"/>
  <c r="A381" i="1"/>
  <c r="H380" i="1"/>
  <c r="A380" i="1"/>
  <c r="A379" i="1"/>
  <c r="H378" i="1"/>
  <c r="A378" i="1"/>
  <c r="J377" i="1"/>
  <c r="I377" i="1"/>
  <c r="H377" i="1"/>
  <c r="A377" i="1"/>
  <c r="H376" i="1"/>
  <c r="A376" i="1"/>
  <c r="H375" i="1"/>
  <c r="A375" i="1"/>
  <c r="K374" i="1"/>
  <c r="J374" i="1"/>
  <c r="I374" i="1"/>
  <c r="H374" i="1"/>
  <c r="A374" i="1"/>
  <c r="A373" i="1"/>
  <c r="A372" i="1"/>
  <c r="A371" i="1"/>
  <c r="A370" i="1"/>
  <c r="H369" i="1"/>
  <c r="A369" i="1"/>
  <c r="H368" i="1"/>
  <c r="A368" i="1"/>
  <c r="H367" i="1"/>
  <c r="A367" i="1"/>
  <c r="A366" i="1"/>
  <c r="H365" i="1"/>
  <c r="A365" i="1"/>
  <c r="H364" i="1"/>
  <c r="A364" i="1"/>
  <c r="K363" i="1"/>
  <c r="J363" i="1"/>
  <c r="I363" i="1"/>
  <c r="H363" i="1"/>
  <c r="A363" i="1"/>
  <c r="K362" i="1"/>
  <c r="J362" i="1"/>
  <c r="I362" i="1"/>
  <c r="H362" i="1"/>
  <c r="A362" i="1"/>
  <c r="H361" i="1"/>
  <c r="A361" i="1"/>
  <c r="H360" i="1"/>
  <c r="A360" i="1"/>
  <c r="H359" i="1"/>
  <c r="A359" i="1"/>
  <c r="A358" i="1"/>
  <c r="A357" i="1"/>
  <c r="H356" i="1"/>
  <c r="A356" i="1"/>
  <c r="A355" i="1"/>
  <c r="A354" i="1"/>
  <c r="H353" i="1"/>
  <c r="A353" i="1"/>
  <c r="A352" i="1"/>
  <c r="H351" i="1"/>
  <c r="A351" i="1"/>
  <c r="K350" i="1"/>
  <c r="J350" i="1"/>
  <c r="I350" i="1"/>
  <c r="H350" i="1"/>
  <c r="A350" i="1"/>
  <c r="A349" i="1"/>
  <c r="A348" i="1"/>
  <c r="A347" i="1"/>
  <c r="H346" i="1"/>
  <c r="A346" i="1"/>
  <c r="A345" i="1"/>
  <c r="A344" i="1"/>
  <c r="H343" i="1"/>
  <c r="A343" i="1"/>
  <c r="H342" i="1"/>
  <c r="A342" i="1"/>
  <c r="H341" i="1"/>
  <c r="A341" i="1"/>
  <c r="A340" i="1"/>
  <c r="A339" i="1"/>
  <c r="A338" i="1"/>
  <c r="H337" i="1"/>
  <c r="A337" i="1"/>
  <c r="H336" i="1"/>
  <c r="A336" i="1"/>
  <c r="A335" i="1"/>
  <c r="H334" i="1"/>
  <c r="A334" i="1"/>
  <c r="H333" i="1"/>
  <c r="A333" i="1"/>
  <c r="H332" i="1"/>
  <c r="A332" i="1"/>
  <c r="H331" i="1"/>
  <c r="A331" i="1"/>
  <c r="H330" i="1"/>
  <c r="A330" i="1"/>
  <c r="A329" i="1"/>
  <c r="H328" i="1"/>
  <c r="A328" i="1"/>
  <c r="J327" i="1"/>
  <c r="I327" i="1"/>
  <c r="H327" i="1"/>
  <c r="A327" i="1"/>
  <c r="H326" i="1"/>
  <c r="A326" i="1"/>
  <c r="H325" i="1"/>
  <c r="A325" i="1"/>
  <c r="A324" i="1"/>
  <c r="J323" i="1"/>
  <c r="I323" i="1"/>
  <c r="H323" i="1"/>
  <c r="A323" i="1"/>
  <c r="A322" i="1"/>
  <c r="H321" i="1"/>
  <c r="A321" i="1"/>
  <c r="H320" i="1"/>
  <c r="A320" i="1"/>
  <c r="A319" i="1"/>
  <c r="A318" i="1"/>
  <c r="H317" i="1"/>
  <c r="A317" i="1"/>
  <c r="A316" i="1"/>
  <c r="A315" i="1"/>
  <c r="A314" i="1"/>
  <c r="H313" i="1"/>
  <c r="A313" i="1"/>
  <c r="H312" i="1"/>
  <c r="A312" i="1"/>
  <c r="H311" i="1"/>
  <c r="A311" i="1"/>
  <c r="H310" i="1"/>
  <c r="A310" i="1"/>
  <c r="J309" i="1"/>
  <c r="I309" i="1"/>
  <c r="H309" i="1"/>
  <c r="A309" i="1"/>
  <c r="A308" i="1"/>
  <c r="H307" i="1"/>
  <c r="A307" i="1"/>
  <c r="H306" i="1"/>
  <c r="A306" i="1"/>
  <c r="H305" i="1"/>
  <c r="A305" i="1"/>
  <c r="A304" i="1"/>
  <c r="H303" i="1"/>
  <c r="A303" i="1"/>
  <c r="H302" i="1"/>
  <c r="A302" i="1"/>
  <c r="H301" i="1"/>
  <c r="A301" i="1"/>
  <c r="H300" i="1"/>
  <c r="A300" i="1"/>
  <c r="H299" i="1"/>
  <c r="A299" i="1"/>
  <c r="J298" i="1"/>
  <c r="I298" i="1"/>
  <c r="H298" i="1"/>
  <c r="A298" i="1"/>
  <c r="K297" i="1"/>
  <c r="J297" i="1"/>
  <c r="I297" i="1"/>
  <c r="H297" i="1"/>
  <c r="A297" i="1"/>
  <c r="I296" i="1"/>
  <c r="H296" i="1"/>
  <c r="A296" i="1"/>
  <c r="H295" i="1"/>
  <c r="A295" i="1"/>
  <c r="H294" i="1"/>
  <c r="A294" i="1"/>
  <c r="A293" i="1"/>
  <c r="H292" i="1"/>
  <c r="A292" i="1"/>
  <c r="H291" i="1"/>
  <c r="A291" i="1"/>
  <c r="A290" i="1"/>
  <c r="H289" i="1"/>
  <c r="A289" i="1"/>
  <c r="H288" i="1"/>
  <c r="A288" i="1"/>
  <c r="H287" i="1"/>
  <c r="A287" i="1"/>
  <c r="A286" i="1"/>
  <c r="A285" i="1"/>
  <c r="H284" i="1"/>
  <c r="A284" i="1"/>
  <c r="H283" i="1"/>
  <c r="A283" i="1"/>
  <c r="H282" i="1"/>
  <c r="A282" i="1"/>
  <c r="H281" i="1"/>
  <c r="A281" i="1"/>
  <c r="H280" i="1"/>
  <c r="A280" i="1"/>
  <c r="H279" i="1"/>
  <c r="A279" i="1"/>
  <c r="H278" i="1"/>
  <c r="A278" i="1"/>
  <c r="A277" i="1"/>
  <c r="H276" i="1"/>
  <c r="A276" i="1"/>
  <c r="H275" i="1"/>
  <c r="A275" i="1"/>
  <c r="H274" i="1"/>
  <c r="A274" i="1"/>
  <c r="H273" i="1"/>
  <c r="A273" i="1"/>
  <c r="A272" i="1"/>
  <c r="A271" i="1"/>
  <c r="J270" i="1"/>
  <c r="I270" i="1"/>
  <c r="H270" i="1"/>
  <c r="A270" i="1"/>
  <c r="H269" i="1"/>
  <c r="A269" i="1"/>
  <c r="H268" i="1"/>
  <c r="A268" i="1"/>
  <c r="J267" i="1"/>
  <c r="I267" i="1"/>
  <c r="H267" i="1"/>
  <c r="A267" i="1"/>
  <c r="H266" i="1"/>
  <c r="A266" i="1"/>
  <c r="H265" i="1"/>
  <c r="A265" i="1"/>
  <c r="A264" i="1"/>
  <c r="H263" i="1"/>
  <c r="A263" i="1"/>
  <c r="H262" i="1"/>
  <c r="A262" i="1"/>
  <c r="A261" i="1"/>
  <c r="H260" i="1"/>
  <c r="A260" i="1"/>
  <c r="H259" i="1"/>
  <c r="A259" i="1"/>
  <c r="H258" i="1"/>
  <c r="A258" i="1"/>
  <c r="A257" i="1"/>
  <c r="H256" i="1"/>
  <c r="A256" i="1"/>
  <c r="I255" i="1"/>
  <c r="H255" i="1"/>
  <c r="A255" i="1"/>
  <c r="H254" i="1"/>
  <c r="A254" i="1"/>
  <c r="H253" i="1"/>
  <c r="A253" i="1"/>
  <c r="H252" i="1"/>
  <c r="A252" i="1"/>
  <c r="A251" i="1"/>
  <c r="H250" i="1"/>
  <c r="A250" i="1"/>
  <c r="K249" i="1"/>
  <c r="J249" i="1"/>
  <c r="I249" i="1"/>
  <c r="H249" i="1"/>
  <c r="A249" i="1"/>
  <c r="J248" i="1"/>
  <c r="I248" i="1"/>
  <c r="H248" i="1"/>
  <c r="A248" i="1"/>
  <c r="K247" i="1"/>
  <c r="J247" i="1"/>
  <c r="I247" i="1"/>
  <c r="H247" i="1"/>
  <c r="A247" i="1"/>
  <c r="H246" i="1"/>
  <c r="A246" i="1"/>
  <c r="H245" i="1"/>
  <c r="A245" i="1"/>
  <c r="H244" i="1"/>
  <c r="A244" i="1"/>
  <c r="K243" i="1"/>
  <c r="J243" i="1"/>
  <c r="I243" i="1"/>
  <c r="H243" i="1"/>
  <c r="A243" i="1"/>
  <c r="H242" i="1"/>
  <c r="A242" i="1"/>
  <c r="H241" i="1"/>
  <c r="A241" i="1"/>
  <c r="A240" i="1"/>
  <c r="H239" i="1"/>
  <c r="A239" i="1"/>
  <c r="H238" i="1"/>
  <c r="A238" i="1"/>
  <c r="A237" i="1"/>
  <c r="J236" i="1"/>
  <c r="I236" i="1"/>
  <c r="H236" i="1"/>
  <c r="A236" i="1"/>
  <c r="K235" i="1"/>
  <c r="J235" i="1"/>
  <c r="I235" i="1"/>
  <c r="H235" i="1"/>
  <c r="A235" i="1"/>
  <c r="H234" i="1"/>
  <c r="A234" i="1"/>
  <c r="A233" i="1"/>
  <c r="H232" i="1"/>
  <c r="A232" i="1"/>
  <c r="H231" i="1"/>
  <c r="A231" i="1"/>
  <c r="H230" i="1"/>
  <c r="A230" i="1"/>
  <c r="H229" i="1"/>
  <c r="A229" i="1"/>
  <c r="H228" i="1"/>
  <c r="A228" i="1"/>
  <c r="H227" i="1"/>
  <c r="A227" i="1"/>
  <c r="H226" i="1"/>
  <c r="A226" i="1"/>
  <c r="H225" i="1"/>
  <c r="A225" i="1"/>
  <c r="H224" i="1"/>
  <c r="A224" i="1"/>
  <c r="H223" i="1"/>
  <c r="A223" i="1"/>
  <c r="J222" i="1"/>
  <c r="I222" i="1"/>
  <c r="H222" i="1"/>
  <c r="A222" i="1"/>
  <c r="K221" i="1"/>
  <c r="J221" i="1"/>
  <c r="I221" i="1"/>
  <c r="H221" i="1"/>
  <c r="A221" i="1"/>
  <c r="H220" i="1"/>
  <c r="A220" i="1"/>
  <c r="H219" i="1"/>
  <c r="A219" i="1"/>
  <c r="H218" i="1"/>
  <c r="A218" i="1"/>
  <c r="K217" i="1"/>
  <c r="J217" i="1"/>
  <c r="I217" i="1"/>
  <c r="H217" i="1"/>
  <c r="A217" i="1"/>
  <c r="H216" i="1"/>
  <c r="A216" i="1"/>
  <c r="H215" i="1"/>
  <c r="A215" i="1"/>
  <c r="A214" i="1"/>
  <c r="H213" i="1"/>
  <c r="A213" i="1"/>
  <c r="K212" i="1"/>
  <c r="J212" i="1"/>
  <c r="I212" i="1"/>
  <c r="H212" i="1"/>
  <c r="A212" i="1"/>
  <c r="H211" i="1"/>
  <c r="A211" i="1"/>
  <c r="K210" i="1"/>
  <c r="J210" i="1"/>
  <c r="I210" i="1"/>
  <c r="H210" i="1"/>
  <c r="A210" i="1"/>
  <c r="A209" i="1"/>
  <c r="H208" i="1"/>
  <c r="A208" i="1"/>
  <c r="H207" i="1"/>
  <c r="A207" i="1"/>
  <c r="H206" i="1"/>
  <c r="A206" i="1"/>
  <c r="H205" i="1"/>
  <c r="A205" i="1"/>
  <c r="H204" i="1"/>
  <c r="A204" i="1"/>
  <c r="I203" i="1"/>
  <c r="H203" i="1"/>
  <c r="A203" i="1"/>
  <c r="J202" i="1"/>
  <c r="I202" i="1"/>
  <c r="H202" i="1"/>
  <c r="A202" i="1"/>
  <c r="H201" i="1"/>
  <c r="A201" i="1"/>
  <c r="K200" i="1"/>
  <c r="J200" i="1"/>
  <c r="I200" i="1"/>
  <c r="H200" i="1"/>
  <c r="A200" i="1"/>
  <c r="H199" i="1"/>
  <c r="A199" i="1"/>
  <c r="H198" i="1"/>
  <c r="A198" i="1"/>
  <c r="H197" i="1"/>
  <c r="A197" i="1"/>
  <c r="J196" i="1"/>
  <c r="I196" i="1"/>
  <c r="H196" i="1"/>
  <c r="A196" i="1"/>
  <c r="I195" i="1"/>
  <c r="H195" i="1"/>
  <c r="A195" i="1"/>
  <c r="H194" i="1"/>
  <c r="A194" i="1"/>
  <c r="H193" i="1"/>
  <c r="A193" i="1"/>
  <c r="H192" i="1"/>
  <c r="A192" i="1"/>
  <c r="H191" i="1"/>
  <c r="A191" i="1"/>
  <c r="A190" i="1"/>
  <c r="H189" i="1"/>
  <c r="A189" i="1"/>
  <c r="A188" i="1"/>
  <c r="A187" i="1"/>
  <c r="A186" i="1"/>
  <c r="H185" i="1"/>
  <c r="A185" i="1"/>
  <c r="H184" i="1"/>
  <c r="A184" i="1"/>
  <c r="H183" i="1"/>
  <c r="A183" i="1"/>
  <c r="H182" i="1"/>
  <c r="A182" i="1"/>
  <c r="H181" i="1"/>
  <c r="A181" i="1"/>
  <c r="K180" i="1"/>
  <c r="J180" i="1"/>
  <c r="I180" i="1"/>
  <c r="H180" i="1"/>
  <c r="A180" i="1"/>
  <c r="H179" i="1"/>
  <c r="A179" i="1"/>
  <c r="H178" i="1"/>
  <c r="A178" i="1"/>
  <c r="H177" i="1"/>
  <c r="A177" i="1"/>
  <c r="H176" i="1"/>
  <c r="A176" i="1"/>
  <c r="A175" i="1"/>
  <c r="H174" i="1"/>
  <c r="A174" i="1"/>
  <c r="H173" i="1"/>
  <c r="A173" i="1"/>
  <c r="A172" i="1"/>
  <c r="H171" i="1"/>
  <c r="A171" i="1"/>
  <c r="H170" i="1"/>
  <c r="A170" i="1"/>
  <c r="H169" i="1"/>
  <c r="A169" i="1"/>
  <c r="A168" i="1"/>
  <c r="H167" i="1"/>
  <c r="A167" i="1"/>
  <c r="A166" i="1"/>
  <c r="H165" i="1"/>
  <c r="A165" i="1"/>
  <c r="H164" i="1"/>
  <c r="A164" i="1"/>
  <c r="K163" i="1"/>
  <c r="J163" i="1"/>
  <c r="I163" i="1"/>
  <c r="H163" i="1"/>
  <c r="A163" i="1"/>
  <c r="A162" i="1"/>
  <c r="H161" i="1"/>
  <c r="A161" i="1"/>
  <c r="J160" i="1"/>
  <c r="I160" i="1"/>
  <c r="H160" i="1"/>
  <c r="A160" i="1"/>
  <c r="H159" i="1"/>
  <c r="A159" i="1"/>
  <c r="H158" i="1"/>
  <c r="A158" i="1"/>
  <c r="H157" i="1"/>
  <c r="A157" i="1"/>
  <c r="J156" i="1"/>
  <c r="I156" i="1"/>
  <c r="H156" i="1"/>
  <c r="A156" i="1"/>
  <c r="H155" i="1"/>
  <c r="A155" i="1"/>
  <c r="H154" i="1"/>
  <c r="A154" i="1"/>
  <c r="H153" i="1"/>
  <c r="A153" i="1"/>
  <c r="H152" i="1"/>
  <c r="A152" i="1"/>
  <c r="A151" i="1"/>
  <c r="H150" i="1"/>
  <c r="A150" i="1"/>
  <c r="A149" i="1"/>
  <c r="A148" i="1"/>
  <c r="J147" i="1"/>
  <c r="I147" i="1"/>
  <c r="H147" i="1"/>
  <c r="A147" i="1"/>
  <c r="A146" i="1"/>
  <c r="H145" i="1"/>
  <c r="A145" i="1"/>
  <c r="J144" i="1"/>
  <c r="I144" i="1"/>
  <c r="H144" i="1"/>
  <c r="A144" i="1"/>
  <c r="H143" i="1"/>
  <c r="A143" i="1"/>
  <c r="H142" i="1"/>
  <c r="A142" i="1"/>
  <c r="H141" i="1"/>
  <c r="A141" i="1"/>
  <c r="H140" i="1"/>
  <c r="A140" i="1"/>
  <c r="H139" i="1"/>
  <c r="A139" i="1"/>
  <c r="A138" i="1"/>
  <c r="H137" i="1"/>
  <c r="A137" i="1"/>
  <c r="H136" i="1"/>
  <c r="A136" i="1"/>
  <c r="H135" i="1"/>
  <c r="A135" i="1"/>
  <c r="H134" i="1"/>
  <c r="A134" i="1"/>
  <c r="H133" i="1"/>
  <c r="A133" i="1"/>
  <c r="H132" i="1"/>
  <c r="A132" i="1"/>
  <c r="A131" i="1"/>
  <c r="A130" i="1"/>
  <c r="H129" i="1"/>
  <c r="A129" i="1"/>
  <c r="H128" i="1"/>
  <c r="A128" i="1"/>
  <c r="A127" i="1"/>
  <c r="H126" i="1"/>
  <c r="A126" i="1"/>
  <c r="J125" i="1"/>
  <c r="I125" i="1"/>
  <c r="H125" i="1"/>
  <c r="A125" i="1"/>
  <c r="H124" i="1"/>
  <c r="A124" i="1"/>
  <c r="H123" i="1"/>
  <c r="A123" i="1"/>
  <c r="A122" i="1"/>
  <c r="A121" i="1"/>
  <c r="A120" i="1"/>
  <c r="H119" i="1"/>
  <c r="A119" i="1"/>
  <c r="A118" i="1"/>
  <c r="H117" i="1"/>
  <c r="A117" i="1"/>
  <c r="H116" i="1"/>
  <c r="A116" i="1"/>
  <c r="A115" i="1"/>
  <c r="H114" i="1"/>
  <c r="A114" i="1"/>
  <c r="A113" i="1"/>
  <c r="H112" i="1"/>
  <c r="A112" i="1"/>
  <c r="H111" i="1"/>
  <c r="A111" i="1"/>
  <c r="H110" i="1"/>
  <c r="A110" i="1"/>
  <c r="H109" i="1"/>
  <c r="A109" i="1"/>
  <c r="H108" i="1"/>
  <c r="A108" i="1"/>
  <c r="A107" i="1"/>
  <c r="A106" i="1"/>
  <c r="H105" i="1"/>
  <c r="A105" i="1"/>
  <c r="H104" i="1"/>
  <c r="A104" i="1"/>
  <c r="A103" i="1"/>
  <c r="H102" i="1"/>
  <c r="A102" i="1"/>
  <c r="A101" i="1"/>
  <c r="A100" i="1"/>
  <c r="A99" i="1"/>
  <c r="A98" i="1"/>
  <c r="H97" i="1"/>
  <c r="A97" i="1"/>
  <c r="A96" i="1"/>
  <c r="H95" i="1"/>
  <c r="A95" i="1"/>
  <c r="H94" i="1"/>
  <c r="A94" i="1"/>
  <c r="H93" i="1"/>
  <c r="A93" i="1"/>
  <c r="H92" i="1"/>
  <c r="A92" i="1"/>
  <c r="H91" i="1"/>
  <c r="A91" i="1"/>
  <c r="H90" i="1"/>
  <c r="A90" i="1"/>
  <c r="A89" i="1"/>
  <c r="H88" i="1"/>
  <c r="A88" i="1"/>
  <c r="A87" i="1"/>
  <c r="A86" i="1"/>
  <c r="A85" i="1"/>
  <c r="H84" i="1"/>
  <c r="A84" i="1"/>
  <c r="H83" i="1"/>
  <c r="A83" i="1"/>
  <c r="H82" i="1"/>
  <c r="A82" i="1"/>
  <c r="A81" i="1"/>
  <c r="H80" i="1"/>
  <c r="A80" i="1"/>
  <c r="A79" i="1"/>
  <c r="A78" i="1"/>
  <c r="H77" i="1"/>
  <c r="A77" i="1"/>
  <c r="A76" i="1"/>
  <c r="H75" i="1"/>
  <c r="A75" i="1"/>
  <c r="H74" i="1"/>
  <c r="A74" i="1"/>
  <c r="I73" i="1"/>
  <c r="H73" i="1"/>
  <c r="A73" i="1"/>
  <c r="H72" i="1"/>
  <c r="A72" i="1"/>
  <c r="A71" i="1"/>
  <c r="H70" i="1"/>
  <c r="A70" i="1"/>
  <c r="A69" i="1"/>
  <c r="H68" i="1"/>
  <c r="A68" i="1"/>
  <c r="H67" i="1"/>
  <c r="A67" i="1"/>
  <c r="A66" i="1"/>
  <c r="A65" i="1"/>
  <c r="H64" i="1"/>
  <c r="A64" i="1"/>
  <c r="H63" i="1"/>
  <c r="A63" i="1"/>
  <c r="H62" i="1"/>
  <c r="A62" i="1"/>
  <c r="H61" i="1"/>
  <c r="A61" i="1"/>
  <c r="H60" i="1"/>
  <c r="A60" i="1"/>
  <c r="H59" i="1"/>
  <c r="A59" i="1"/>
  <c r="A58" i="1"/>
  <c r="H57" i="1"/>
  <c r="A57" i="1"/>
  <c r="H56" i="1"/>
  <c r="A56" i="1"/>
  <c r="H55" i="1"/>
  <c r="A55" i="1"/>
  <c r="H54" i="1"/>
  <c r="A54" i="1"/>
  <c r="H53" i="1"/>
  <c r="A53" i="1"/>
  <c r="H52" i="1"/>
  <c r="A52" i="1"/>
  <c r="A51" i="1"/>
  <c r="H50" i="1"/>
  <c r="A50" i="1"/>
  <c r="H49" i="1"/>
  <c r="A49" i="1"/>
  <c r="A48" i="1"/>
  <c r="H47" i="1"/>
  <c r="A47" i="1"/>
  <c r="H46" i="1"/>
  <c r="A46" i="1"/>
  <c r="H45" i="1"/>
  <c r="A45" i="1"/>
  <c r="H44" i="1"/>
  <c r="A44" i="1"/>
  <c r="H43" i="1"/>
  <c r="A43" i="1"/>
  <c r="H42" i="1"/>
  <c r="A42" i="1"/>
  <c r="H41" i="1"/>
  <c r="A41" i="1"/>
  <c r="H40" i="1"/>
  <c r="A40" i="1"/>
  <c r="H39" i="1"/>
  <c r="A39" i="1"/>
  <c r="H38" i="1"/>
  <c r="A38" i="1"/>
  <c r="H37" i="1"/>
  <c r="A37" i="1"/>
  <c r="H36" i="1"/>
  <c r="A36" i="1"/>
  <c r="I35" i="1"/>
  <c r="H35" i="1"/>
  <c r="A35" i="1"/>
  <c r="H34" i="1"/>
  <c r="A34" i="1"/>
  <c r="H33" i="1"/>
  <c r="A33" i="1"/>
  <c r="H32" i="1"/>
  <c r="A32" i="1"/>
  <c r="H31" i="1"/>
  <c r="A31" i="1"/>
  <c r="H30" i="1"/>
  <c r="A30" i="1"/>
  <c r="H29" i="1"/>
  <c r="A29" i="1"/>
  <c r="H28" i="1"/>
  <c r="A28" i="1"/>
  <c r="A27" i="1"/>
  <c r="K26" i="1"/>
  <c r="J26" i="1"/>
  <c r="I26" i="1"/>
  <c r="H26" i="1"/>
  <c r="A26" i="1"/>
  <c r="A25" i="1"/>
  <c r="H24" i="1"/>
  <c r="A24" i="1"/>
  <c r="A23" i="1"/>
  <c r="H22" i="1"/>
  <c r="A22" i="1"/>
  <c r="A21" i="1"/>
  <c r="H20" i="1"/>
  <c r="A20" i="1"/>
  <c r="H19" i="1"/>
  <c r="A19" i="1"/>
  <c r="A18" i="1"/>
  <c r="H17" i="1"/>
  <c r="A17" i="1"/>
  <c r="K16" i="1"/>
  <c r="J16" i="1"/>
  <c r="I16" i="1"/>
  <c r="H16" i="1"/>
  <c r="A16" i="1"/>
  <c r="A15" i="1"/>
  <c r="K14" i="1"/>
  <c r="J14" i="1"/>
  <c r="I14" i="1"/>
  <c r="H14" i="1"/>
  <c r="A14" i="1"/>
  <c r="H13" i="1"/>
  <c r="A13" i="1"/>
  <c r="A12" i="1"/>
  <c r="A11" i="1"/>
  <c r="H10" i="1"/>
  <c r="A10" i="1"/>
  <c r="H9" i="1"/>
  <c r="A9" i="1"/>
  <c r="H8" i="1"/>
  <c r="A8" i="1"/>
  <c r="H7" i="1"/>
  <c r="A7" i="1"/>
  <c r="A6" i="1"/>
  <c r="H5" i="1"/>
  <c r="A5" i="1"/>
  <c r="I4" i="1"/>
  <c r="H4" i="1"/>
  <c r="A4" i="1"/>
  <c r="K3" i="1"/>
  <c r="J3" i="1"/>
  <c r="I3" i="1"/>
  <c r="H3" i="1"/>
  <c r="A3" i="1"/>
  <c r="A2" i="1"/>
</calcChain>
</file>

<file path=xl/sharedStrings.xml><?xml version="1.0" encoding="utf-8"?>
<sst xmlns="http://schemas.openxmlformats.org/spreadsheetml/2006/main" count="1408" uniqueCount="640">
  <si>
    <t>id</t>
  </si>
  <si>
    <t>screen_name</t>
  </si>
  <si>
    <t>created_at</t>
  </si>
  <si>
    <t>fav</t>
  </si>
  <si>
    <t>rt</t>
  </si>
  <si>
    <t>RTed</t>
  </si>
  <si>
    <t>text</t>
  </si>
  <si>
    <t>media1</t>
  </si>
  <si>
    <t>media2</t>
  </si>
  <si>
    <t>media3</t>
  </si>
  <si>
    <t>media4</t>
  </si>
  <si>
    <t>compound</t>
  </si>
  <si>
    <t>neg</t>
  </si>
  <si>
    <t>neu</t>
  </si>
  <si>
    <t>pos</t>
  </si>
  <si>
    <t>embargenqatar</t>
  </si>
  <si>
    <t>CancilleriaARG</t>
  </si>
  <si>
    <t>visitargentina</t>
  </si>
  <si>
    <t>ApsenMre</t>
  </si>
  <si>
    <t>Aerolineas_AR</t>
  </si>
  <si>
    <t>Guille__Nicolas</t>
  </si>
  <si>
    <t>arredondos</t>
  </si>
  <si>
    <t>fifaworldcup_es</t>
  </si>
  <si>
    <t>roadto2022en</t>
  </si>
  <si>
    <t>roadto2022es</t>
  </si>
  <si>
    <t>marcapaisar</t>
  </si>
  <si>
    <t>PrimeroGenteAr</t>
  </si>
  <si>
    <t>tapiachiqui</t>
  </si>
  <si>
    <t>Argentina</t>
  </si>
  <si>
    <t>turisargentina</t>
  </si>
  <si>
    <t>FIFAWorldCup</t>
  </si>
  <si>
    <t>roadto2022news</t>
  </si>
  <si>
    <t>alferdez</t>
  </si>
  <si>
    <t>AgenciaTelam</t>
  </si>
  <si>
    <t>grcarmonac</t>
  </si>
  <si>
    <t>Chau 202⭐️⭐️
Hola 202⭐️⭐️⭐️
Les deseamos un muy FELIZ AÑO NUEVO
#Argentina 🇦🇷 @CancilleriaARG @Guille__Nicolas</t>
  </si>
  <si>
    <t>dohanews</t>
  </si>
  <si>
    <t>.@QatarUniversity has converted the residency of the Argentina team into a mini museum!
➡️ Swipe for a sneak peek into the rooms where Messi and his teammates stayed during the 2022 @FIFAWorldCup https://t.co/psivNbBYiz</t>
  </si>
  <si>
    <t>GulfTimes_QATAR</t>
  </si>
  <si>
    <t>Qatar University announced that it would convert the room in which Argentinian player Lionel #Messi stayed during the #FIFAWorldCupQatar2022 into a small museum. https://t.co/41u9b9UmN9</t>
  </si>
  <si>
    <t>🍒🇦🇷🇶🇦 Más cerezas argentinas en #Qatar
Desde la Embajada seguimos trabajando para que nuestras exportaciones sigan creciendo y nuestros productos se afiancen en el mercado qatarí.
@CancilleriaARG @PromocionARG https://t.co/6D51ScfL0y</t>
  </si>
  <si>
    <t>Argentina va a cerrar el 2022 con récord de exportaciones 🇦🇷
El Plan trazado para este año va a dejar un saldo de más de USD 100.000 millones, una cifra nunca antes alcanzada.
#ExportacionesRecord
@CancilleriaARG @PromocionARG
https://t.co/0aPXEB1R3W</t>
  </si>
  <si>
    <t>SantiagoCafiero</t>
  </si>
  <si>
    <t>Los mejores deseos para esta nochebuena y para el año 2023 a todos los argentinos y las argentinas. Que sea un momento de encuentro, unidad y solidaridad.
🇦🇷🎄 Por un futuro de esperanza y justicia social en la Argentina. Por la Paz en el mundo. https://t.co/BikWTUZGjB</t>
  </si>
  <si>
    <t>Qatar_Tribune</t>
  </si>
  <si>
    <t>A wonderful graffiti drawing of Messi in Bisht in the Argentine capital https://t.co/nBdYyuWssV</t>
  </si>
  <si>
    <t>https://t.co/XrA5JTFiBU</t>
  </si>
  <si>
    <t>Imagen_Arg</t>
  </si>
  <si>
    <t>Faro del fin del mundo, Tierra del Fuego 💙
📷 Pure Passion Photography
#Argentina https://t.co/hy8GtntGMD</t>
  </si>
  <si>
    <t>SerginhoGrondo</t>
  </si>
  <si>
    <t>@sofiapaglia @embargenqatar @Guille__Nicolas @manuelpaz84 @sassaroli_juan @CancilleriaARG Gracias @sofiapaglia tu aporte profesional y humano al servicio del objetivo fue fundamental para lograr la satisfacción del deber cumplido. Por más profesionales con esa pasión por lo que hacen día a día por una Patria mejor. Feliz de compartir con la excelencia de todos.</t>
  </si>
  <si>
    <t>golgigli</t>
  </si>
  <si>
    <t>Mis felicitaciones a el trabajo de todo la embajada, siempre cerca de todos los que estuvimos en Qatar, un 10 en el boletín ( el original que cumple el próximo junio 28 años) @Estadio_3 muchas gracias https://t.co/oQYxh6iQsE</t>
  </si>
  <si>
    <t>¡Se vienen los festejos de los campeones en Buenos Aires! 🤩
Envíanos tu foto esperando a #LaScaloneta. https://t.co/UwJht53syh</t>
  </si>
  <si>
    <t>¡Vamos Argentina! 🇦🇷 Un orgullo traer a los Campeones del mundo a casa. ✈️ https://t.co/NboocGdyP3</t>
  </si>
  <si>
    <t>mgilardoniccs</t>
  </si>
  <si>
    <t>@Guille__Nicolas Felicitaciones @Guille__Nicolas @manuelpaz84 @SerginhoGrondo y a todo el equipo de @embargenqatar y a los colegas del SEN que reforzaron temporalmente la planta de la Embajada, por el excelente trabajo realizado. #vocaciondeservicio y #profesionalismo @ApsenMre @CancilleriaARG</t>
  </si>
  <si>
    <t>ceriani_pablo</t>
  </si>
  <si>
    <t>Gracias campeones del mundo! Un orgullo traerlos a casa con @Aerolineas_AR. 🇦🇷✈️ https://t.co/RJyCjwX9yi</t>
  </si>
  <si>
    <t>Despedimos en @HIAQatar DOH 🇶🇦 a los refuerzos de @CancilleriaARG
Este equipo fue clave para asegurar la capacidad de asistencia durante el Mundial. 
@Guille__Nicolas @ApsenMre 🇦🇷 #Argentina #Qatar2022 https://t.co/g24EbIoBfc</t>
  </si>
  <si>
    <t>Mi agradecimiento al equipo de @embargenqtar por el profesionalismo, dedicación, capacidad de trabajo y sentido del humor demostrado durante el operativo consular previsto durante el Mundial, para asistir a muchísimos argentinos.
🧵👇</t>
  </si>
  <si>
    <t>🏆¡Gracias Campeones del mundo!🇦🇷 https://t.co/37bthe7GRF</t>
  </si>
  <si>
    <t>Trayendo la 🏆 a casa y a los campeones del mundo. 😎🇦🇷✈️ https://t.co/uyNB0KYZ97</t>
  </si>
  <si>
    <t>sofiapaglia</t>
  </si>
  <si>
    <t>Es un verdadero orgullo haber podido representar y servir a nuestro país durante la Copa Mundial FIFA 2022
VAMOS ARGENTINA 🇦🇷 https://t.co/nLTnUhuHzh</t>
  </si>
  <si>
    <t>Al término de la final de #Qatar2022 contra #FRA, la fiesta #ARG se trasladó a las calles de Lusail con la selección y la Copa del Mundo como protagonistas. 🏆🎉🇶🇦 https://t.co/yQczjrDEzH</t>
  </si>
  <si>
    <t>mikaconi</t>
  </si>
  <si>
    <t>@CancilleriaARG @embargenqatar Agradecerles a todos uds mientras estuve internado en Doha por la atención y preocupación. Un gran abrazo chicos</t>
  </si>
  <si>
    <t>Los vuelos de @Aerolineas_AR ✈️ de EZE a DOH trajeron a Qatar a la @afa y a muchos hinchas 🇦🇷, pero en este despegue se llevaron desde @HIAQatar 🇶🇦 a la pasajera más linda de todas...
@Argentina ⭐️⭐️⭐️ #Qatar2022 https://t.co/EJqFJRmOYd</t>
  </si>
  <si>
    <t>🇦🇷🇶🇦
🏢 6 Rawdat Ehraish
☎️ +974 4417 3601
📧 eqatr@cancilleria.gob.ar
📩 Consular: secon_eqatr@cancilleria.gob.ar
📲 EMERGENCIAS +974 5039 8775
📸 IG embargenqatar
https://t.co/pxcQIOYKqM</t>
  </si>
  <si>
    <t>El otro equipo que merece nuestro reconocimiento 🇦🇷🥇
Felicitamos a la @embargenqatar, que brindó asistencia consular a argentinas y argentinos a lo largo de todo este mes durante el mundial en Qatar. Profesionalismo, vocación de servicio y dedicación allí donde se lo necesitó. https://t.co/XLQiJ5FH13</t>
  </si>
  <si>
    <t>🇦🇷
@CancilleriaARG @ApsenMre @TamimBinHamad @MOFAQatar_ES @roadto2022es #Qatar2022 https://t.co/Fze36G4Ekp</t>
  </si>
  <si>
    <t>Historia. https://t.co/nwVredvVWt</t>
  </si>
  <si>
    <t>Lionel Messi draped in #FIFAWorldCup immortality 💫🏆 https://t.co/WBx4jUIUQ7</t>
  </si>
  <si>
    <t>Muchas gracias @afa por esta visita y este presente.
Felicitaciones a todo el equipo y cuerpo técnico @Argentina por este nuevo campeonato mundial.
¡VAMOS ARGENTINA! 🇦🇷⭐️⭐️⭐️
@CancilleriaARG #Argentina @roadto2022es #Qatar2022 https://t.co/QqtdDdCk4c</t>
  </si>
  <si>
    <t>CasaRosada</t>
  </si>
  <si>
    <t>⚽️ CAMPEONES DEL MUNDO ⚽️
¡Gracias @Argentina por esta alegría eterna! Unidos y en equipo es el camino 🇦🇷 https://t.co/xm067EMjur</t>
  </si>
  <si>
    <t>AntarticArg</t>
  </si>
  <si>
    <t>🇦🇷 🏆 🏆 🏆 ⚽️  La hinchada argentina en la BASE ANTÁRTICA MARAMBIO 
de ARGENTINA CAMPEÓN DEL MUNDO !! 🇦🇷🇦🇷🇦🇷
https://t.co/1yBIFnik8c</t>
  </si>
  <si>
    <t>#Qatar2022 ¿Les gusta? 😏 https://t.co/wmIeHFz0em</t>
  </si>
  <si>
    <t>📸🇦🇷 https://t.co/RzHopavYJP</t>
  </si>
  <si>
    <t>1986 🏆🇦🇷🏆 2022 https://t.co/KQQpIJrb2d</t>
  </si>
  <si>
    <t>Gracias a jugadores y equipo técnico. Son el ejemplo de que no debemos bajar los brazos. Que tenemos un gran pueblo y un gran futuro. https://t.co/xm3Ygm1ncI</t>
  </si>
  <si>
    <t>#NuevaFotoDePerfil https://t.co/5l2tNSi1qE</t>
  </si>
  <si>
    <t>¡PÓNGANLE AL ESCUDO UNA NUEVA ESTRELLA! ⭐
En la mejor final de la historia, #ARG se quedó con la Copa del Mundo por 3ra ocasión. 3️⃣🏆🇦🇷 https://t.co/itbxCVuR4J</t>
  </si>
  <si>
    <t>¡QUIERO GANAR LA 3RA QUIERO SER CAMPEÓN MUNDIAL! ¡LO CONSIGUIERON! 🏆
En 1978 🇦🇷 , 1986 🇲🇽 y ahora 2022 🇶🇦, Argentina se quedó con la Copa del Mundo. https://t.co/5VfJ8qJ4DM</t>
  </si>
  <si>
    <t>FIFAcom</t>
  </si>
  <si>
    <t>Lifting the #FIFAWorldCup trophy 🏆
Congratulations, @Argentina! https://t.co/8aylL6eIEH</t>
  </si>
  <si>
    <t>18 de diciembre de 2022. https://t.co/MCxBFephv1</t>
  </si>
  <si>
    <t>@Argentina ⭐️⭐️⭐️
@roadto2022es #Qatar2022 @FIFAWorldCup #Qatar 🇶🇦 https://t.co/tNxwegqIbd</t>
  </si>
  <si>
    <t>ADD ⭐️ THE ⭐️ STAR ⭐️
ARGENTINA ARE WORLD CUP WINNERS ONCE AGAIN! 🇦🇷
#Qatar2022 | #FIFAWorldCup https://t.co/h9zEWxeoVj</t>
  </si>
  <si>
    <t>#Qatar2022
Gritemos #TodosJuntos...
🇦🇷🔥🏆¡¡¡SOMOS CAMPEONES DEL MUNDO!!!🏆🔥🇦🇷 https://t.co/KoYnhTmeQC</t>
  </si>
  <si>
    <t>Papá es un ídolo. ❤️🇦🇷 https://t.co/aAnYROYyFx</t>
  </si>
  <si>
    <t>https://t.co/kGyWFkGdzw</t>
  </si>
  <si>
    <t>Argentinos, aquí tienen su nuevo fondo de pantalla. 📲 https://t.co/Dcp2z8wRtO</t>
  </si>
  <si>
    <t>🇦🇷 ARGENTINA CAMPEÓN DEL MUNDO 🏆</t>
  </si>
  <si>
    <t>¡NO HAY MÁS QUE DECIR! ARGENTINA ES CAMPEÓN DE LA COPA DEL MUNDO! 🏆#ARG https://t.co/uWD9MFAYRi</t>
  </si>
  <si>
    <t>The moment he's dreamed about 🏆 https://t.co/xGq3thFQvI</t>
  </si>
  <si>
    <t>⭐️⭐️⭐️</t>
  </si>
  <si>
    <t>OPERATIVO DE ASISTENCIA CONSULAR
El equipo está presente en el estadio de Lusail asistiendo a nuestros connacionales durante el partido 🇦🇷🇨🇵
@CancilleriaARG #Argentina @Argentina @roadto2022es #Qatar 🇶🇦 @FIFAWorldCup #Qatar2022 https://t.co/r6E1CleLaI</t>
  </si>
  <si>
    <t>MOFAQatar_ES</t>
  </si>
  <si>
    <t>#Our_Unity_Source_of_Our_Strength 
#Qatar_National_Day https://t.co/ZUmWFxRXzy</t>
  </si>
  <si>
    <t>🇦🇷⚽️💙🤍💙🤞 https://t.co/MFPMtj1yV9</t>
  </si>
  <si>
    <t>¡Hoy juega #Argentina!
🇦🇷🇦🇷🇦🇷
Nuestra selección @Argentina disputa la final de #Qatar2022 contra Francia
¡¡¡VAMOS ARGENTINA!!!
@CancilleriaARG @roadto2022es @FIFAWorldCup https://t.co/jdPfQijeQC</t>
  </si>
  <si>
    <t>HAPPY NATIONAL DAY QATAR!
🇶🇦🇶🇦🇶🇦🇶🇦🇶🇦🇶🇦🇶🇦🇶🇦🇶🇦🇶🇦🇶🇦
@TamimBinHamad @AmiriDiwan @MOI_QatarEn @MOFAQatar_ES @roadto2022es @MOPHQatar @MOTQatar @albaladiya @moecc_qatar @MoF_Qatar @MOCIQatar @QatarEmb_BA #Qatar
@CancilleriaARG 🇦🇷 https://t.co/U3VG1exfoM</t>
  </si>
  <si>
    <t>⚽ #TélamEnQatar 
🇦🇷 Multitudinario banderazo argentino en la previa a la final
💪 El mercado Souq Waqif volvió a ser el punto de reunión y se vistió de celeste y blanco una vez más
¡Vamos @Argentina! https://t.co/4sR59DG9ZW</t>
  </si>
  <si>
    <t>¡Que lindo es ver esos colores en las pistas de @HIAQatar! 💙🤍💙
#Argentina 🇦🇷 @Aerolineas_AR #Doha #Qatar 🇶🇦 @roadto2022es @fifaworldcup_es #Qatar2022 https://t.co/5PrGWPheKt</t>
  </si>
  <si>
    <t>Con la final por disputarse, #ARG y #FRA se han enfrentado varias veces, 3 de esas en una Copa del Mundo. Este será sin duda el partido más importante. 🏆🔜
¿Qué es lo que más recuerdas de otros choques entre estas 2 selecciones? 💬 #Qatar2022 https://t.co/7GFXinAPG6</t>
  </si>
  <si>
    <t>"Muchachos, ahora nos volvimos a ilusionar"🎵 ✈️ Nos vamos para Doha a alentar a la Selección en la final del mundo. ¡Vamos Argentina! 🇦🇷 https://t.co/q7gyPpOKXX</t>
  </si>
  <si>
    <t>TeatroColon</t>
  </si>
  <si>
    <t>Hoy millones de argentinos se emocionaron con el Coro de Niños del Teatro Colón, alentando a la selección con la canción del Mundial 👏👏👏 ¡¡¡Vamos Argentina!!! 🇦🇷🇦🇷🇦🇷 https://t.co/nFqqtFDqgF</t>
  </si>
  <si>
    <t>Estamos llegando al final de este maravilloso viaje.✈️
Gracias @Argentina por tanto.🇦🇷 https://t.co/ILcNrkR7u7</t>
  </si>
  <si>
    <t>GerryDBartolome</t>
  </si>
  <si>
    <t>Couldn't be otherwise! #WorldCup2002 fully present at Qatar National Day 🇶🇦 reception in Buenos Aires and the #WorldCup flanked by the two finalists 🇦🇷🇫🇷 and #TeamDioin @QatarEmb_BA 
#SportsDiplomacy https://t.co/jGQ9UgwVEh</t>
  </si>
  <si>
    <t>Hace 57 años, @ONU_es reconoció la existencia de una disputa de soberanía entre Argentina y el Reino Unido e invitó a ambos países a negociar para encontrar una solución pacífica a la controversia.
La Resolución contiene los elementos centrales que encuadran la Cuestión 🧵👇 https://t.co/PdV6xJeLZU</t>
  </si>
  <si>
    <t>💪🇦🇷 https://t.co/iOS4QfZfT1</t>
  </si>
  <si>
    <t>@natyarlia10 @CancilleriaARG @Aerolineas_AR @Migraciones_AR @afa @Argentina @roadto2022es @fifaworldcup_es Requiere alojamiento, a menos que sea por entrada y salida en el mismo día (Match Day). En ese caso se debe contar con vuelos que lo prueben.</t>
  </si>
  <si>
    <t>ℹ️ Aviso para todos los aficionados que se dirigen a los estadios. #Qatar2022 https://t.co/dTk6RoRRmA</t>
  </si>
  <si>
    <t>YossiZilberman</t>
  </si>
  <si>
    <t>He tenido hoy una reunión muy interesante con el Emb. distinguido Guillermo Nicholas, de la @embargenqatar 🇦🇷🇶🇦 . Le felicité mucho por al partido de la @Argentina ayer y intercambiamos miradas sobre la realidad en la región.gracias señor embajador por la atención calida 🇮🇱🤝🇦🇷 https://t.co/JnMNu8RbJA</t>
  </si>
  <si>
    <t>PARA OBTENER LA HAYYA CARD SE NECESITA:
- ENTRADA A PARTIDO (O ABONAR QAR 500)
- ALOJAMIENTO (O VUELO DE ENTRADA Y SALIDA EN EL DIA)
@CancilleriaARG @Aerolineas_AR @Migraciones_AR @afa @argentina @roadto2022es @fifaworldcup_es</t>
  </si>
  <si>
    <t>📢 IMPORTANTE #QATAR2022
PARA INGRESAR A #QATAR 🇶🇦 ES NECESARIO CONTAR CON UNA HAYYA CARD APROBADA
🧵👇 https://t.co/YUPK1Q6T0R</t>
  </si>
  <si>
    <t>¡¡@Argentina a la final!!
💙🤍💙
@afa 🇦🇷 @roadto2022es 🇶🇦 @fifaworldcup_es #Qatar2022</t>
  </si>
  <si>
    <t>#Qatar2022
⚽ @Argentina 🇦🇷 3 (Lionel #Messi -p- y Julián Álvarez x2) 🆚 #Croacia 🇭🇷 0
👉 ¡Final del partido! https://t.co/cdpbKqlKW4</t>
  </si>
  <si>
    <t>#Qatar2022
💙🙌🔥 ¡¡¡SOMOS FINALISTAS!!! 🔥🙌🤍 https://t.co/5b2HpMg9tF</t>
  </si>
  <si>
    <t>OPERATIVO DE ASISTENCIA CONSULAR
En cada partido de @Argentina nuestro equipo se hace presente en el estadio para asistir a cada 🇦🇷 que vino a #Doha a alentar a la selección 💙🤍💙
@CancilleriaARG 🟦☀️🟦 @ApsenMre  @afa @roadto2022es #Qatar2022 @fifaworldcup_es 🇶🇦 https://t.co/ZLq9PqZef2</t>
  </si>
  <si>
    <t>🍒 Cerezas argentinas en #Qatar 🇶🇦
Disponibles en #Doha cerezas de #Argentina, exportadas por #ExtraBerries
Seguimos trabajando para que más productos de nuestro país lleguen al mercado qatarí
@CancilleriaARG 🇦🇷 @PromocionARG https://t.co/fkmGIQjHQV</t>
  </si>
  <si>
    <t>Thank you @NLinQatar!!!
💙🤍💙⚽️🧡🧡🧡
@CancilleriaARG #Argentina 🇦🇷 @MOFAQatar_ES 🇶🇦 #Qatar2022 @roadto2022es @fifaworldcup_es https://t.co/fn39S7kX2o</t>
  </si>
  <si>
    <t>💙🤍💙💪@Argentina🇦🇷 https://t.co/1HXtFnL93P</t>
  </si>
  <si>
    <t>👇🇦🇷🇭🇷 https://t.co/pUrvylrsJn</t>
  </si>
  <si>
    <t>🇦🇷 “Ojalá le podamos dar una alegría” 🥹
@lioscaloni emocionado hasta las lágrimas. ❤</t>
  </si>
  <si>
    <t>“Muchaaaachos” en vivo desde el banderazo 🇦🇷 en Souq Waqif 🔥🎶
Se viene la semi de la #CopaMundialFIFA https://t.co/VefKq6tJsH</t>
  </si>
  <si>
    <t>💙🤍💙
@ArgentinaUN @CancilleriaARG 🇦🇷 @MOFAQatar_ES #Qatar2022 @roadto2022es #Qatar 🇶🇦 https://t.co/URgtXqNhM8</t>
  </si>
  <si>
    <t>OPERATIVO DE ASISTENCIA CONSULAR
Seguimos recibiendo en @HIAQatar a las/os 🇦🇷 que llegan a #Doha para alentar a @Argentina en #Qatar2022
@CancilleriaARG #Argentina 💙🤍💙 @ApsenMre @Aerolineas_AR @afa @roadto2022es @fifaworldcup_es #Qatar 🇶🇦 https://t.co/WA4d72XaPl</t>
  </si>
  <si>
    <t>RED92cadadiamas</t>
  </si>
  <si>
    <t>🇶🇦🇦🇷 | #DeportesRED92 | #Qatar2022 | #Mundial | @embargenqatar |
La Embajada #argentina en #Qatar impidió el desalojo de compatriotas
Tuvieron que intervenir para que se habilite la renovación del alquiler de las habitaciones por una semana más.
https://t.co/8pC8B2vRZF https://t.co/n5QYcWzq7M</t>
  </si>
  <si>
    <t>CELEBRACION ARGENTINA 💙🤍💙
LUNES 12 -17 hs.
Organiza @roadto2022es 🇶🇦
#Argentina @CancilleriaARG 🇦🇷 @fifaworldcup_es #Qatar2022 @afa @argentina https://t.co/y0oxR9GvZm</t>
  </si>
  <si>
    <t>Como colega, quiero destacar la dedicada atención y asistencia consular que nuestro embajador @Guille__Nicolas, su equipo @manuelpaz84 y J.C Sassaroli y el team @CancilleriaARG le están brindando a los argentinos que se encuentran en Qatar. Muchas gracias por estar 👏👏👏🙌🙏 https://t.co/BAYMheymBS</t>
  </si>
  <si>
    <t>@alancin99 @Tato_Aguilera https://t.co/HuzuEjTiWD</t>
  </si>
  <si>
    <t>Alojamiento en #Qatar - Complejos BARWA
Estamos al tanto de la situación. Ya elevamos la cuestión al Comité Organizador @roadto2022news y estamos solicitando sea gestionada una solución.
@CancilleriaARG 🇦🇷 @roadto2022es @fifaworldcup_es 🇶🇦 #Qatar2022</t>
  </si>
  <si>
    <t>📢
⚽️ 🇦🇷 - 🇭🇷
🗓 13.12.22
⏰️ 22:00
🏟 LUSAIL
@CancilleriaARG 🇦🇷 #Argentina @afa @Argentina
#Qatar2022 @roadto2022es @Roadto2022Go @fifaworldcup_es 
👇
📽 @roadto2022news #Qatar 🇶🇦 https://t.co/ofhBlDSwU4</t>
  </si>
  <si>
    <t>It was a great match indeed!
@OnsOranje fought until the very last minute and gave it all
Outside the pitch our teams worked together and everybody enjoyed this incredible night
🇦🇷🇳🇱
@CancilleriaARG @argentina @afa @MOFAQatar_ES 🇶🇦 @roadto2022es @fifaworldcup_es #Qatar2022 https://t.co/yevqyFY17U</t>
  </si>
  <si>
    <t>#TodosJuntos 🇦🇷 https://t.co/vDaVWN7TSW</t>
  </si>
  <si>
    <t>¡#ARG a semifinales!🤩 En uno de los mejores partidos del Mundial, #LaScaloneta derrotó a los neerlandeses por penales y se jugarán con #HRV el cupo a la final. 🥵🤯 https://t.co/UjnroqMUPL</t>
  </si>
  <si>
    <t>#Qatar2022 
🔥🙌 Siiiiiiiiiii, ¡SOMOS SEMIFINALISTAS! 🙌🔥 https://t.co/YhlLL5GGBV</t>
  </si>
  <si>
    <t>¡ @Argentina en semifinales!
💙🤍💙
@CancilleriaARG 🇦🇷 @roadto2022es @fifaworldcup_es #Qatar2022
📸 @afa https://t.co/JI7wq5lP7M</t>
  </si>
  <si>
    <t>OPERATIVO DE ASISTENCIA CONSULAR
El equipo se encuentra presente en el estadio de Lusail
🇦🇷🇳🇱
@CancilleriaARG #Argentina @argentina @roadto2022es @fifaworldcup_es #Qatar2022 https://t.co/TtcMQLDeMY</t>
  </si>
  <si>
    <t>🏟🇦🇷🇳🇱 https://t.co/ITw59JOPxI</t>
  </si>
  <si>
    <t>👇 https://t.co/qbBJemV00Q</t>
  </si>
  <si>
    <t>¡Así se vive el banderazo de los argentinos 🇦🇷 en el Souq Waqif! 
#Qatar2022 https://t.co/2cJbIYfgtm</t>
  </si>
  <si>
    <t>¡Gracias a vos Leo por este saludo!
Gracias por este reconocimiento al trabajo de todo el equipo de esta Embajada 💙🤍💙
@CancilleriaARG @ApsenMre 🇦🇷 https://t.co/Ws8Hi7cNCw</t>
  </si>
  <si>
    <t>@brielga29 @roadto2022en Hola. Para quienes no tienen entrada, la Hayya requiere un pago de QAR 500.</t>
  </si>
  <si>
    <t>Es un trámite individual y personal, que debe ser aprobado por los organizadores.
Ante cualquier problema cada pasajero debe comunicarse al teléfono +974 4441 2022 (en español opción 3-1-3) y al correo electrónico info@hayya.qa
@CancilleriaARG  @Aerolineas_AR</t>
  </si>
  <si>
    <t>La HAYYA es un permiso de ingreso y concentra toda la información de la persona que viaja.
Resulta indispensable iniciar su tramitación con la antelación suficiente.
Se recomienda iniciar el trámite, al menos, 5 días antes del vuelo de partida.
@roadto2022es  #Qatar2022</t>
  </si>
  <si>
    <t>Todas las personas que viajan a alentar a @Argentina deben contar con su HAYYA CARD aprobada antes de abordar vuelo con destino a Qatar e ingresar al país.
👇🧵 https://t.co/AtpooaAeza</t>
  </si>
  <si>
    <t>@RallyJardin @fifaworldcup_es Hola! Todos los días estamos asistiendo. Si bien no tenemos responsabilidad ni ningún contacto exclusivo, en la medida de lo posible llamamos y llamamos al mismo número de teléfono. Les sugerimos llamar y llamar. Mandanos un mail a qatar2022@cancilleria.gob.ar y haremos lo mismo.</t>
  </si>
  <si>
    <t>🇦🇷🇳🇱
📸 @fifaworldcup_es https://t.co/pskDTCC9FA</t>
  </si>
  <si>
    <t>📢
⚽️ 🇦🇷 - 🇳🇱
🗓 09.12.22
⏰️ 22:00
🏟 LUSAIL
@CancilleriaARG 🇦🇷 #Argentina @afa @Argentina
#Qatar2022 @roadto2022es @Roadto2022Go @fifaworldcup_es 
👇
📽 @roadto2022news #Qatar 🇶🇦 https://t.co/DX5K8utBca</t>
  </si>
  <si>
    <t>G_Zlauvinen</t>
  </si>
  <si>
    <t>Seguimos en el Mundial, seguimos con el operativo de apoyo consular a nuestros/as compatriotas 🇦🇷 en Qatar! 👇🏼
https://t.co/b1m01FFkjU</t>
  </si>
  <si>
    <t>El equipo de diplomáticas y diplomáticos argentinos de @embargenqatar, asiste 24/7 a los más de 30.000 connacionales que llegaron a alentar a la Selección 🇦🇷⚽
#DiplosEnAcción
#DiploAr
#Qatar2022 https://t.co/zty4T1C0Zy</t>
  </si>
  <si>
    <t>¡El calor argentino se seguirá sintiendo en #Qatar2022! 🌞#ARG https://t.co/JduXHcZlAU</t>
  </si>
  <si>
    <t>#Qatar2022
⚽ @Argentina 🇦🇷 2 (Lionel #Messi y Julián Álvarez) 🆚 #Australia 🇦🇺 1 (Craig Goodwin)
👉 ¡Final del partido!
🔜 El elenco comandado por Lionel Scaloni jugará el próximo viernes ante #PaísesBajos 🇳🇱
¡Vamos #TodosJuntos a cuartos! 🤜🤛 https://t.co/hoM3IHlqlF</t>
  </si>
  <si>
    <t>🎉 ¡Ganamos! ⚽ ¡Ya estamos en cuartos de final y seguimos alentado de cerca a nuestra Selección! 🇦🇷 Próximos vuelos directos a Qatar 👉 https://t.co/qiz0uDhU6B ¡Vamos Argentina!
Sponsor Digital de @Argentina https://t.co/kXk37IEoi8</t>
  </si>
  <si>
    <t>#Qatar2022
🔝 Lionel #Messi llegó hoy al partido número mil de su carrera profesional. ¡Que sigan los récords, capitán! 👏
📝 https://t.co/13I7y45qvJ https://t.co/s4gYDURFPU</t>
  </si>
  <si>
    <t>¡#ARG ganó y se metió en 4tos! Con goles de Messi y Julián Álvarez, #LaScaloneta derrotó a #AUS y se jugará el pase a semifinales contra #NED https://t.co/vU05fSfbtR</t>
  </si>
  <si>
    <t>🇦🇷 ¡ARGENTINA ESTÁ EN CUARTOS DE FINAL! 🇦🇷</t>
  </si>
  <si>
    <t>The man. The Legend. The 1000th game. #Qatar2022 #FIFAWorldCup https://t.co/Ig0kxN66Oi</t>
  </si>
  <si>
    <t>@LeoAriasPrensa ¡Muchas gracias Leo! 💙🤍💙
@CancilleriaARG @Guille__Nicolas @ApsenMre</t>
  </si>
  <si>
    <t>OPERATIVO DE ASISTENCIA CONSULAR
¡Una vez más el equipo dice presente!
Estamos listos para asistir a las/os argentinas/os en el 🏟 Ahmad Bin Ali durante el partido @Argentina vs @Socceroos
🇦🇷🇦🇺
@CancilleriaARG #Argentina 🟦☀️🟦 @roadto2022es 🇶🇦 @fifaworldcup_es
#Qatar2022 https://t.co/xgwnlKoBs0</t>
  </si>
  <si>
    <t>🇦🇷🇦🇺
🏟🇶🇦
🏆🌍
2️⃣2️⃣
@CancilleriaARG #Argentina 🟦☀️🟦 @afa @Argentina @roadto2022es #Qatar2022 @fifaworldcup_es #Qatar 🇶🇦 @Socceroos https://t.co/8dLg4BdAde</t>
  </si>
  <si>
    <t>HOY 🇦🇷🇦🇺👇 https://t.co/QVGFLtSYue</t>
  </si>
  <si>
    <t>ℹ️ ¡Información importante para los aficionados sin entradas! ℹ️
#Qatar2022 https://t.co/NO9gSIxEbS</t>
  </si>
  <si>
    <t>@josedelagloria https://t.co/Zzz4wtiXdV</t>
  </si>
  <si>
    <t>@conimarialaura @Guille__Nicolas https://t.co/Zzz4wtAy5t</t>
  </si>
  <si>
    <t>@joseconiok @Guille__Nicolas Hola. El equipo está gestionando por todos los medios posibles. Esperamos poder facilitarles la mayor cantidad de opciones. También estamos en contacto con el Hospital.
@CancilleriaARG 🇦🇷 @Guille__Nicolas</t>
  </si>
  <si>
    <t>Gracias Ciro Martinez @ciroylospersas, @rafavelja, S. Falus @TIJETRAVEL, @agusfontenla  y @300PRODUCCIONES por la visita y presente
Especial gratitud por las palabras de agradecimiento y cariño pronunciadas
@CancilleriaARG @culturalesarg @Guille__Nicolas @manuelpaz84 @ApsenMre https://t.co/aWGhRJuWzR</t>
  </si>
  <si>
    <t>manuelpaz84</t>
  </si>
  <si>
    <t>"Hola, queremos pasar a saludar agradecer"... ¡Yo a ustedes agradezco la confianza, honestidad y el gesto invaluable!
GRACIAS Ciro @ciroylospersas, Rafa @rafavelja, Sebastían y Agustín @TIJETRAVEL y Pocho @300PRODUCCIONES
@CancilleriaARG @embargenqatar @culturalesarg @ApsenMre https://t.co/d0Fyh2vWoM</t>
  </si>
  <si>
    <t>👇
📸 @roadto2022es https://t.co/I7ti6l0CXA</t>
  </si>
  <si>
    <t>📢
⚽️ 🇦🇷 - 🇦🇺
🗓 03.12.22
⏰️ 22:00
🏟 Ahmad bin Ali
@CancilleriaARG 🇦🇷 #Argentina @afa @Argentina
#Qatar2022 @roadto2022es @Roadto2022Go @fifaworldcup_es 
👇
📽 @roadto2022news #Qatar 🇶🇦 https://t.co/35YBAvI1Sj</t>
  </si>
  <si>
    <t>@ILQLive @SerginhoGrondo @ArgentinaMFA Thank you!!! 🇦🇷🇶🇦</t>
  </si>
  <si>
    <t>MOI_QatarEn</t>
  </si>
  <si>
    <t>Conditions to enter the State of Qatar starting 2 December 2022 #MOIQatar https://t.co/huVI3TYR6U</t>
  </si>
  <si>
    <t>Sí, la foto más tierna que vas a ver hoy 🇦🇷💕🥹
#Qatar2022 https://t.co/C3SvXIZrnH</t>
  </si>
  <si>
    <t>¡Ya tenemos la mitad! Estos son los choques de 8vos de final confirmados hasta ahora:
1️⃣ #NED vs #USA
2️⃣ #ARG vs #AUS
3️⃣ #ENG vs #SEN
4️⃣ #FRA vs #POL
¿Cómo quedarán los que faltan? 😳</t>
  </si>
  <si>
    <t>Clasificados a 8vos de final en #Qatar2022 hasta ahora:
✅ #FRA 
✅ #BRA  
✅ #POR  
✅ #NED  
✅ #SEN  
✅ #ENG  
✅ #USA  
✅ #AUS 
✅ #ARG 
✅ #POL</t>
  </si>
  <si>
    <t>🇦🇷 2 - 0 🇵🇱
📸 @argentina https://t.co/NMw67qHouP</t>
  </si>
  <si>
    <t>🇦🇷 GANÓ ARGENTINA Y ES PRIMERA DEL GRUPO C 🇦🇷 https://t.co/NNxsZKq5cW</t>
  </si>
  <si>
    <t>#Qatar2022
⚽ @Argentina 🇦🇷 2 (Alexis Mac Allister y Julián Álvarez) 🆚 #Polonia 🇵🇱 0   
👉 ¡Final del partido!
🔜 El elenco comandado por Lionel Scaloni jugará el próximo sábado ante #Australia 🇦🇺
¡Vamos #TodosJuntos a octavos! 🤜🤛 https://t.co/3kjSLQ8fAf</t>
  </si>
  <si>
    <t>“Muchaaaaaachos” 🇦🇷🎶
Si estás en #Qatar2022 no hay chances de que no se te haya pegado esta canción de los hinchas argentinos 👏 https://t.co/T1GWKAUIs4</t>
  </si>
  <si>
    <t>🚈 Metro staff 🤝 Argentina fans 🇦🇷 
           The beautiful game 
#Qatar2022 | #FIFAWorldCup https://t.co/jXYl7xuwpd</t>
  </si>
  <si>
    <t>alkasschannel</t>
  </si>
  <si>
    <t>أهازيج الجماهير الأرجنتينية في طريقها لاستاد 974
@afa @Argentina
#الأرجنتين_بولندا
#قطر2022 
#كأس_العالم
#قنوات_الكاس https://t.co/Ct0OUfexfO</t>
  </si>
  <si>
    <t>¡VAMOS @Argentina! 🇦🇷 https://t.co/cQL3PCFD6H</t>
  </si>
  <si>
    <t>🗣️ "Vamo', vamo', Selección..." 🎶
¡El Estadio 974 se tiñe de celeste y blanco! 🇦🇷 https://t.co/i1Ofdpwt8a</t>
  </si>
  <si>
    <t>Nuestro equipo se encuentra presente en el 🏟 974 en el marco de nuestro Operativo de Asistencia Consular
@CancilleriaARG #Argentina 🇦🇷 @afa @argentina @roadto2022es #Qatar2022 @fifaworldcup_es #Qatar 🇶🇦 https://t.co/iCREwTGxJc</t>
  </si>
  <si>
    <t>Bueno, se ve que todos se suman al hitazo de la hinchada argentina 🇦🇷😂 ¡Muchaaachos! 🎶
#Qatar2022 https://t.co/SrCh5zf3aT</t>
  </si>
  <si>
    <t>¡VAMOS @ARGENTINA!
💙🤍💙
@CancilleriaARG #Argentina 🇦🇷 @afa #Messi @roadto2022es @fifaworldcup_es #Qatar2022 https://t.co/KmT4kEpkjs</t>
  </si>
  <si>
    <t>PUBLICAMOS DOCUMENTOS HISTÓRICOS SOBRE LA CUESTIÓN MALVINAS 🇦🇷
Conocer y divulgar la historia nos permite revalorizar aún más los argumentos que tenemos para defender y reafirmar nuestra soberanía sobre las Islas.
Link de descarga del material 👉 https://t.co/An66LRFp3o https://t.co/NpeiXMFWju</t>
  </si>
  <si>
    <t>Publicamos documentos históricos sobre la Cuestión Malvinas 🇦🇷🗺️
Ya están disponibles en la página web #MalvinasNosUne 💻
🔗https://t.co/qLZgONZnmG https://t.co/rO0vHg2hH9</t>
  </si>
  <si>
    <t>RealpolitikFM</t>
  </si>
  <si>
    <t>Guillermo Nicolás, embajador en @embargenqatar, en #AContramano: "Hemos organizado un operativo de asistencia consular amplio, porque claramente las necesidades de los argentinos se multiplican"
AHORA por https://t.co/a1DOKF5rHm 💻 https://t.co/GGSchWd3Nm</t>
  </si>
  <si>
    <t>¡𝐅𝐈𝐄𝐒𝐓𝐀 𝐏𝐄𝐑𝐒𝐀 𝐄𝐍 𝐂𝐀𝐓𝐀𝐑! 🎶🇦🇷
@ciroylospersas no podía faltar en la #CopaMundialFIFA. ¡@LuquitaRodrigue fue al concierto en Katara y charló con Ciro para FIFA+! 👇</t>
  </si>
  <si>
    <t>🏟974
Fuente: @roadto2022es https://t.co/93VmzKre6z</t>
  </si>
  <si>
    <t>👇 HOY https://t.co/QoZSdVHgm3</t>
  </si>
  <si>
    <t>¡Muchas gracias @ApsenMre!
Todo el trabajo llevado adelante por @embargenqatar es gracias al liderazo del Embajador @Guille__Nicolas y el apoyo de @CancilleriaARG 
#Qatar2022 #DiplosEnAccion 🇦🇷 https://t.co/xK8Pajnihu</t>
  </si>
  <si>
    <t>🇦🇷🇶🇦
📸 @roadto2022es https://t.co/wsauB2UsFb</t>
  </si>
  <si>
    <t>@AndreCe70 @ciroylospersas @kataraqatar @CancilleriaARG @culturalesarg @TIJETRAVEL Hola. La Embajada asistió a los productores en la coordinación y contacto con los organizadores. No se han destinado fondos públicos para esta gestión. La Embajada no financió el show, ni tampoco el Gobierno nacional. La realización estuvo a  cargo de los productores.</t>
  </si>
  <si>
    <t>somoscorta</t>
  </si>
  <si>
    <t>Arrancó el show de Ciro y Los Persas para los argentinos en Doha, después de la victoria ante México.
(vía @embargenqatar) https://t.co/uBLQGYHqyO</t>
  </si>
  <si>
    <t>"QUE PLACER VERTE OTRA VEZ..." https://t.co/WMElK1ft6z</t>
  </si>
  <si>
    <t>Gracias a la gente de la @TV_Publica por esta breve entrevista al Embajador @Guille__Nicolas en la antesala del recital https://t.co/2amKUL0ufm</t>
  </si>
  <si>
    <t>Con la presencia de algunos de los campeones del '86 @Argentina, el anfiteatro de @kataraqatar se va vistiendo de #CelesteyBlanco 💙🤍💙 https://t.co/s4Gwld1Efv</t>
  </si>
  <si>
    <t>Así se vive la previa de la FIESTA ARGENTINA EN 🇶🇦 esperando el show de @ciroylospersas en @kataraqatar 
#Argentina 🇦🇷 @CancilleriaARG @culturalesarg @TIJETRAVEL https://t.co/tTj4mtx8gb</t>
  </si>
  <si>
    <t>El juego entre Argentina 🇦🇷 y México 🇲🇽 marcó un récord: el partido de fútbol con mayor asistencia en toda la historia de Qatar. 
Un verdadero orgullo 🇶🇦🥹 
#Qatar2022 https://t.co/ahJ9P7jZfg</t>
  </si>
  <si>
    <t>En el marco del Operativo de Asistencia Consular estuvimos presentes en @HIAQatar para asistir a las y los 🇦🇷 en su llegada a 🇶🇦 https://t.co/UCTlNWp9n8</t>
  </si>
  <si>
    <t>¡BIENVENIDOS A QATAR! 🇦🇷🇶🇦
@CancilleriaARG @Aerolineas_AR https://t.co/9RREcwBIpz</t>
  </si>
  <si>
    <t>Bienvenido a #Doha @HIAQatar el quinto vuelo de @Aerolineas_AR 🇦🇷
@CancilleriaARG #Argentina @roadto2022es #Qatar @fifaworldcup_es #Qatar2022 https://t.co/QCLAQ8JIFw</t>
  </si>
  <si>
    <t>📢
⚽️ 🇦🇷 - 🇵🇱
🗓 30.11.22
⏰️ 22:00
🏟 974
@CancilleriaARG 🇦🇷 #Argentina @afa @Argentina
#Qatar2022 @roadto2022es @Roadto2022Go @fifaworldcup_es 
👇
📽 @roadto2022news #Qatar 🇶🇦 https://t.co/zaCBKQDxRT</t>
  </si>
  <si>
    <t>🇦🇷🇦🇷🇦🇷🇦🇷🇦🇷🇦🇷🇦🇷🇦🇷🇦🇷🇦🇷🇦🇷🇦🇷🇦🇷🇦🇷🇦🇷🇦🇷🇦🇷🇦🇷🇦🇷🇦🇷🇦🇷🇦🇷🇦🇷🇦🇷🇦🇷🇦🇷🇦🇷🇦🇷🇦🇷🇦🇷🇦🇷🇦🇷🇦🇷🇦🇷🇦🇷🇦🇷🇦🇷🇦🇷🇦🇷🇦🇷🇦🇷🇦🇷🇦🇷🇦🇷🇦🇷🇦🇷🇦🇷🇦🇷🇦🇷🇦🇷🇦🇷🇦🇷🇦🇷🇦🇷🇦🇷🇦🇷🇦🇷🇦🇷🇦🇷🇦🇷</t>
  </si>
  <si>
    <t>📸 Fotos de la apasionante e intensa victoria 2-0 de #ARG vs #MEX en la segunda fecha del Grupo C. https://t.co/flbAAgEAWT</t>
  </si>
  <si>
    <t>OPERATIVO DE ASISTENCIA CONSULAR
El equipo estuvo presente en el estadio de Lusail durante el partido 🇦🇷🇲🇽
@CancilleriaARG #Argentina @roadto2022es @fifaworldcup_es #Qatar2022 #Qatar 🇶🇦 https://t.co/AJzw8iUQvb</t>
  </si>
  <si>
    <t>Este abrazo 👇 https://t.co/oijrc7IQJj</t>
  </si>
  <si>
    <t>ordorica_g</t>
  </si>
  <si>
    <t>¡México y Argentina, siempre amigos, siempre latinoamericanos! https://t.co/k1S3oqcmgJ</t>
  </si>
  <si>
    <t>fifacom_es</t>
  </si>
  <si>
    <t>OFICIAL
La asistencia esta noche en el Estadio de Lusail para el #ARGMEX ha sido la más alta en la historia de un partido de la @FIFAWorldCup masculina desde la final de 1994 (94.194 espectadores).
@Argentina | @miseleccionmx https://t.co/Vyit28ZP1y</t>
  </si>
  <si>
    <t>EmbaMexQatar</t>
  </si>
  <si>
    <t>¡Gracias por el gran trabajo en equipo!
🇲🇽🤝🇦🇷
#CentroMéxicoQatar2022 #mexicoargentina @DiplomaciaPubl https://t.co/sfQB5TpiTG</t>
  </si>
  <si>
    <t>#Qatar2022
⚽ @Argentina 🇦🇷 2 (Lionel #Messi y Enzo Fernández) 🆚 #México 🇲🇽 0   
👉 ¡Final del partido!
🔜 El elenco comandado por Lionel Scaloni jugará el próximo miércoles ante #Polonia 🇵🇱 
¡Vamos #TodosJuntos! 🤜🤛 https://t.co/81Wx3o97c0</t>
  </si>
  <si>
    <t>🇦🇷 Enzo ❤️ Leo 🇦🇷 https://t.co/jCP6pjTXx2</t>
  </si>
  <si>
    <t>¡Ganó Argentina! Un golazo de Messi y otro de Fernández le dieron los 3 puntos a #ARG vs #MEX en un intenso y vibrante partido por el Grupo C. https://t.co/ahWwx3BXsW</t>
  </si>
  <si>
    <t>🇦🇷 GANÓ ARGENTINA 🇦🇷</t>
  </si>
  <si>
    <t>#Qatar2022
📸 Una foto, dos goleadores 👏🇦🇷 https://t.co/OQQPGmVdkZ</t>
  </si>
  <si>
    <t>¡Momento histórico! El partido entre #ARG vs #MEX en el Estadio Lusail se convirtió en el partido con el mayor número asistentes en la historia de Qatar. 🏟️🤯 https://t.co/upLCTQcr8j</t>
  </si>
  <si>
    <t>@ordorica_g @EmbaMexQatar Felicitaciones Embajador por el trabajo de toda la @EmbaMexQatar 🇲🇽🇶🇦 afuera del estadio. 
Adentro del campo de juego ¡nuestros equipos disputaron un partidazo!
@CancilleriaARG #Argentina 🇦🇷 @Guille__Nicolas @SRE_mx @roadto2022es @fifaworldcup_es #Qatar2022</t>
  </si>
  <si>
    <t>⚽ Mundial de #Qatar2022
🇦🇷 Argentina 2 🆚 0 México 🇲🇽 
Pero qué pedazo de gol acaba de hacer Enzo Fernández, por favor 😍 
https://t.co/Py5uOxHd3e</t>
  </si>
  <si>
    <t>#Qatar2022 
🎥 ¡Qué golazo, Enzo! 🙌
https://t.co/GSYvsBEITg</t>
  </si>
  <si>
    <t>¡¡¡VAMOS @ARGENTINA!!!
💙🤍💙
@CancilleriaARG @Guille__Nicolas #Argentina 🇦🇷 @afa @roadto2022es #Qatar @fifaworldcup_es #Qatar2022 https://t.co/13Lt7cyaK8</t>
  </si>
  <si>
    <t>الجماهير الأرجنتينية تشكر دولة قطر على التنظيم المميز 
#قطر2022 #كاس_العالم_قطر_2022 #قنوات_الكاس @Argentina  @afa https://t.co/1b1qvPQFdV</t>
  </si>
  <si>
    <t>La Copa del Mundo es lo más hermoso que existe 😍
México 🤝 Argentina 
#Qatar2022 https://t.co/yNc9OU7Noa</t>
  </si>
  <si>
    <t>#Qatar2022 Encontrá aquí todos los datos de la #CopaMundial 🏆
📝 https://t.co/TQVRF0skIK https://t.co/Sred01C5Xb</t>
  </si>
  <si>
    <t>La fiesta 🤪 también está en el metro camino al Estadio Lusail 🏟️
#ARG VS #MEX 
#Qatar2022 https://t.co/LSvePaFdvo https://t.co/CYsiCHjSsX</t>
  </si>
  <si>
    <t>@JoacoViajando @CancilleriaARG Hola. No tenemos injerencia sobre Hayya. Debe comunicarse con el centro de atención: https://t.co/xh7gNj9viK</t>
  </si>
  <si>
    <t>Roadto2022Go</t>
  </si>
  <si>
    <t>The fun and excitement continues with the continuation of the FIFA World Cup #Qatar2022 competitions
Find out the schedule of matches for today, Saturday, November 26 👇 https://t.co/XejDN57MCL</t>
  </si>
  <si>
    <t>Your guide to reaching Lusail Stadium 
#Qatar2022 https://t.co/IW1Pp3Agkx</t>
  </si>
  <si>
    <t>Rogamos que ante un incidente se comuniquen inmediatamente con nuestro equipo para que podamos asistirlos.
EQUIPO DE PRENSA
Manuel Paz y Sofia Paglia 
(solicitar contactos por DM)
EMERGENCIAS:
+974 5039 8775
@CancilleriaARG 🇦🇷</t>
  </si>
  <si>
    <t>Queremos que sepan que este acccionar de las autoridades qataríes o de cualquier individuo resulta INADMISIBLE y que esta Embajada hará TODO lo que esté a su alcance para resguardar sus derechos y su seguridad.
(sigue 👇🧵)</t>
  </si>
  <si>
    <t>Estimadas/os periodistas:
Desde la Embajada hemos tomado conocimiento de que algunos de ustedes han experimentado situaciones adversas cuando desarrollaban sus tareas, principalmente en la vía pública, incluso teniendo todos los permisos y acreditaciones en regla.
(sigue 👇🧵)</t>
  </si>
  <si>
    <t>📢
⚽️ 🇦🇷 - 🇲🇽
🗓 26.11.22
⏰️ 22:00
🏟 LUSAIL
@CancilleriaARG 🇦🇷 #Argentina @afa @Argentina
#Qatar2022 @roadto2022es @Roadto2022Go @fifaworldcup_es 
👇
📽 @roadto2022news #Qatar 🇶🇦 https://t.co/vse57ucxsf https://t.co/gaNukrpNl6</t>
  </si>
  <si>
    <t>En el marco del Operativo de Asistencia Consular visitamos junto a colegas 🇲🇽 @EmbaMexQatar @SRE_mx el 🏟 #LUSAIL en la antesala del partido que @Argentina disputará contra @FMF
@CancilleriaARG 🇦🇷 @Guille__Nicolas #Argentina 🇦🇷 @roadto2022es @fifaworldcup_es 🇶🇦 #Qatar2022 https://t.co/NH9v1Zt2Kt</t>
  </si>
  <si>
    <t>Participamos de la inauguración del @TangoD10S 
Compartimos la tarde con algunos de los campeones del '86 y con argentinas/os que se acercaron al evento
¡VAMOS #ARGENTINA! 🇦🇷
@CancilleriaARG @Guille__Nicolas @argentina @qatarairways @roadto2022es @fifaworldcup_es 🇶🇦 #Qatar2022 https://t.co/WQcDuNcTnb</t>
  </si>
  <si>
    <t>mindelamujercba</t>
  </si>
  <si>
    <t>DÍA INTERNACIONAL DE LA ELIMINACIÓN DE LA VIOLENCIA CONTRA LAS MUJERES 
Arrancamos los #16días de activismo para la eliminación de la violencia de género. 
🟠 Activismo para poner fin a la violencia contra las mujeres y niñas🟠
@ONUMujeres 
@ONUMujeresArg
@gobdecordoba https://t.co/8X9sCtf2La</t>
  </si>
  <si>
    <t>pablosegura5</t>
  </si>
  <si>
    <t>Excelente la atención en @embargenqatar. Muchas gracias! https://t.co/xNKtx7xwoA</t>
  </si>
  <si>
    <t>✈️ ¡Bienvenidos a Qatar! 🇶🇦
@Aerolineas_AR #Argentina 🇦🇷 @CancilleriaARG #Qatar2022 @roadto2022es @fifaworldcup_es https://t.co/Q3fY20lOTr</t>
  </si>
  <si>
    <t>Mirá si no vamos a confiar 🇦🇷 https://t.co/rWeMDDfa9j</t>
  </si>
  <si>
    <t>📸 Algunas postales de hoy en la Embajada:
Asistencia Consular, transmisión en vivo y #Malvinas 💙🤍💙
@CancilleriaARG #Argentina 🇦🇷 https://t.co/bAJXt3pSLD</t>
  </si>
  <si>
    <t>La visita se dio en el marco de las presentaciones de @malevook en el @MALLOFQATAR durante el Mundial FIFA #Qatar2022
El Embajador @Guille__Nicolas tuvo la oportunidad de conversar con los artistas, antes de que salgan al escenario. https://t.co/q1uxgHgQMO</t>
  </si>
  <si>
    <t>OPERATIVO DE ASISTENCIA CONSULAR 
El equipo de la Embajada, con el apoyo de @CancilleriaARG, se encuentra presente en 🇶🇦, asistiendo a las y los 🇦🇷 en el marco del Mundial FIFA #Qatar2022
@afa @argentina 🇦🇷 #Argentina #Qatar @roadto2022es @fifaworldcup_es @HIAQatar https://t.co/sl8Vj6lTjv</t>
  </si>
  <si>
    <t>¡Muchas gracias @malevook y @MALLOFQATAR por esta invitación!
El Embajador @Guille__Nicolas, junto a su esposa, tuvieron la posibilidad de presenciar el espectacular show de MALEVO en #Doha 🇶🇦
@culturalesarg #Argentina 🇦🇷 @roadto2022es @fifaworldcup_es #Qatar2022 #Qatar https://t.co/TYaBIpmdD3</t>
  </si>
  <si>
    <t>El crecimiento sostenido del comercio exterior fortalece nuestra economía y genera empleo de calidad 🇦🇷⬆️
En los primeros diez meses de 2022 las exportaciones alcanzaron un récord de USD 75.144 millones y ya superan en USD 10.000 millones las cifras de todo el año 2019. https://t.co/hpgylVfTXp</t>
  </si>
  <si>
    <t>MALLOFQATAR</t>
  </si>
  <si>
    <t>Witness the magnificent Argentinian dance group Malevo at Mall of Qatar! 
🗓️ Daily at 3:00, 6:30, &amp;amp; 9:00 PM until 26 November.
📍 Oasis Stage, Mall of Qatar
@malevook 
#mallofqatar #Argentiniandancegroup #Malevo #powerful #drumming #dynamic #dance #entertainment #exciting https://t.co/xDRPxzIYfS</t>
  </si>
  <si>
    <t>✈️ Llegó a #Doha el tercer vuelo de @Aerolineas_AR
El equipo de la Embajada estuvo en @HIAQatar brindando asistencia consular a las/os 🇦🇷 en su arribo a #Qatar 🇶🇦
@CancilleriaARG #Argentina @roadto2022es @fifaworldcup_es #Qatar2022 https://t.co/850fqNAfh4</t>
  </si>
  <si>
    <t>Tras la derrota ante #KSA, Leo Messi, capitán de #ARG, bancó a su equipo y puso la mira en el partido del próximo sábado ante #MEX. 
#Qatar2022 https://t.co/0WgkqDn9C3</t>
  </si>
  <si>
    <t>#Qatar2022 #TodosJuntos https://t.co/bH8C9Lovwu</t>
  </si>
  <si>
    <t>OPERATIVO DE ASISTENCIA CONSULAR
Nuestro equipo estuvo presente en el estadio durante la previa, partido y la salida. 
Agradecemos al Comité Organizador y a FIFA por este espacio y por su cooperación.
@CancilleriaARG #Argentina 🇦🇷 @roadto2022es @fifaworldcup_es #Qatar2022 🇶🇦 https://t.co/5A878hDBpm</t>
  </si>
  <si>
    <t>Estamos re manija! ⚽ ¡La hinchada ya partió en nuestros vuelos a Qatar! ✈️ Mañana juega La Scaloneta. 🕧 👉 Y vos, ¿Cómo te preparás para alentar a @Argentina?  #VamosArgentina https://t.co/v7ylr5dxe2</t>
  </si>
  <si>
    <t>En la cancha hay 11, pero el equipo que alienta a la selección está formado por millones. ¡Alentemos en equipo! Ahora más que nunca #VamosArgentina. Y vos, ¿cómo estás alentando? @BinanceArg https://t.co/M7l5HyCFjC</t>
  </si>
  <si>
    <t>¡Así se vive el banderazo argentino 🇦🇷 en el Countdown Clock en el Corniche, en Doha! 🤩
Los hinchas están ansiosos por el debut de su selección mañana frente a Arabia Saudita. 
#Qatar2022 https://t.co/OU16MKvGnr</t>
  </si>
  <si>
    <t>@estefaniariquel @fifaworldcup_es @Argentina Hola Estefanía. Nos comentan que las líneas en español tienen más demora que las en inglés. Te sugerimos probar con éstas últimas.</t>
  </si>
  <si>
    <t>OPERATIVO DE ASISTENCIA CONSULAR
Estar presentes para prevenir e informar es un elemento central de nuestra asistencia. Por eso hoy estuvimos en este banderazo 🇦🇷
¡VAMOS @Argentina! 💙🤍💙
@CancilleriaARG #Argentina @afa @roadto2022es @fifaworldcup_es https://t.co/WOFWui2Z1O</t>
  </si>
  <si>
    <t>@estefaniariquel @fifaworldcup_es @Argentina Hola. Necesitás contactar al centro de atención de Hayya https://t.co/MqWF4hnllo</t>
  </si>
  <si>
    <t>¿Manijas por el debut? ¡Tremendo banderazo de @Argentina en #Qatar2022! 
🇦🇷🇦🇷🇦🇷🇦🇷🇦🇷🇦🇷🇦🇷🇦🇷🇦🇷🇦🇷🇦🇷🇦🇷
#CopaMundialFIFA https://t.co/4uIfjCnBlg</t>
  </si>
  <si>
    <t>🇶🇦 Mundial FIFA #Qatar2022
En el marco del Operativo de Asistencia Consular coordinado junto a @CancilleriaARG 🇦🇷 y otras Embajadas argentinas en la región, ponemos a disposición número de contacto para EMERGENCIAS de nuestra Embajada en Arabia Saudita @EnSaudita 🇸🇦 https://t.co/vYVQkKJQZ1</t>
  </si>
  <si>
    <t>Podés encontrar #carneargentina en las principales cadenas de supermercados de #Doha: @Carrefour_qa y @MonoprixQatar 
@CancilleriaARG @IPCVA @PromocionARG #Argentina 🇦🇷 #Qatar 🇶🇦 #Qatar2022 https://t.co/2ImiIOHI4K</t>
  </si>
  <si>
    <t>🤔 Para los hinchas de @Argentina: ¿Cuál debería ser el hashtag oficial en #Qatar2022? #ARG, #LaAlbiceleste, #SeleccionArgentina o...
OK, con ustedes: #LaScaloneta https://t.co/ZouGXtolY6</t>
  </si>
  <si>
    <t>🚌 ¿Quién está subido a #LaScaloneta? https://t.co/BbmFYMhzqO</t>
  </si>
  <si>
    <t>The #FIFAFanFestival at Al Bidda Park is officially open!
•It is free to enter
•Open to Hayya Card holders until 18 December
•Watch all #Qatar2022 matches on giant screens and enjoy great music, culture and cuisine https://t.co/Qj5jCExnIj</t>
  </si>
  <si>
    <t>🏬 Centro Internacional de Servicios Consulares
📍@Deccqatar
✅️ Abierto de 10 a 22.
🇦🇷 @CancilleriaARG #Argentina 
🇶🇦 @roadto2022es @fifaworldcup_es 
⚽️ #Qatar2022 https://t.co/eHSizURQw3</t>
  </si>
  <si>
    <t>🇦🇷🇲🇽 Trabajamos codo a codo junto a nuestros colegas y amigos mexicanos de @EmbaMexQatar
@embargenqatar @CancilleriaARG #Argentina #Qatar2022 @roadto2022es @fifaworldcup_es @Deccqatar https://t.co/28AyGlbgkr</t>
  </si>
  <si>
    <t>#FIFAWorldCup Lionel Scaloni: el entrenador campeón de América que tendrá su debut mundialista. 
📝 https://t.co/9Smy13zBzH https://t.co/3lwuxwKcs9</t>
  </si>
  <si>
    <t>¡Llegó el vuelo AR1912 a Doha!
Aterrizó el primer vuelo de @Aerolineas_AR en Qatar en la antesala del Mundial FIFA 2022. Nuestra @embargenqatar asistió a los argentinos y las argentinas en su ingreso al país. https://t.co/rt0aGH0zus</t>
  </si>
  <si>
    <t>¡Llegó el vuelo AR1912 a #Doha!
Primer vuelo de @Aerolineas_AR llegando a #Qatar en la antesala del Mundial FIFA #Qatar2022 
@CancilleriaARG #Argentina 🇦🇷 https://t.co/Iv57JqMqIG</t>
  </si>
  <si>
    <t>@intertambero @Guille__Nicolas @TV_Publica @CancilleriaARG @FIFAcom @TyCSports @TurDepAR Hola. Te sugerimos contactar directamente al centro de atención de Hayya.
@roadto2022es @fifaworldcup_es https://t.co/zPlCx8F6iR</t>
  </si>
  <si>
    <t>Así promociona el @MALLOFQATAR el show argentino MALEVO
La gráfica de @malevook en el perfil del centro del principal centro de compras de #Doha
@culturalesarg @CulturaNacionAR
#Argentina 🇦🇷 @CancilleriaARG
#Qatar2022 @roadto2022es @fifaworldcup_es https://t.co/HMqnXxozps</t>
  </si>
  <si>
    <t>Por cuestiones relacionadas con HAYYA CARD, por favor contactarse con el Centro de Atención Hayya: https://t.co/gFki6X99N6</t>
  </si>
  <si>
    <t>¡Llegó la hinchada! ✈️ ¡Cada vez más cerca de Qatar!
Sponsor Digital de @Argentina https://t.co/oXFdZUTQlg</t>
  </si>
  <si>
    <t>https://t.co/Nmtovq3s14</t>
  </si>
  <si>
    <t>https://t.co/NJ2utxNIKz</t>
  </si>
  <si>
    <t>https://t.co/WrD8q5Aj9L</t>
  </si>
  <si>
    <t>https://t.co/U6YThLB2uJ</t>
  </si>
  <si>
    <t>https://t.co/ApYTBAk4kh</t>
  </si>
  <si>
    <t>https://t.co/MjxTMADEMj</t>
  </si>
  <si>
    <t>¡Acá los estamos esperando en Qatar🇶🇦!
Ansiamos recibir el primero vuelo comercial de @Aerolineas_AR a #Doha @HIAQatar
💙🤍💙
@CancilleriaARG #Argentina 🇦🇷 @roadto2022es @Roadto2022Go @fifaworldcup_es @argentina @afa https://t.co/wAnljGE1Uz</t>
  </si>
  <si>
    <t>📢 
#Qatar2022 🇶🇦
Ingreso a Qatar, cruce de frontera terrestre, Hayya Card, ingreso a los estadios y más 👇
Cortesía de @roadto2022news @roadto2022es @Roadto2022Go https://t.co/DPNDRnRiu5</t>
  </si>
  <si>
    <t>Durante la recepción brindó entrevistas y tuvo la oportunidad de conversar con las/os periodistas en la previa del Mundial FIFA #Qatar2022 🇶🇦
Agradecemos la presencia de todas/os las/os profesionales y celebramos su compromiso de difundir información para nuestros connacionales. https://t.co/NO0vUHh1H7</t>
  </si>
  <si>
    <t>El Embajador Guillermo NICOLAS @Guille__Nicolas ofreció una recepción para la prensa en #Doha. El encuentro tuvo lugar en la Residencia Oficial y contó con la participación de productores y periodistas de la @TV_Publica y otros medios.
@CancilleriaARG 🇦🇷 https://t.co/xCqbFT8uXW</t>
  </si>
  <si>
    <t>High time for #SportsDiplomacy now with #WorldcupQatar2022 around the corner!
Great #DigitalDiplomacy work in progress by 🇦🇷@embargenqatar to interact and disseminate consular and general info on the spot. https://t.co/TDrltkXCGB</t>
  </si>
  <si>
    <t>GALA DE CAMPEONES
Ayer disfrutamos de una espectacular presentación de la @qatar_phil en @kataraqatar 🇶🇦
https://t.co/GPt2CidGje
#Qatar2022 @QF @CancilleriaARG
@Guille__Nicolas @culturalesarg #Argentina 🇦🇷
Les dejamos por acá un pedacito de Invierno Porteño de Astor Piazzola: https://t.co/UW4hT8bAof</t>
  </si>
  <si>
    <t>La fiesta que se vivió con los fans de la selección Argentina 🇦🇷 en el recibimiento a Messi y compañía en Qatar University, el lugar donde concentrarán y entrenarán durante #Qatar2022 🏆 https://t.co/wQnKd9iMrc</t>
  </si>
  <si>
    <t>Faltan 2️⃣ días para #Qatar2022
⭐️⭐️
@argentina @afa #Argentina 🇦🇷 @CancilleriaARG @roadto2022es @fifaworldcup_es 🇶🇦</t>
  </si>
  <si>
    <t>Get ready to experience the force and energy of the famous Argentinian dance group Malevo, as they leave your adrenaline running high!
Don’t miss out! 
🗓️ November 18-26 at 3:00, 6:30, &amp;amp; 9:00 PM
🗓️ November 20 at 3:00, 5:00, &amp;amp; 9:00 PM
📍 Oasis Stage, Mall of Qatar
#Malevo https://t.co/wpu2OIq3CG</t>
  </si>
  <si>
    <t>Si sos argentino tenés que ver este video 🇦🇷🥹
#Qatar2022 https://t.co/qnMTyup2Gd</t>
  </si>
  <si>
    <t>#SelecciónMayor ¡Conocé nuestra casa en #Qatar! 😍
📝 https://t.co/vs99bP1U1r https://t.co/iiUZQ5IChv</t>
  </si>
  <si>
    <t>Con capacidad para 40.000 personas, el Estadio 974 es uno de los mejores recintos de #Qatar2022.
¿Sabías que es el primer estadio FIFA en la historia que puede ser totalmente desarmado y rearmado luego del evento?😱🏟️ https://t.co/Yz8LKhpWYN</t>
  </si>
  <si>
    <t>@lbacigaluppi @roadto2022es @Argentina @afa @CancilleriaARG @fifaworldcup_es Hola. Mandanos un mail a qatar2022@cancilleria.gob.ar
Mientras tanto, te sugerimos que llamas a Hayya https://t.co/7Vg9NsoD8J</t>
  </si>
  <si>
    <t>Mi rincón preferido de la casa de @Argentina en #Doha, obra del GENIO de Dan y su equipo.
💙🤍💙
@afa @adidasAR #Argentina 🇦🇷 @CancilleriaARG @embargenqatar
#Qatar2022 🇶🇦 @roadto2022es @fifaworldcup_es @QatarUniversity https://t.co/GbLHJwzgH0</t>
  </si>
  <si>
    <t>PeninsulaQatar</t>
  </si>
  <si>
    <t>IN PHOTOS: Argentina team arriving in Qatar
#Qatar #FIFAWorldCup #Argentina #QatarWorldCup2022 #FIFAWorldCup https://t.co/SKBOLGLorD</t>
  </si>
  <si>
    <t>Yendo no, Llegando...📍🇶🇦
🇦🇷 @Argentina aterrizó en Doha para disputar la #FIFAWorldCup. https://t.co/S0rE8VmDgz</t>
  </si>
  <si>
    <t>📲 El paso a paso para obtener tu Hayya Card luego de su aprobación. 
#Qatar2022 https://t.co/pWsZztPcIO</t>
  </si>
  <si>
    <t>ARGinAustralia</t>
  </si>
  <si>
    <t>Si viajas al mundial, te sugerimos consultar esta guía informativa desarrollada por la Cancillería argentina para facilitar tu estadía.
https://t.co/RrmvSr0Xde https://t.co/jPDWTS1b5f</t>
  </si>
  <si>
    <t>¡Bienvenida @argentina a #Doha!
@afa 🇦🇷 #Qatar2022 🇶🇦 @roadto2022es @fifaworldcup_es https://t.co/0TcBpsLUw8</t>
  </si>
  <si>
    <t>💜 “La nueva remera alternativa de la Selección transmite un poderoso mensaje de igualdad de género () A través del deporte tenemos la oportunidad de cambiar la vida de las personas, y el fútbol es uno de los instrumentos ideales para transformar la realidad" P. Lamo @adidasAR 🇦🇷 https://t.co/juP3uMluEQ</t>
  </si>
  <si>
    <t>¡Ahora sí! Llegó el momento 🇦🇷
¡Nos vamos a #Qatar! 😀
Y nada mejor que ir juntos a #Qatar https://t.co/CXaBJ99Sb1</t>
  </si>
  <si>
    <t>AgriculturaAR</t>
  </si>
  <si>
    <t>Nuestro país exporta productos agroindustriales a Qatar por más de 10 millones de dólares anuales. 🇦🇷🇶🇦
Falta solo una semana para el debut de @Argentina en #Qatar2022 y te contamos todo sobre el mundial que juega nuestra agroindustria. 🌎
#GolDelAgro ⚽️🚜 https://t.co/2mxSSwCGrl</t>
  </si>
  <si>
    <t>💾  𝐈𝐍𝐅𝐎 𝐏𝐀𝐑𝐀 𝐆𝐔𝐀𝐑𝐃𝐀𝐑 💾  Estos son los recorridos de los buses especiales alrededor de Doha. 
El servicio de 𝘴𝘩𝘶𝘵𝘵𝘭𝘦 funcionará con horarios extensos y gran frecuencia. Opción ideal para andar por el Corniche, Souq Waqif y alrededores. 🚌
#Qatar2022 https://t.co/UzodFm28W8</t>
  </si>
  <si>
    <t>🇶🇦 Fans have arrived and are exploring one of Qatar's most popular attractions, Souq Waqif.
🎬 Check out this clip of Argentina fans getting involved in the Arab culture.
@FIFAWorldCup https://t.co/VMXVxyUmQT</t>
  </si>
  <si>
    <t>Sugerimos además consultar la Guía de recomendaciones para conocer más sobre la Hayya y los demás requisitos establecidos para ingresar a #Qatar 🇶🇦:
https://t.co/LVne37EkVn
@CancilleriaARG @roadto2022es @fifaworldcup_es</t>
  </si>
  <si>
    <t>IMPORTANTE: quien venga a #Qatar2022 necesita HAYYA CARD aprobada, y con los datos correctos (revisar que coincidan con pasaporte).
Aerolíneas verifican al abordar vuelo, ya sea en origen o en escala.
@CancilleriaARG @Migraciones_AR @Aerolineas_AR @roadto2022es @fifaworldcup_es https://t.co/hzm8UOGdvU</t>
  </si>
  <si>
    <t>🏆 #FIFAWorldCup La copa y el 10: todos los Mundiales de Diego 🔟.
📝 https://t.co/ZgGJBOd53Q https://t.co/4PSMyGwnsS</t>
  </si>
  <si>
    <t>🎶 Oooooh, oh, oh, oh, ooooh 😍
Falta muy poco para que los hinchas de @Argentina vuelvan a corear su himno en la #FIFAWorldCup. 🇦🇷 https://t.co/SSZ8EK9Jch</t>
  </si>
  <si>
    <t>@ilcarbo @CancilleriaARG @afa @Argentina @roadto2022es @fifaworldcup_es Es obligatoria su descarga y activación. Lo que NO hace falta es cargar la documentación y solicitar la pre-aprobación.</t>
  </si>
  <si>
    <t>The Argentinian dance group Malevo will be at Mall of Qatar!
Showtimes:                                                                                                                           
🗓️ November 18-26 at 3:00, 6:30, &amp;amp; 9:00 PM
🗓️ November 20 at 3:00, 5:00, &amp;amp; 9:00 PM https://t.co/FNjzbFewNR</t>
  </si>
  <si>
    <t>Guía #Qatar2022
Ya se encuentra disponible una nueva actualización (V6)
https://t.co/LVne37EkVn
@CancilleriaARG #Argentina 🇦🇷 @afa @argentina @roadto2022es @fifaworldcup_es #Qatar 🇶🇦 https://t.co/bhgdPgnYo9</t>
  </si>
  <si>
    <t>Tickets? ✅​
Hayya Card and accommodation? ✅​
Official #FIFAWorldCup Fan Guide? 👇</t>
  </si>
  <si>
    <t>¡𝗗𝗲𝗹 𝗽𝗼𝘁𝗿𝗲𝗿𝗼 𝗮𝗹 𝗺𝘂𝗻𝗱𝗼! Maradona, Messi y muchos más. ⭐️ 
Golazos de @Argentina en la Copa Mundial. 🇦🇷🔝 https://t.co/2O81W1FCQo</t>
  </si>
  <si>
    <t>Estamos trabajando junto a @CancilleriaARG para tener presencia en todo #Qatar y brindar una asistencia eficiente e integral.
#Argentina 🇦🇷 @marcapaisar @TurismoNacionAR @Aerolineas_AR @roadto2022es @fifaworldcup_es #Qatar 🇶🇦 #nowisall https://t.co/eEwOU3kRci</t>
  </si>
  <si>
    <t>La Embajada se está preparando para asistir a todas/os las/os argentinas/os que asistan al Mundial FIFA #Qatar2022.
Para que puedan ser identificados, los miembros del Operativo estarán utilizando un chaleco azul y una identificación. https://t.co/cduhKHfMxU</t>
  </si>
  <si>
    <t>OPERATIVO DE ASISTENCIA CONSULAR
Algunas/os de las/os funcionarias/os que forman parte del equipo de asistencia consular de la Embajada visitaron el Centro Internacional de Servicios Consulares, ubicado en el @deccqatar https://t.co/hGpKbjoKXm</t>
  </si>
  <si>
    <t>📱 Fondo de pantalla 🇦🇷
Cortesía del @roadto2022es 🇶🇦
@argentina @afa #Argentina @CancilleriaARG @fifaworldcup_es https://t.co/xQAilUv6YI</t>
  </si>
  <si>
    <t>🏟️ESTADIO DE LUSAIL
 ⚽️22.11.22 🇦🇷🇸🇦 13:00
 ⚽️26.11.22 🇦🇷🇲🇽 22:00
@CancilleriaARG #Argentina @afa @argentina #Qatar2022 🇶🇦 @roadto2022es @Roadto2022Go @fifaworldcup_es 
📸@roadto2022news https://t.co/pHf3DQP71G</t>
  </si>
  <si>
    <t>@pepeotegui @periodistan_ @Argentina @ArgentinaEnInd @ApsenMre @CancilleriaARG Hola @pepeotegui. Gracias por este tweet
💙🤍💙
¡Si! Acá en #Doha estamos maravillados con el apoyo de @ArgentinafansQA, un grupo de nacionales de 🇮🇳🇧🇩🇱🇰🇵🇰 y otros países, que alientan por 🇦🇷
#Qatar2022 🇶🇦 @roadto2022es @fifaworldcup_es @afa @Argentina</t>
  </si>
  <si>
    <t>Gracias @khaledhallar y @A24COM.
Estamos preparándonos para asistir a las/os 🇦🇷.
El Operativo de Asistencia Consular, coordinado junto a @CancilleriaARG, es nuestra prioridad absoluta.
El primer paso es informar. Para eso, creamos esta Guía:
https://t.co/LVne37DN5P https://t.co/jlQIhIe9Ee</t>
  </si>
  <si>
    <t>This Diego Maradona goal was simply magical 🇦🇷🪄
#BornBrave | @cryptocom https://t.co/ZnAdtp8VVu</t>
  </si>
  <si>
    <t>💳⚠️ Este video contiene información importante sobre tu Hayya Card ⚠️💳
Visita https://t.co/tkkA9Ds5o5 o descarga la app. 📲 https://t.co/WRXCqcF3Cd</t>
  </si>
  <si>
    <t>4️⃣ countries from 4️⃣ continents 🌎
Group C is coming from all over the world to #Qatar2022 https://t.co/xTW9nE8A7g</t>
  </si>
  <si>
    <t>Un 11/11/11 las Cataratas del Iguazú en la provincia de @MisionesTurismo fueron declaradas una de las 7 Maravillas Naturales del Mundo. Por eso hoy, 11 años después, celebramos el #CataratasDay 🌈
¿Ya conoces nuestras majestuosas Cataratas? 😍🇦🇷 https://t.co/dDUyzJbLJv</t>
  </si>
  <si>
    <t>¿Dijeron Fútbol? ¿Mundial? ¿Qatar 2022? ¿Dijeron ansiedad y pasión? Entonces están hablando de #Argentina 😎🇦🇷💫
El entrenador del seleccionado argentino @lioscaloni te cuenta qué jugadores van a representar a nuestro país. ¿Cuántos hinchas de Argentina hay en este TL? ⚽️😊 https://t.co/sTSjbffWdx</t>
  </si>
  <si>
    <t>Watch!
An author, teacher, travel agent and content producer from Argentina have completed the journey of a lifetime after cycling from South Africa to Qatar to attend this year’s @FIFAWorldCup.
Read the full story: https://t.co/oOIzdi64Fs https://t.co/IWbB4vrPcW</t>
  </si>
  <si>
    <t>🏆 #FIFAWorldCup La Selección @Argentina: siempre en la elite del fútbol mundial ⚽🌎
🧐 Un repaso de las páginas doradas de la Albiceleste 🇦🇷
📝 https://t.co/nvN5XGbR5G https://t.co/QQNHBZ2caM</t>
  </si>
  <si>
    <t>¡La fiesta mundialista ya está recorriendo las calles de Doha! 🥳
#Qatar2022 https://t.co/y5l1VxDQUB https://t.co/hT8Ofbb86v</t>
  </si>
  <si>
    <t>Chants and cheers as fans gathered on the Corniche today to show support for Team Argentina, France, Germany, Spain, England, and Brazil! (Video by Salim Matramkot/The Peninsula) 
#Qatar2022 #FIFAWorldCup https://t.co/L6bpvrnQQH</t>
  </si>
  <si>
    <t>Nuestros 26 jugadores para #Qatar2022.
Un pueblo detrás de una ilusión. Una camiseta y una bandera que competirá para dejar bien parados a 45 millones de argentinos y argentinas 🇦🇷
#TodosJuntos https://t.co/jjF06Erl2k</t>
  </si>
  <si>
    <t>#Qatar2022 El sueño ya comenzó 💪 
Ésta es la lista de futbolistas que defenderán la camiseta de la Selección Argentina 🇦🇷
#TodosJuntos https://t.co/jwJ3hbzvf0</t>
  </si>
  <si>
    <t>#Qatar2022 Nuestro entrenador @lioscaloni dio a conocer la nómina de jugadores que nos representarán en esta nueva edición de la @FIFAWorldCup.
¡Con ustedes los elegidos! 🤜🏼🤛🏼😁
#TodosJuntos 🇦🇷 https://t.co/qUeY2uygVv</t>
  </si>
  <si>
    <t>Hicimos este mapa interactivo de Qatar 🇶🇦 con algunos de los puntos de referencia más importantes: 
📍Puntos de asistencia consular
🏥 Clínicas
🏟️ Estadios
🎫 FIFA Fan Fest
Link al mapa 👉https://t.co/AMulYllThC
Guía actualizada 👉https://t.co/JmeOMdtFTx</t>
  </si>
  <si>
    <t>🇦🇷 https://t.co/xwiJ7KXCds</t>
  </si>
  <si>
    <t>🏆 #FIFAWorldCup Un repaso por todas las camisetas mundialistas.
Desde el primer Mundial, en 1930, @Argentina viene luciendo en todas las Copas del Mundo su histórica casaca con bastones celestes y blancos, insipirada en nuestra bandera 🇦🇷.
📝 https://t.co/Ug4GIdNwgQ https://t.co/HkU7ieGOjU</t>
  </si>
  <si>
    <t>Ya está disponible la quinta versión de la Guía.
Entre otras novedades, junto al equipo de @CancilleriaARG sumamos información sobre los medicamentos permitidos y prohibidos al ingresar a Qatar 🇶🇦, y un mapa interactivo con algunos puntos de interés.
https://t.co/LVne37VnXn https://t.co/xOLclT8ntb</t>
  </si>
  <si>
    <t>QatarNewsAgency</t>
  </si>
  <si>
    <t>#قنا_إنفوجرافيك | 
تعرف على منتخبات المجموعة الثالثة المشاركة في #كأس_العالم_قطر_2022
#قنا_رياضي
#مونديال_قطر2022
#قطر2022 https://t.co/2gaxYpSPE8</t>
  </si>
  <si>
    <t>Junto a @CancilleriaARG seguimos actualizando la Guía y sumando más información sobre el Mundial. Como parte de nuestra preparación para el Operativo de Asistencia Consular, creamos este mapa interactivo que permitr ubicar algunos puntos de interés 
🌍👇
https://t.co/stUUs24Nhw</t>
  </si>
  <si>
    <t>Faltan 1️⃣0️⃣ días para #Qatar2022
🏆🌍⚽️🏟🇶🇦2️⃣0️⃣2️⃣2️⃣
#Argentina 🇦🇷 @CancilleriaARG @afa @Argentina @roadto2022es @fifaworldcup_es https://t.co/aDWNP6Z57e</t>
  </si>
  <si>
    <t>QatarEmb_BA</t>
  </si>
  <si>
    <t>Cualquier persona que visite el Estado de Qatar entre el 1/11/2022 y el 23/12/2022 debe tener una tarjeta Hayya aprobada antes de ingresar.
Los visitantes pueden solicitar su tarjeta Hayya a través del portal Hayya o la aplicación Hayya to qatar 2022. https://t.co/o0SOdJT4kf https://t.co/6Tc7HX52MB</t>
  </si>
  <si>
    <t>Ya está disponible la Guía en su cuarta versión (V4), publicada el 7/11.
Podés acceder utilizando el mismo link:
https://t.co/LVne37VnXn
@CancilleriaARG #Argentina 🇦🇷 @afa @Argentina #Qatar2022 🇶🇦 @roadto2022es @fifaworldcup_es @Aerolineas_AR @Migraciones_AR @TurDepAR https://t.co/c2UGaU16zP</t>
  </si>
  <si>
    <t>Este mensaje recibido en nuestro Instagram es el mejor reconocimiento que nos pueden hacer en este momento de preparación.
¡Gracias a vos!
@CancilleriaARG #Qatar2022 @Guille__Nicolas https://t.co/rsjNL9CtvV</t>
  </si>
  <si>
    <t>Faltan 11 días para #Qatar2022
🏆🌍⚽️🏟🇶🇦2️⃣0️⃣2️⃣2️⃣
@embargenqatar @CancilleriaARG #Argentina 🇦🇷 @afa @Argentina @roadto2022es @fifaworldcup_es https://t.co/mcXHLjMOFp</t>
  </si>
  <si>
    <t>Bienvenidos @Todoapedalok a #Qatar 🇶🇦
Nuestro Cónsul @sassaroli_juan los recibió en la tradicional costanera de Av. Corniche, junto a miembros de la comunidad 🇦🇷 residente.
Gracias @khaledhallar y @A24COM por la nota.
@roadto2022es @fifaworldcup_es @CancilleriaARG #Argentina https://t.co/1xuoAGiGCK</t>
  </si>
  <si>
    <t>Después de recorrer 10.000 kilómetros en bicicleta cruzando África y Medio Oriente, los argentinos 🇦🇷 de @Todoapedalok llegaron a Qatar 🇶🇦  para apoyar a su selección en la Copa del Mundo 🏆🚴  
¿Qué locuras harías tú por tu país?
 #Qatar2022 https://t.co/GXmJ38Gsis</t>
  </si>
  <si>
    <t>¡Qatar 🇶🇦, acá estamos! 😁
#ElSentimientoDeUnPaís 🇦🇷💙 https://t.co/Qvs6Y8QvHh</t>
  </si>
  <si>
    <t>Four Argentinian friends have finally made it to Qatar after six months of cycling 10,500km from South Africa. 
The cyclists crossed 15 countries across two continents to make it in time to watch the kickoff of the @FIFAWorldCup later this month. https://t.co/gg5Kvdx9TM</t>
  </si>
  <si>
    <t>WATCH
Argentina fans in Doha
#Qatar #Qatar2022 #Argentina #FIFA #WorldCup #NowIsAll https://t.co/Gsnq2NUd68</t>
  </si>
  <si>
    <t>سعادة السيد جييرمو لويس نيكولاس سفير الأرجنتين لدى دولة  قطر: ننتظر وصول أكثر من 35 ألف مشجع خلال مونديال #قطر2022 https://t.co/vPDXEaHGPs</t>
  </si>
  <si>
    <t>@natyarlia10 @roadto2022es @fifaworldcup_es Hola por favor comunicate con el equipo de Hayya: https://t.co/aVfDjXYZ3g</t>
  </si>
  <si>
    <t>📢 IMPORTANTE!
Si venis al Mundial #Qatar2022 🇶🇦 necesitás tu HAYYA CARD
Sin Hayya es imposible entrar al país.
Para obtener tu Hayya necesitás: entrada para al menos un partido y hospedaje para tu estadía (o vuelos entrada/salida en el día).
@roadto2022es @fifaworldcup_es https://t.co/f2NN3W45n5</t>
  </si>
  <si>
    <t>¡Acá los estaremos esperando!
@afa @Argentina #Argentina 🇦🇷 @roadto2022es @fifaworldcup_es #Qatar2022 🇶🇦 https://t.co/dj9gklOLN7</t>
  </si>
  <si>
    <t>1820 - 2022: se cumplen 202 años del primer izamiento de la bandera argentina en las Islas Malvinas 🇦🇷 
El coronel David Jewett procedió entonces a tomar posesión oficial de esa parte del territorio nacional en nombre del gobierno argentino. https://t.co/RYVpJ7kbl4</t>
  </si>
  <si>
    <t>Hoy nuestro Cónsul @sassaroli_juan tuvo el privilegio de estampar su firma en uno de los actos que más nos llenan de orgullo a los miembros del Servicio Exterior de la Nación.
Kiara Amal Mulatero Díaz es argentina por opción 🇦🇷
@CancilleriaARG @ApsenMre #Argentina https://t.co/9MycIq26mV</t>
  </si>
  <si>
    <t>Ubicado estratégicamente en el área de West Bay, el Centro será de acceso público. Las/os argentinas/os podrán regitrarse al ingresar y nuestro equipo de Asistencia Consular los recibirá en el espacio cedido por #Qatar 🇶🇦 a nuestro país.
@CancilleriaARG 🇦🇷 #Qatar2022 https://t.co/bnphXsQG23</t>
  </si>
  <si>
    <t>Celebramos esta iniciativa del Comité Organizador @roadto2022news, la cual nos permitirá contar con otro punto de asistencia a nuestros connacionales.
#Qatar2022 🏆🌍⚽️🏟🇶🇦2️⃣0️⃣2️⃣2️⃣</t>
  </si>
  <si>
    <t>Hoy visitamos el Centro Internacional de Servicios Consulares en el @Deccqatar. #Argentina tendrá presencia de 10 a 22 hs.
@CancilleriaARG 🇦🇷 @Argentina @roadto2022es @fifaworldcup_es #Qatar2022 🇶🇦 https://t.co/95PMkBvmry</t>
  </si>
  <si>
    <t>MindefArg</t>
  </si>
  <si>
    <t>#Malvinas | El 6 de noviembre de 1820 el coronel de marina David Jewett tomó posesión de las Islas e izó el pabellón argentino. 
De esta manera reafirmó oficialmente la pertenencia de las Islas Malvinas a las Provincias Unidas del Río de la Plata. 🇦🇷 https://t.co/bjY4w8z60L</t>
  </si>
  <si>
    <t>Se invita a los medios de la República que asistan para la cobertura periodística del Mundial a remitir un correo a la Sección de Prensa, con el objetivo de establecer un contacto fluido y facilitar eventual asistencia.
📧 prensa_eqatr@mrecic.gov.ar
@CancilleriaARG 🇦🇷 https://t.co/8Ek93vNOgz</t>
  </si>
  <si>
    <t>FIESTA ARGENTINA EN QATAR 🇦🇷🇶🇦
Los productores del show en @kataraqatar  de @ciroylospersas nos informaron que ya se encuentran a la venta las entradas en el sitio web:
https://t.co/PZvgNid115
@roadto2022es @fifaworldcup_es #Argentina #Qatar2022 https://t.co/kZC1cDDQtm</t>
  </si>
  <si>
    <t>👆🇦🇷👆
@Argentina @afa #Messi #Argentina 💙🤍💙 @roadto2022es @fifaworldcup_es #Qatar2022 #Doha 🇶🇦 https://t.co/jYFVXYQa0T</t>
  </si>
  <si>
    <t>ArgentinaMFA</t>
  </si>
  <si>
    <t>40th Anniversary of UN Resolution 37/9 on the Malvinas Question 🇦🇷
🇺🇳 In 1982, the UN General Assembly determined that the South Atlantic conflict did not change the nature of the sovereignty dispute and called on the United Kingdom to resume bilateral negotiations. https://t.co/A3GjIq5oh8</t>
  </si>
  <si>
    <t>Hola @visitargentina. Acá en #Doha estamos esperando a las/os 🇦🇷 que vienen a #Qatar2022 🇶🇦, porque cada una/o de ellas/os va a ser la/el mejor Embajador/a de nuestro país, promocionando no sólo nuestro fútbol, sino también a #Argentina como un destino turístico sin igual. https://t.co/YZbWQPQMV1</t>
  </si>
  <si>
    <t>💙🤍💙 #Maradona @afa #Argentina 🇦🇷 @argentina @fifaworldcup_es https://t.co/2iHjrn1YbZ</t>
  </si>
  <si>
    <t>40 años de la Resolución 37/9 de la ONU sobre la Cuestión Malvinas 🇦🇷
🇺🇳 La Asamblea General determinó en 1982 que el conflicto del Atlántico Sur no alteró la naturaleza de la disputa de soberanía e instó al Reino Unido a reanudar las negociaciones bilaterales. https://t.co/wW32cR0jF2</t>
  </si>
  <si>
    <t>El embajador argentino en Qatar respondió las 9 preguntas más frecuentes de los argentinos que irán al Mundial
@CancilleriaARG @Guille__Nicolas #Argentina 🇦🇷 @todonoticias
@roadto2022es @fifaworldcup_es #Qatar2022 🇶🇦
https://t.co/uFlE8aQ1Sx</t>
  </si>
  <si>
    <t>Around 35,000 Argentines expected for #Qatar2022
Entrevista al Embajador @Guille__Nicolas publicada por @PeninsulaQatar
@CancilleriaARG 🇦🇷 @afa @argentina #Argentina @roadto2022es @fifaworldcup_es
https://t.co/u3VTf1yNJ3</t>
  </si>
  <si>
    <t>🫐 Más arándanos argentinos en #Qatar 🇶🇦. En esta oportunidad en la cadena de supermercados @SparQatar
¡Gracias por la 📸 Belén!
@CancilleriaARG @PromocionARG #Argentina 🇦🇷 https://t.co/5uRLVQeiWJ</t>
  </si>
  <si>
    <t>A 16 días del inicio del Mundial: el 16 de noviembre de 2021 fue izada la bandera argentina 🇦🇷 en #Doha cuando @argentina clasificó al Mundial #Qatar2022 
 🏆🌍⚽️🇶🇦2️⃣0️⃣2️⃣2️⃣
@fifaworldcup_es @roadto2022es @afa #Argentina 🇦🇷 @CancilleriaARG https://t.co/ZLIX5klFBY</t>
  </si>
  <si>
    <t>@juliealta Podés escribirnos a:
qatar2022@cancilleria.gob.ar
 secon_eqatr@cancilleria.gob.ar
Respuesta: SI, pero estamos reconfirmando con distintas autoridades 🇶🇦 por continuos cambios en sus políticas migratorias.
Publicamos una guía que incluye este tema, y vamos a actualizarla pronto.</t>
  </si>
  <si>
    <t>Durante el encuentro el Embajador @Guille__Nicolas tuvo la oportunidad de comentar sobre su reciente llegada a #Qatar, su experiencia en la región, el trabajo de la Embajada y el Operativo de Asistencia Consular siendo coordinado con @CancilleriaARG de cara al Mundial #Qatar2022 https://t.co/4IKIJvvJVM</t>
  </si>
  <si>
    <t>Para elaborar el Padrón se utiliza la dirección declarada ante @renaper_ar (que figura en el DNI). Si residís en #Qatar, solicitá un turno por mail para realizar tu cambio de domicilio, y así poder ejercer tu derecho a votar en el exterior.
📧 secon_eqatr@mrecic.gov.ar</t>
  </si>
  <si>
    <t>Desde el 1 de noviembre y por 30 días, se encuentran disponibles los Padrones Provisorios para las Elecciones 2023.
https://t.co/nIFDhvj2y0
@CancilleriaARG @InfoDINE #Argentina 🇦🇷 https://t.co/TzNY6xzwua</t>
  </si>
  <si>
    <t>Gracias @khaledhallar y equipo @A24COM por esta entrevista al @Guille__Nicolas. 
@CancilleriaARG #Argentina 🇦🇷 #Qatar2022 🇶🇦 https://t.co/wqp8F6tIjp</t>
  </si>
  <si>
    <t>An extra 70,000 rooms are now available to book for fans attending the #Qatar2022 @FIFAWorldCup, which will take place from 20 November to 18 December.
Read the full story here: https://t.co/GeN1BLX7eF https://t.co/oG6VixpNuW</t>
  </si>
  <si>
    <t>Ya está disponible para su descarga el Boletín SEMAS Octubre 2022, en idiomas español e inglés: 
Español:
https://t.co/7N8K00AyFf
English:
https://t.co/KLbTPsiJHp
@CancilleriaARG @grcarmonac #MALVINAS #MalvinasNosUne https://t.co/zA5K9eo8U0</t>
  </si>
  <si>
    <t>Junto con @CancilleriaARG 🇦🇷seguimos actualizando la Guía. Ya se encuentra lista para su descarga V3 (mismo link).
https://t.co/LVne37DN5P
Incorporamos todas las novedades informadas por @roadto2022es @Roadto2022Go @fifaworldcup_es @MOPHQatar @MOI_QatarEn @MOFAQatar_ES 🇶🇦 https://t.co/PRgqYnw6lJ</t>
  </si>
  <si>
    <t>Comparto el #BoletínDeNoticias de la Secretaría de Malvinas, Antártida y Atlántico Sur con información correspondiente al mes de Octubre. También contiene las principales notas periodísticas que se han publicado.
Boletín 👇
https://t.co/XO9M72yneR https://t.co/C6HzMavH4T</t>
  </si>
  <si>
    <t>Leo ya está en Qatar 🐐😎
#Qatar2022 https://t.co/CdsyL7Prib</t>
  </si>
  <si>
    <t>Empezó el mes del Mundial y faltan 19 días para #Qatar2022 🏆🌍⚽️🏟🇶🇦2️⃣0️⃣2️⃣2️⃣
@roadto2022es @fifaworldcup_es @afa ⭐️⭐️ @argentina #Argentina 🇦🇷 https://t.co/6GyvJjLtaH</t>
  </si>
  <si>
    <t>Travelling to Qatar for the @FIFAWorldCup?
Follow these steps to access your entry permit to the country via the Hayya to Qatar 2022 app.
Apply now: https://t.co/UxqpL7wLRV https://t.co/KnXPkQTUZ3</t>
  </si>
  <si>
    <t>To support the successful delivery of the @FIFAWorldCup #Qatar2022, the Corniche and many connecting roads will be pedestrianised from 1 November to 19 December.
Read the full story: https://t.co/qRjqafkEX0 https://t.co/3hPNZNJfDr</t>
  </si>
  <si>
    <t>Los principales medios qataríes siguen hablando sobre @martinronmural y su mural de #Maradona 
https://t.co/dNqJaQoUVE</t>
  </si>
  <si>
    <t>Si vas a viajar a #Qatar2022, es importante que ya hayas registrado tu Hayya Card 🪪 https://t.co/ozfL2jSyfl</t>
  </si>
  <si>
    <t>Embajador @Guille__Nicolas y Cónsul @sassaroli_juan participaron de inauguración del Centro Internacional de Servicios Consulares (@Deccqatar de 10 a 22hs). #Argentina tendrá presencia permanente para asistencia consular en @fifaworldcup_es
@CancilleriaARG 🇦🇷 @roadto2022es 🇶🇦 https://t.co/It6Kv5htaH</t>
  </si>
  <si>
    <t>En #Argentina 🇦🇷 diríamos ¡Ojalá!, y acá en #Qatar 🇶🇦 decimos Inshallah!
🤞 #Messi @Argentina @afa @roadto2022es #Qatar2022 https://t.co/vncQ9sWJCG</t>
  </si>
  <si>
    <t>Gracias @khaledhallar y @A24COM por acompañarnos en nuestra #milonga mensual en The House @dusitdohahotel y por compatir esta noche de #tango con la comunidad 🇦🇷 residente en 🇶🇦
@culturalesarg @CancilleriaARG @Guille__Nicolas @manuelpaz84 https://t.co/LklBPEavhN</t>
  </si>
  <si>
    <t>Gracias Muna por mostrar el trabajo de la Embajada y a la comunidad argentina 🇦🇷 en #Qatar 🇶🇦
Noche de #Tango en nuestra #Milonga mensual en The House @dusitdohahotel
@culturalesarg @CancilleriaARG
@Guille__Nicolas @manuelpaz84
@CanalCiudadBA
👇📽
https://t.co/434pehtRFV</t>
  </si>
  <si>
    <t>kataraqatar</t>
  </si>
  <si>
    <t>The mural "The impact of pollution on marine life" by Argentine artist/Martin Ron, decorates the facade of Buld41 in #Katara sponsored by #QTerminals
The mural sends an awareness message about the importance of preserving the environment from the dangers of pollution
@q_terminals https://t.co/JZgoEtumsT</t>
  </si>
  <si>
    <t>🇦🇷⚽️ Argentina es la tierra en donde nace la magia de nuestra selección de fútbol, la que vas a conocer en el #mundial de #Qatar2022💫
Hoy te presentamos a Emiliano "Dibu" Martínez, un jugador con la astucia y la sagacidad de nuestra fauna🐆🔥
#VisitArgentina 
@emimartinezz1 https://t.co/loPTAqRj2I</t>
  </si>
  <si>
    <t>جماهير التانجو تُشعل الأجواء قبل انطلاق مونديال #قطر2022 
#قنوات_الكاس #كأس_العالم https://t.co/UglPzeAaBW</t>
  </si>
  <si>
    <t>Ya se encuentra disponible la nueva actualización. Se puede consultar en el mismo vínculo, identificada como "Versión 2" (V2)
https://t.co/LVne37EkVn
@CancilleriaARG @afa @Aerolineas_AR @TurismoNacionAR @Migraciones_AR @msalnacion @AgenciaTelam @TV_Publica @MinSeg #Argentina 🇦🇷 https://t.co/ql8g69dxJH</t>
  </si>
  <si>
    <t>Más de @martinronmural en #Qatar 🇶🇦
En este caso en @GulfTimes_QATAR
https://t.co/clUCqH1dgU</t>
  </si>
  <si>
    <t>Muchas gracias @ArgentinafansQA por invitarnos a esta Noche de Hinchas en #Qatar 🇶🇦
#Argentina 🇦🇷 @afa @Argentina @CancilleriaARG @Guille__Nicolas @roadto2022es @fifaworldcup_es  #Qatar2022 https://t.co/MkEJJAwc8a https://t.co/fyKvCDyUxf</t>
  </si>
  <si>
    <t>@Angelin64974535 Hola! Gracias por la buena onda. Por ahora el equipo está completo y ya preparándose para los desafíos que vienen. 🇦🇷</t>
  </si>
  <si>
    <t>🏆🌍⚽️🏟🇶🇦2️⃣0️⃣2️⃣2️⃣
©️
1️⃣ 🇦🇷🤞
2️⃣ ❓️
3️⃣ ❓️
4️⃣ ❓️ https://t.co/afsUm4pNzm</t>
  </si>
  <si>
    <t>🏢 6 Rawdat Ehraish
☎️ +974 4417 3601
📧 eqatr@cancilleria.gob.ar
📻 prensa_eqatr@cancilleria.gob.ar
📩 Consular: secon_eqatr@cancilleria.gob.ar
📲 EMERGENCIAS +974 5039 8775
⚽️ qatar2022@cancilleria.gob.ar
Guía Mundial Qatar 2022:
https://t.co/LVne37VnXn
https://t.co/C35zDFd4Yc</t>
  </si>
  <si>
    <t>Estos son los 🏟 en los que @Argentina disputará sus 3 partidos de primera fase del Mundial FIFA #Qatar2022 🇶🇦
@afa #Argentina 🇦🇷 @roadto2022es
@fifaworldcup_es
📸 @QNAEnglish &amp;amp; @manuelpaz84 https://t.co/f8f9y2kirs</t>
  </si>
  <si>
    <t>🤩🇦🇷
📸 @SerginhoGrondo https://t.co/N0rQ19tdUR</t>
  </si>
  <si>
    <t>A 24 días del Mundial FIFA #Qatar2022 🇶🇦 recordamos este golazo de @Argentina 
@roadto2022es @fifaworldcup_es @afa #Argentina 🇦🇷 https://t.co/m9sPDKH9NE</t>
  </si>
  <si>
    <t>Atardeceres únicos #BuenosAires
Palacio Barolo, Av. de Mayo 1370.
📸 @mled87 https://t.co/d5EF0AvxSX</t>
  </si>
  <si>
    <t>El artista argentino ya posee dos obras en @kataraqatar y esperamos volver a verlo en #Doha proximamente
@culturalesarg @CancilleriaARG @martinronmural @facundochidini</t>
  </si>
  <si>
    <t>Repercusiones en #Qatar 🇶🇦 del nuevo mural de @martinronmural
@PeninsulaQatar @facundochidini #Maradona #Argentina 🇦🇷
https://t.co/5kx9aKgSuS</t>
  </si>
  <si>
    <t>Esta noche en THE HOUSE @dusitdohahotel https://t.co/WQokPsSomc</t>
  </si>
  <si>
    <t>💙💙💙💙💙💙💙💙💙💙💙💙💙💙💙💙💙💙💙💙💙💙💙💙💙💙💙 https://t.co/Pd4SDaWC1G</t>
  </si>
  <si>
    <t>💪🇦🇷
#Argentina @Argentina @afa 🟦☀️🟦 @roadto2022es @fifaworldcup_es https://t.co/K2vijkbTJM</t>
  </si>
  <si>
    <t>Junto con @CancilleriaARG estaremos actualizando en breve la Guía para Fans
#Argentina 🇦🇷 @roadto2022es @fifaworldcup_es @afa @Argentina @Aerolineas_AR @msalnacion @MOPHQatar https://t.co/t6lHdnvQbQ</t>
  </si>
  <si>
    <t>📢 ANUNCIO IMPORTANTE DE QATAR
DESDE EL 1 DE NOVIEMBRE
- NO ES NECESARIO PRESENTAR PCR NEGATIVO O ANTIGENOS PARA INGRESAR AL PAIS https://t.co/82LdnWiEDH</t>
  </si>
  <si>
    <t>MOPHQatar</t>
  </si>
  <si>
    <t>Ministry of Public Health Announces Updates to COVID-19 Restrictions, Read More @ https://t.co/6kFORsx3jq https://t.co/STLDoGLmA2</t>
  </si>
  <si>
    <t>Estamos todos muy contentos de tener  El Trofeo Original de la Copa del Mundo FIFA™ en nuestro Predio, compartilo con los Campeones del Mundo y poder sentir de cerca la emoción que genera.
Queda muy poco para comenzar una nueva ilusión. 🇦🇷
 #FIFAWorldCup #TrophyTour https://t.co/ZDuEp69fXy</t>
  </si>
  <si>
    <t>With only weeks to go until the @FIFAWorldCup comes to the Middle East and Arab world for the first time, #Qatar2022 organisers met with ambassadors of all qualified countries to discuss the latest preparations. https://t.co/Rbg5o27pxQ</t>
  </si>
  <si>
    <t>Puerto Argentino, Islas Malvinas, República Argentina 🇦🇷 se encuentra a 13.492 km de distancia de esta Embajada, ubicada en #Doha, #Qatar 🇶🇦
@GobiernoTDF #Malvinas 🟦☀️🟦 https://t.co/OEVvuyIYhS</t>
  </si>
  <si>
    <t>Como parte de las acciones de difusión de la Cuestión #MALVINAS llevadas adelante por el Secretario @grcarmonac y la @CancilleriaARG, el Embajador @Guille__Nicolas instaló esta nueva señalización en nuestra Embajada.
#Argentina 🇦🇷 #MalvinasNosUne https://t.co/lMWfJsqXKp</t>
  </si>
  <si>
    <t>Gracias por la invitación. Allí estaremos 💙🤍💙
@Guille__Nicolas #Argentina 🇦🇷 @Argentina @ArgentinafansQA #Qatar 🇶🇦 #Qatar2022 @roadto2022es @fifaworldcup_es https://t.co/xIrr3XcWeK</t>
  </si>
  <si>
    <t>🤩 Así se ve el boulevard de Lusail, el cual conecta la zona de la marina con el estadio.
🟦☀️🟦 #Argentina 🇦🇷 @afa @Argentina @roadto2022es @fifaworldcup_es
📸 @roadto2022en https://t.co/6myRzs1HGV</t>
  </si>
  <si>
    <t>⏰ ¡No olvides de registrar tu Hayya Card para viajar a #Qatar2022! ⏰
🪪 Será tu permiso para ingresar al país, a los partidos y para viajar gratis en el transporte público. https://t.co/9NP9kSwCMU</t>
  </si>
  <si>
    <t>🍻 Ahora en #Qatar 🇶🇦 se puede disfrutar de una @Quilmes_Cerveza 
#Argentina 🇦🇷 @CancilleriaARG @PromocionARG https://t.co/43sLDvN5cA</t>
  </si>
  <si>
    <t>Mural de @martinronmural en @kataraqatar #Qatar 🇶🇦
#Argentina 🇦🇷 @culturalesarg https://t.co/CEhCK0xfXF</t>
  </si>
  <si>
    <t>@hillaryroman_ Hola. El mail de la Sección Consular es:
secon_eqatr@mrecic.gov.ar</t>
  </si>
  <si>
    <t>👇 Guía para el Mundial FIFA #Qatar2022 🏆🌍⚽️🏟🇶🇦2️⃣0️⃣2️⃣2️⃣ https://t.co/JNaQfiG0HU</t>
  </si>
  <si>
    <t>📢 IMPORTANTE
Declaraciones del CEO del Comité Organizador sobre la cobertura de prensa del Mundial FIFA #Qatar2022
@roadto2022news @roadto2022es
@fifaworldcup_es @CancilleriaARG
@AgenciaTelam @TV_Publica @afa
https://t.co/CwEV4Ppmgr</t>
  </si>
  <si>
    <t>Argentina es uno de los 51 miembros fundadores de las Naciones Unidas en 1945 y, desde entonces, sigue comprometida con el mantenimiento de la paz en el mundo, la igualdad soberana de los estados y el respeto del derecho internacional.
Celebramos hoy el #DíaDeLaONU🇦🇷🇺🇳 https://t.co/r8ZQALHIVi</t>
  </si>
  <si>
    <t>Estos son algunos de los paisajes de #Argentina 🇦🇷 que decoran las paredes de nuestra Embajada. Gracias @TurismoNacionAR por estas imágenes 💙🤍💙 
@CancilleriaARG @Guille__Nicolas @MatiasLammens @marcapaisar @yanmartinezok @InproturArg @Aerolineas_AR @visitargentina https://t.co/OydmBoZvfv</t>
  </si>
  <si>
    <t>🤩 
⚽️ 🇦🇷🇸🇦 / 🇦🇷🇲🇽
🏟 Lusail
🇶🇦 @roadto2022es 
📸 @QNAEnglish https://t.co/LChKOGqCIU</t>
  </si>
  <si>
    <t>Faltan 28 días para el inicio de la Copa Mundial FIFA #Qatar2022 🏆🌍⚽️🏟🇶🇦2️⃣0️⃣2️⃣2️⃣
@Argentina @afa #Argentina 🇦🇷 @roadto2022es @fifaworldcup_es https://t.co/P7Xa86FM9u</t>
  </si>
  <si>
    <t>صحيفة (أوليه) الأرجنتينية: منتخب التانجو يدخل #مونديال_قطر دون خسارة في 34 مباراة متتالية ويسعى لتحطيم رقم #إيطاليا البالغ 37 مباراة https://t.co/n9DFfWelZh</t>
  </si>
  <si>
    <t>@LuccoMarcelo @fifaworldcup_es @fifacom_es Desde Buenos Aires, Ciudad de Panamá, Doha o cualquier parte del mundo, todos alentando a @Argentina 
¡Gracias Embajador por su mensaje!
💪🇦🇷 #Argentina @CancilleriaARG @ApsenMre @Guille__Nicolas @roadto2022es #Qatar2022 🇶🇦</t>
  </si>
  <si>
    <t>ArgentinafansQA</t>
  </si>
  <si>
    <t>Argentina Ambassador HE Guillermo Nicolas reveals Noche De Hinchas brochure.. AFQ Representatives were delighted to invite His Excellency for the event. 
 *Noche De Hinchas*
Carnival of Argentina Football Fans
#argentinafansqatar #afaqatar #afq 
#nochedehinchas 
@embargenqatar https://t.co/o3XD9wYQUz</t>
  </si>
  <si>
    <t>22/10 - Día Nacional por el Derecho a la Identidad. Instituido por ley en 2004 para visibilizar la búsqueda de nietas/os cuyas identidades fueron sustraídas durante la última dictadura cívico-militar, siendo víctimas del llamado "Plan sistemático de apropiación de niñas/os". https://t.co/rd1w23GUWj</t>
  </si>
  <si>
    <t>QNA_Sports</t>
  </si>
  <si>
    <t>سكالوني مدرب منتخب #الأرجنتين يضع قائمة أولية تضم 40 لاعبا لـ #كأس_العالم #قطر2022 من بينهم المُصاب باولو #ديبالا لاعب روما
#قنا_رياضي https://t.co/ARyJB93PNi</t>
  </si>
  <si>
    <t>😍 La zurda de 𝐅𝐢𝐝𝐞𝐨 Di María 🇦🇷
@Argentina | #FIFAWorldCup https://t.co/pFwExcK0qG</t>
  </si>
  <si>
    <t>Si tenés dudas sobre tu identidad, podés contactarte con los consulados y embajadas argentinas en el exterior para recibir asesoramiento. https://t.co/pVESmMspYv</t>
  </si>
  <si>
    <t>La Campaña Argentina por el Derecho a la Identidad tiene como objetivo potenciar la búsqueda de nietas y nietos apropiados que pueden estar residiendo en el exterior.
Conmemoramos hoy el Día Nacional por el Derecho a la Identidad.
#ArgentinaTeBusca 🔎
📽️:@abuelasdifusion https://t.co/Nwn8FBYOlJ</t>
  </si>
  <si>
    <t>45 años caminando con fuerza, en una lucha colectiva por la memoria, la verdad y la justicia. #Abuelas45años
22 de octubre, Día Nacional del Derecho a la Identidad. https://t.co/hGlKocLYeQ</t>
  </si>
  <si>
    <t>Información para argentinas y argentinos que asistan a la Copa Mundial FIFA Qatar 2022 🏟️ 🇶🇦
La Cancillería desarrolló una guía para facilitar la estadía de quienes viajen a alentar a la Selección @Argentina.
👉 https://t.co/umOlD64GBB https://t.co/DZkalqs65C</t>
  </si>
  <si>
    <t>Guía Práctica para argentinas y argentinos que asistan a la Copa Mundial FIFA #Qatar2022 🇶🇦
@CancilleriaARG #Argentina 🇦🇷
https://t.co/Na3m0Lnj5G https://t.co/vQie6rjG1s</t>
  </si>
  <si>
    <t>¡Felicitaciones @martinronmural!
Esperamos volver a verte en #Qatar y que puedas sumar más murales a los dos que ya realizaste en @kataraqatar 🇶🇦
@CancilleriaARG @culturalesarg #Argentina 🇦🇷 @facundochidini https://t.co/TkgA5S3csV</t>
  </si>
  <si>
    <t>"Esperan a más de 35 mil hinchas argentinos: guía práctica para no ir preso y disfrutar del último Mundial de Messi"
Entrevista al Embajador @Guille__Nicolas vía @LANACION
https://t.co/9n1ktVZuVe</t>
  </si>
  <si>
    <t>8 estadios. 
8 escenarios. 
1 Mundial. 
#Qatar2022 https://t.co/Oy1GxrBrCV</t>
  </si>
  <si>
    <t>It’s the biggest event in the world, and it’s starting in 3️⃣0️⃣ days.
#Qatar2022 is right around the corner. 😍 https://t.co/lIliNtWJYq</t>
  </si>
  <si>
    <t>¡Y nosotros somos felices cuando pasan estas cosas! Gracias @BatistaPablo12 por compartir 📸 con la comunidad residente en #Qatar y por permitirnos publicarla para que más 🇦🇷 compartan esta felicidad.
Felices de tener 🍊 tucumanas en @CarrefourQA 
@CancilleriaARG @PromocionARG https://t.co/EIfekzvI4u</t>
  </si>
  <si>
    <t>CRECEN LAS EXPORTACIONES ARGENTINAS DE BIENES INDUSTRIALES 🇦🇷⬆️
En los primeros 9 meses las exportaciones argentinas alcanzaron un nuevo máximo histórico: USD 67.131 millones. En particular los bienes industriales tuvieron el valor más alto para el mes desde septiembre de 2013. https://t.co/DkI0FGpVTM</t>
  </si>
  <si>
    <t>Jueves 27 de octubre, #Milonga en el Doha Dusit Hotel @dusitdohahotel 🇦🇷🇶🇦 #Tango @culturalesarg https://t.co/bj5gjdCnXH</t>
  </si>
  <si>
    <t>#Qatar ha expresado su interés en ser sede de los Juegos Olímpicos 2036 🇶🇦  
@Olympics @qatar_olympic @MOFAQatar_ES @PrensaCOA @CancilleriaARG @DeportesAR https://t.co/jUVUa7o92k</t>
  </si>
  <si>
    <t>Estos son los 🏟 en los que @Argentina 🇦🇷 jugará sus partidos de primera ronda contra 🇸🇦🇲🇽🇵🇱 durante el Mundial FIFA #Qatar2022 🇶🇦 @fifaworldcup_es @roadto2022es 
👇👇 @QNAEnglish https://t.co/abi1j5x8nE</t>
  </si>
  <si>
    <t>🪪 The Hayya Card is mandatory for all #Qatar2022 ticket holders
🏟 Once approved, it will grant you access to stadiums (with a valid match ticket)
🚊 It will also provide you with free public transport
🚨 Apply now!
🔗 https://t.co/UxqpL7OmJt https://t.co/ay8yYz1oL6</t>
  </si>
  <si>
    <t>The building where Sidra Medicine @QF is located was designed by Argentine architect César Pelli 🇦🇷🇶🇦 https://t.co/4qzyHZabmy</t>
  </si>
  <si>
    <t>¿Cuántos meses faltan para la Copa Mundial? https://t.co/jjRCYzOI5n</t>
  </si>
  <si>
    <t>¿Vas a #Qatar2022 pero te hospedas en otro país como Emiratos Árabes? ✈️ Este es el paso a paso para que reigistres tu Hayya Card 📲 https://t.co/AJoZerkNPS</t>
  </si>
  <si>
    <t>⌛️ UN MES 🏆</t>
  </si>
  <si>
    <t>¡FALTA SOLO 𝗨𝗡 𝗠𝗘𝗦 PARA EL MUNDIAL! 🏆
#Qatar2022 🔜 https://t.co/vk4ec47Wuu</t>
  </si>
  <si>
    <t>🍊🍊 naranjas y mandarinas argentinas en @CarrefourQA #Qatar 🇶🇦 @CancilleriaARG @PromocionARG #Argentina 🇦🇷 https://t.co/m5cmURH1r5</t>
  </si>
  <si>
    <t>joosevillagran</t>
  </si>
  <si>
    <t>Hoy en @Radio_Eme, @RubenDGomez y @gastonchansard hablaron el @Guille__Nicolas, de la @embargenqatar. A un mes del comienzo del mundial #Qatar2022 dijo que "se esperan entre 30mil y 35mil argentinos" en el país árabe. 
La nota completa 👇
https://t.co/0OeCtaSS5Y</t>
  </si>
  <si>
    <t>ramapantorotto</t>
  </si>
  <si>
    <t>Gracias al Embajador Argentino en Doha @Guille__Nicolas por abrirnos las puertas de la embajada para charlar un rato en “Siempre Tarde” @Metro951 https://t.co/2z18ehNkUa</t>
  </si>
  <si>
    <t>The G.M of #Katara, H.E Prof. Khalid bin Ibrahim Al-Sulaiti, meets the Ambassador of the #UK to #Qatar, H.E Mr. John Wilkes, and the Ambassador of The Republic of #Argentinaa to #Qatar, H.E Mr. Guillermo Luis Nicholas, to enhance the Cultural ties
@ukinqatar
#Roadto2022 https://t.co/zlXxiZFDfq</t>
  </si>
  <si>
    <t>@gustrivi @maxibagnascook @franalbinati @fifaworldcup_es Hola Gustavo! Que alegría nos daría ver a @maxibagnascook decorar #Qatar con su arte. Esperemos que el Comité organizador @roadto2022es vea este tweet y se enamore de su obra 🇦🇷🇶🇦 #Argentina #Maradona</t>
  </si>
  <si>
    <t>🫐🫐🫐 Arándanos argentinos en @CarrefourQA #Qatar 🇶🇦 @CancilleriaARG @PromocionARG  #Argentina 🇦🇷 https://t.co/PTo1qEX9VD</t>
  </si>
  <si>
    <t>Every FIFA World Cup Qatar 2022™ ticket holder, including day trip fans using the Match Day Shuttle service need to apply for a Hayya Card.
The Hayya to Qatar app is available to download on iOS, Android and Huawei #Qatar2022 https://t.co/7SEtwwtfR2</t>
  </si>
  <si>
    <t>¿Todavía no tienes tu lugar para #Qatar2022? 🏡👀
📲 Reserva ahora mismo en la agencia oficial de alojamiento en https://t.co/gCCeYizw0J https://t.co/yinYXeblxC</t>
  </si>
  <si>
    <t>32 teams, 32 days to go 🏆
#Qatar2022 https://t.co/v0bEmL7nya</t>
  </si>
  <si>
    <t>32 selecciones. 
32 días para #Qatar2022. 
𝗕𝗜𝗘𝗡𝗩𝗘𝗡𝗜𝗗𝗢𝗦. https://t.co/lEhhEusOdm</t>
  </si>
  <si>
    <t>¡Fiesta en Buenos Aires! 🇦🇷 Los hinchas argentinos se reunieron con la organización de #Qatar2022 en la previa de la Copa del Mundo. https://t.co/8D4i7xA6PF</t>
  </si>
  <si>
    <t>Statement from the Supreme Committee for Delivery &amp;amp; Legacy. https://t.co/JDmvbThdTl</t>
  </si>
  <si>
    <t>Si vas a viajar a #Qatar2022, es importante que ya registres tu Hayya Card 🪪
▪️ Será tu permiso para ingresar a Qatar. 
▪️ Debes llevarla para ir a los partidos.
▪️ Te permitirá usar gratis el transporte público. 
Visita https://t.co/tkkA9D9W9X o descarga la app. 📲 https://t.co/gVp9V1fVxx</t>
  </si>
  <si>
    <t>Located 4km from central Doha, Stadium 974 is the first fully-demountable tournament venue in @FIFAWorldCup history.
Take a closer look at the venue that will host matches through to the round of 16 stage of #Qatar2022.
Read the full story:
https://t.co/YfSsWhbni6 https://t.co/pcsjRegOVB</t>
  </si>
  <si>
    <t>QNAEnglish</t>
  </si>
  <si>
    <t>974 Stadium Manager: The stadium embodies the aspects of heritage and sustainability in the #FIFAWorldCupQatar2022, and is the first stadium to be dismantlable in the history of the World Cup. #QNA https://t.co/QgIPpTxsvs</t>
  </si>
  <si>
    <t>🪪 The Hayya Card is mandatory for all #Qatar2022 ticket holders
🏟 Once approved, it will grant you access to stadiums (with a valid match ticket)
🚊 It will also provide you with free public transport
🚨 Apply now!
🔗 https://t.co/UxqpL7xjHt https://t.co/5eiZWI2NlE</t>
  </si>
  <si>
    <t>Campo de tulipanes en Trevelín, ¿no es hermoso?🌷💙🇦🇷
Fotos de @gabitofranco y @TurismoEsquel cc @TurismoTreveli1 https://t.co/Cev3rjICsy</t>
  </si>
  <si>
    <t>¡Feliz cumple @OKGoyco90! https://t.co/pT32M0cmsK</t>
  </si>
  <si>
    <t>@JulioGonzalezG @MOI_QatarEn @roadto2022es @Roadto2022Go @fifaworldcup_es @MOFAQatar_ES @CancilleriaARG @afa Hola Julio. Esperamos que @QatarEmb_BA @roadto2022es @MOFAQatar_ES puedan ayudar con eso.</t>
  </si>
  <si>
    <t>🚍🚘
📢 FUENTE: @MOI_QatarEn 🇶🇦 https://t.co/0xLfYbYpEE</t>
  </si>
  <si>
    <t>El Ministerio del Interior 🇶🇦 ha anunciado su política de ingreso de vehículos por su frontera terrestre durante la Copa Mundial FIFA #Qatar2022. Para mayor detalle consultar @MOI_QatarEn 
@roadto2022es @Roadto2022Go @fifaworldcup_es @MOFAQatar_ES @CancilleriaARG @afa #Argentina https://t.co/ucyIPssDHQ</t>
  </si>
  <si>
    <t>Abu Samra land border crossing is all set to receive the FIFA World Cup Qatar 2022™ fans starting 1 November 2022 until the end of the tournament. 
Here is the press release of the Ministry of Interior in coordination with other stakeholders.  
#MOIQatar #Qatar2022 https://t.co/K5TV7Rnal6</t>
  </si>
  <si>
    <t>The Ministry of Interior, in coordination with other stakeholders, held a press conference today to announce the arrangements made at Abu Samra border crossing to receive the FIFA World Cup Qatar 2022™ fans starting 1 November 2022.
For details: https://t.co/Qgo2k7HXfw #MOIQatar https://t.co/qXnAdicvpa</t>
  </si>
  <si>
    <t>Those coming by bus must carry a Hayya Card. After completing entry procedures at the checkpoint, they can take Qatari buses from the border to Doha Central Station (Al Messila) or to the Family and Friends Meet and Greet Area at Al Qalayel.
 #MOIQatar #Qatar2022 https://t.co/eUmWyt8tAR</t>
  </si>
  <si>
    <t>Those coming through Abu Samra land border to attend one or more matches within 24 hours can enter and exit without a prior hotel reservation, provided they meet certain conditions. #MOIQatar #Qatar2022 https://t.co/bHmmVFhyBV</t>
  </si>
  <si>
    <t>Arrangements made at Abu Samra land border crossing to receive the FIFA World Cup Qatar 2022™ fans starting on 1 November until the end of the tournament 
#MOIQatar #Qatar2022 https://t.co/R5gLH5pIZA</t>
  </si>
  <si>
    <t>Qatari citizens, residents and GCC nationals with a Qatari ID card can enter the country through Abu Samra border crossing during the FIFA World Cup Qatar 2022™ as per usual procedures. 
#MOIQatar #Qatar2022 https://t.co/J7w4ovo3tR</t>
  </si>
  <si>
    <t>Fans who wish to enter the country with an exceptional entry permit by their own vehicles must have a vehicle entry permit approved through the Hayya platform. #MOIQatar #Qatar2022 https://t.co/qbQ5uqax2K</t>
  </si>
  <si>
    <t>#Reconocimiento 🙌 Hoy se cumplen 18 años del debut oficial en Primera División de Lionel #Messi. https://t.co/rPi5BBLUS7</t>
  </si>
  <si>
    <t>Copa Mundial FIFA Qatar 2022 🇶🇦
Hemos tomado conocimiento de existencia de presuntas operaciones inmobiliarias irregulares para alquileres temporales.
Se recomienda a todas/os las/os 🇦🇷 que asistan al torneo realizar sus reservas de hospedaje a través de plataformas oficiales.</t>
  </si>
  <si>
    <t>El Cónsul se encuentra en contacto. Si bien 🇶🇦 no ha anunciado las medidas para ingreso terrestre, ya facilitamos la información disponible y estamos realizando gestiones desde el primer contacto con Federico y Justina 🇦🇷 @DiarioOle @CancilleriaARG
 https://t.co/WnZNN7ejcP</t>
  </si>
  <si>
    <t>CONMEBOL</t>
  </si>
  <si>
    <t>¡Si fueras Scaloni! 👨‍🏫
¿Qué jugadores convocarías para disputar la @FIFAWorldCup 2022 en Catar? 🇦🇷
#36DaysToGo #CreeEnTuContinente https://t.co/NtQZJIKb55</t>
  </si>
  <si>
    <t>طرح الكرة التي سجل منها النجم الأرجنتيني الراحل #مارادونا هدفا بلمسة يد في مرمى بيتر شيلتون حارس انجلترا خلال مونديال المكسيك عام 1986  للبيع في مزاد الشهر المقبل في لندن https://t.co/LSF0pb9oMt</t>
  </si>
  <si>
    <t>Mundial Qatar 2022: habrá un área exclusiva para la recuperación de hinchas borrachos
 https://t.co/sS9LrCKmZI</t>
  </si>
  <si>
    <t>Agradecemos a @alkasschannel por esta entrevista a @manuelpaz84, responsable de prensa.
(Aclaración: el funcionario ya no ejerce el cargo citado en el tweet. La Embajada se encuentra a cargo del Embajador @Guille__Nicolas 🇦🇷) https://t.co/hSiHoMzUfU</t>
  </si>
  <si>
    <t>https://t.co/vRKUSMIugp</t>
  </si>
  <si>
    <t>Entrevista al responsable de prensa @manuelpaz84 https://t.co/zi29Q1axWC</t>
  </si>
  <si>
    <t>🤩🇦🇷 @Turismo_Ushuaia @GobiernoTDF https://t.co/wZTZSNhzhq</t>
  </si>
  <si>
    <t>En #ElMesDel10 recordamos la entrada en calor más épica de la historia del fútbol 🙌🏼🎵
Diego Maradona y toda su magia 🪄⚽️
#DiegoEterno 🔟♾ https://t.co/wgexhM2mdZ</t>
  </si>
  <si>
    <t>TurismoTDF</t>
  </si>
  <si>
    <t>Entre el mar y las montañas Ushuaia es la capital del Fin del Mundo 
¡Tierra del Fuego es emoción a primera vista!
#Ushuaia #TierraDelFuego #FinDelMundo #NaturalezaAlFin #LaRutaNatural #Patagonia #Argentina https://t.co/YJHSswcOjJ</t>
  </si>
  <si>
    <t>ProbaPatagonia</t>
  </si>
  <si>
    <t>Cerramos la semana con esta hermosa postal de Tolhuin, corazón de la Isla de Tierra del Fuego ❤️
#BuenFinde https://t.co/ilVhfAFHWa</t>
  </si>
  <si>
    <t>👌💙🤍💙 https://t.co/oOwAbRZTJi</t>
  </si>
  <si>
    <t>En la previa el responsable de prensa brindó una entrevista para ALKASS @alkasschannel. Manuel Paz @manuelpaz84 habló sobre los preparativos de cara al Mundial #Qatar2022 @roadto2022es @fifaworldcup_es, y la expectativa en torno a @Argentina @afa 🇦🇷 https://t.co/eW0rkNGO2d</t>
  </si>
  <si>
    <t>🇦🇷❄️ #Ushuaia @Turismo_Ushuaia @GobiernoTDF @TurismoTDF #Patagonia #Argentina 🇦🇷 en #Doha #Qatar 🇶🇦
@CancilleriaARG @Guille__Nicolas
@TurismoNacionAR @MatiasLammens @marcapaisar @yanmartinezok
@InproturArg @Aerolineas_AR @visitargentina
📽 Gracias @SerginhoGrondo por este video https://t.co/4BjcdJyIqY</t>
  </si>
  <si>
    <t>Proyección de video de promoción turística en Plaza de las Banderas. En esta oportunidad, @Qatar_Museums seleccionó imágenes de #Ushuaia @Turismo_Ushuaia #Patagonia Gracias @TurismoNacionAR por el material. #Argentina 🇦🇷 @InproturArg @marcapaisar @MatiasLammens @yanmartinezok https://t.co/3OoxSei4if</t>
  </si>
  <si>
    <t>🇬🇧Two women who inspire and share a passion for sport.
Hadeel Reyad 🤝 @morenabeltran10
#Qatar2022 https://t.co/9lzb03FQTI</t>
  </si>
  <si>
    <t>🗣 "𝑯𝒐𝒚 𝒕𝒆 𝒄𝒐𝒏𝒗𝒆𝒓𝒕𝒊́𝒔 𝒆𝒏 𝒉𝒆́𝒓𝒐𝒆"
Disfruten la tanda de penales COMPLETA entre 🇦🇷 @Argentina y Países Bajos 🇳🇱 por las semis de la #FIFAWolrdCup 2014 👀</t>
  </si>
  <si>
    <t>🚌 Qatar has released a transportation guide for residents and visitors ahead of this year’s @FIFAWorldCup 2022, including details on shuttle buses, road closures and more.
https://t.co/ltHDkkCHs7</t>
  </si>
  <si>
    <t>📸 𝑬𝒍 𝒂𝒃𝒓𝒂𝒛𝒐 𝒅𝒆𝒍 𝒂𝒍𝒎𝒂. Argentina 1978 🇦🇷
@Argentina | #FIFAWorldCup https://t.co/vx2mfab0jc</t>
  </si>
  <si>
    <t>El Embajador @Guille__Nicolas y funcionarios de la Embajada fueron agasajados con platos inspirados en nuestra cocina y pudieron conversar con alumnos interesados en nuestro país, nuestra cultura y, especialmente, en nuestra selección @Argentina 💙🤍💙 https://t.co/Hy5jqDM3xJ</t>
  </si>
  <si>
    <t>Almuerzo con menú argentino en Qatar Academy junto a estudiantes de primaria. Gracias Elizabeth y equipo por la invitación y a todos los alumnos por la cálida recepción 🇦🇷🇶🇦 @QF #Qatar #Argentina @CancilleriaARG @Guille__Nicolas @manuelpaz84 @culturalesarg @afa @Argentina https://t.co/yyJrByuw3P</t>
  </si>
  <si>
    <t>Gracias a la Secretaría y a la Dirección Nacional de Malvinas e Islas del Atlántico Sur de @CancilleriaARG por estos nuevos mapas de #Malvinas que ya han sido colocados en nuestra Embajada. 🇦🇷 #Argentina #MalvinasNosUne @SantiagoCafiero @grcarmonac @Guille__Nicolas @ARGENTINAIGN https://t.co/68jh7zJ6QY</t>
  </si>
  <si>
    <t>🐮🍊 En @CarrefourQA podés encontrar carne y mandarinas de nuestro país. Seguimos trabajando para incrementar la presencia de productos argentinos en #Qatar 🇶🇦 @CancilleriaARG @IPCVA @PromocionARG #Argentina 🇦🇷
📸 @celinacirilo https://t.co/8sJlzzUgXx</t>
  </si>
  <si>
    <t>Is this the best dream team of any country? 😱
Who would you like to see come off the bench in our @Argentina all time XI? 🇦🇷 #Qatar2022 https://t.co/1cdlSlQnb3</t>
  </si>
  <si>
    <t>The deadline to register for the Qatar Media Portal is 30 October. Launched by the SC, the platform will give journalists, content creators and broadcasters access to a wide range of resources to help them operate at this year’s @FIFAWorldCup.
Link: https://t.co/bl76RwRzH4 https://t.co/sXmPZUgnmu</t>
  </si>
  <si>
    <t>Firma del Embajador 🇦🇷 @Guille__Nicolas en el libro de visitas y agradecimiento al staff de @321QOSM  y @Qatar_Museums 🇶🇦 https://t.co/IbMubSHF15</t>
  </si>
  <si>
    <t>Camiseta original de #Maradona usada en el Mundial de #Mexico86 @fifaworldcup_es #Argentina 🇦🇷 @afa @Argentina @roadto2022es https://t.co/uYO3jDZbKI</t>
  </si>
  <si>
    <t>Visita al Museo Olímpico de Qatar @321QOSM. Muchas gracias @Qatar_Museums por la invitación y el recorrido. #Qatar 🇶🇦 #Argentina 🇦🇷 @Guille__Nicolas @manuelpaz84 @sassaroli_juan @celinacirilo https://t.co/Bsb2nG41P8</t>
  </si>
  <si>
    <t>El cuidado y el acceso a la #SaludMental es un derecho y uno de los ejes centrales de las estrategias de salud que llevamos adelante desde el Estado.
Ninguna persona está sola. https://t.co/GpuEgANXOF</t>
  </si>
  <si>
    <t>Three reasons why you need a #Qatar2022 Hayya card 🛫🚇🏟️
Apply here: https://t.co/pURAc2NrrG https://t.co/3lK2UsTwK5 https://t.co/eee5monHLY</t>
  </si>
  <si>
    <t>👇 Los datos más importantes del Estadio Lusail, el escenario de la final de #Qatar2022 🏟️ https://t.co/D4YtA9RbDG</t>
  </si>
  <si>
    <t>🚨 ¡No olvides de registrar tu Hayya Card para viajar a #Qatar2022! 
🔸 Será tu permiso para ingresar al país, a los partidos y para viajar gratis en el transporte público. https://t.co/yoOgbTBtkf</t>
  </si>
  <si>
    <t>32 Friendship Benches representing the #Qatar2022 
FIFA World Cup competing nations are being installed in prominent locations around Qatar to promote mental wellbeing. https://t.co/aiEkEs01xX</t>
  </si>
  <si>
    <t>Thank you for including us @roadto2022es 🇦🇷🇶🇦 #Argentina #Qatar @fifaworldcup_es @WISHQatar @MOPHQatar @WHO @manuelpaz84 https://t.co/VSpoHmOyFV</t>
  </si>
  <si>
    <t>Gracias por invitarnos a participar 🇦🇷🇶🇦 #Argentina #Qatar @MOPHQatar @roadto2022es @fifaworldcup_es @WISHQatar @WHO @manuelpaz84 https://t.co/NpEuCyOVUb https://t.co/AsDV11XKnD</t>
  </si>
  <si>
    <t>Primavera en El Bolsón
Río Negro
📷 BLK https://t.co/gZE9CYwqyB</t>
  </si>
  <si>
    <t>11 de octubre - DÍA NACIONAL DE LA PATAGONIA 
La Patagonia se ubica en el extremo sur de Argentina y está conformada por las provincias más australes: #Neuquén, #RíoNegro, #Chubut, #SantaCruz y #TierradelFuego, #Antártida e Islas del Atlántico Sur. 
¡QUÉ LINDA SOS! 😍🇦🇷
@turdepar https://t.co/wXX6VctJPW</t>
  </si>
  <si>
    <t>morenabeltran10</t>
  </si>
  <si>
    <t>Un viajecito a Qatar? Sí, en esta dirección 👉 
https://t.co/e1vnmuBo1I @roadto2022es dale daleeeeeee 🤝</t>
  </si>
  <si>
    <t>marirrovarela</t>
  </si>
  <si>
    <t>Se confirmó que @Argentina jugará el 16 de noviembre a las 12.30 (hora argentina) ante Emiratos Árabes Unidos en Abu Dhabi, a solo 6 días del debut en #MundialQatar2022. Será el último amistoso del equipo de @lioscaloni, frente la selección dirigida por el Vasco #Arruabarrena. https://t.co/lQz8whSYKJ</t>
  </si>
  <si>
    <t>Qatar’s 2022 @FIFAWorldCup will be the last of Lionel Messi’s phenomenal career, as the superstar is set to bid farewell to football’s biggest stage.
Check out our full story as we take a look back on the Argentinians incomparable football legacy.
https://t.co/20L0NnUg3R</t>
  </si>
  <si>
    <t>El 27/11 Ciro y Los Persas @ciroylospersas darán un show en @kataraqatar durante el Mundial #Qatar2022 🇶🇦 @roadto2022es @fifaworldcup_es @culturalesarg #Argentina 🇦🇷 @TIJETRAVEL https://t.co/GcKmITsE9m</t>
  </si>
  <si>
    <t>Día Mundial de la Salud Mental. Distribuirán estos bancos con el objetivo de concientizar sobre la importancia de la interacción en base a una pregunta: ¿estás bien? 🇦🇷 @CancilleriaARG @manuelpaz84 @msalnacion 🇶🇦 🏟974 @roadto2022es @fifaworldcup_es @MOPHQatar @WISHQatar @WHO https://t.co/bswK3bdyv1</t>
  </si>
  <si>
    <t>10/10 🇦🇷 https://t.co/iwsc7oSLAa</t>
  </si>
  <si>
    <t>¡Camiseta N° 🔟, sinónimo de buen fútbol! 🧲⚽️​
​
Maradona 🇦🇷 fue uno de los mejores jugadores de la historia en llevar este número, con el que disputó 4⃣ @FIFAWorldCup.​
#41DaysToGo #CreeEnTuContinente https://t.co/JBz0KvOKMO</t>
  </si>
  <si>
    <t>🗓 10/10
Pase de Maradona, definición de Messi 😍🇦🇷 ¿Cuántas veces lo soñaste?
#FIFAWorldCup https://t.co/fRWaSJ9g8b</t>
  </si>
  <si>
    <t>Medio local @alkasschannel 🇶🇦 se hace eco de titular argentino del diario @DiarioOle 🇦🇷 @roadto2022es @fifaworldcup_es https://t.co/vF3uSQWb7i</t>
  </si>
  <si>
    <t>📽 "La vida se parece bastante a un partido de Argentina..."
@afa @Argentina 💙🤍💙
#Argentina 🇦🇷 @roadto2022es
@fifaworldcup_es 🏆🌍⚽️🇶🇦2️⃣0️⃣2️⃣2️⃣
Gracias @SerginhoGrondo por compartir.
https://t.co/ibnVTClYYt</t>
  </si>
  <si>
    <t>#Maradona 🏆🌎⚽️🇲🇽1️⃣9️⃣8️⃣6️⃣ @afa @argentina 🇦🇷 #Argentina https://t.co/6Ibzf95GXx https://t.co/rXOhFw9oRe</t>
  </si>
  <si>
    <t>El 27/11 Ciro y Los Persas @ciroylospersas van a dar un recital en el anfiteatro de @kataraqatar 🇦🇷🇶🇦 @culturalesarg #Argentina @afa @Argentina @TIJETRAVEL #Qatar #Doha #Katara @roadto2022es @fifaworldcup_es https://t.co/i10W1ySzNq</t>
  </si>
  <si>
    <t>@sebavdr ¡Felicitaciones! 💪🇦🇷</t>
  </si>
  <si>
    <t>La Asamblea General de la OEA, en Lima, aprobó por aclamación la Declaración por la Cuestión Malvinas. 
Se reafirma así la necesidad de que Argentina y Reino Unido reanuden cuanto antes las negociaciones por la disputa de soberanía.
#MalvinasNosUne 🇦🇷 https://t.co/FjNh5wtBTV</t>
  </si>
  <si>
    <t>😢 https://t.co/c7qJXHyw4S</t>
  </si>
  <si>
    <t>🔸 Cambios en el sistema de registro de la Hayya Card: ahora podrás aprobarla con reservas de alojamiento hechas en otros lugares. 
#Qatar2022 https://t.co/CZ4ooLpbVX</t>
  </si>
  <si>
    <t>https://t.co/ADerhJmExa https://t.co/X4w0DMQB5C</t>
  </si>
  <si>
    <t>Boletín SECRETARIA MALVINAS, septiembre 2022
@CancilleriaARG @grcarmonac
#Argentina 🇦🇷 #MalvinasNosUne
https://t.co/jmJDk8ADVw https://t.co/IyMLm4Do4w</t>
  </si>
  <si>
    <t>Quedan cortas las palabras para describir tanta belleza. Cataratas del Iguazú, Misiones. 🙌💙🇦🇷🍃💦
Video Iguazú Expediciones. https://t.co/XCOVu1GsFX</t>
  </si>
  <si>
    <t>¡¡¡Listo el avión!!! ✈️
Este avión transportará el sueño de 45 millones de argentinos y argentinas  😍
¿Como no ilusionarse? 😃🥰
📝https://t.co/3mdnSmDRho https://t.co/wLKGRBEMLd</t>
  </si>
  <si>
    <t>danyscht</t>
  </si>
  <si>
    <t>Argentina es el 8vo país más grande del mundo. Esa gran superficie, sumado a la orientación norte-sur del país y la cordillera nos da una variabilidad geográfica enorme.
Abro hilo sobre “La Ruta Natural”, una iniciativa de @TurDepAr para promover el turismo de naturaleza https://t.co/3dwAiLK3wJ</t>
  </si>
  <si>
    <t>"Qatar 2022 seguramente sea mi último Mundial", dijo Lionel Messi y nos rompió el corazón 💔 
Será la quinta Copa del Mundo de la leyenda argentina 🇦🇷 tras las ediciones de 2006, 2010, 2014 y 2018. ¿Cómo le irá en #Qatar2022? 👀 https://t.co/OgIPA86taR</t>
  </si>
  <si>
    <t>Y con Ustedes… #ElAviónDeLaSelección ✈️ ⚽ 🇦🇷
@afaseleccion
@ypfoficial
@adidasar https://t.co/de2aAOgps2</t>
  </si>
  <si>
    <t>culturalesarg</t>
  </si>
  <si>
    <t>¡Tenemos nueva web! ✈🌎🇦🇷 Te invitamos a conocer las iniciativas que llevamos adelante desde la Dirección de Asuntos Culturales para promover y difundir la cultura argentina por el mundo.  
👉  https://t.co/ymEfIuwII3 https://t.co/19B7qUHCXk</t>
  </si>
  <si>
    <t>عاجل | الأسطورة الأرجنتيني #ليونيل_ميسي يعلن أن #كأس_العالم #قطر2022 سيكون المونديال الأخير له في مسيرته https://t.co/zb618OwRQd</t>
  </si>
  <si>
    <t>INVITACION: 14/10, 18.45 hs, Plaza de las Banderas @MIAQatar. Proyección de video de promoción turística de nuestro país 🇦🇷 #Argentina @CancilleriaARG @Guille__Nicolas @TurDepAR @visitargentina @MatiasLammens @yanmartinezok @marcapaisar @InproturArg @Aerolineas_AR @Qatar_Museums https://t.co/VtnW8AVk9n</t>
  </si>
  <si>
    <t>Así quedaron las 32 selecciones que participarán en #Qatar2022 en el #FIFARanking 📈
¿Quién se quedará con la Copa Mundial en diciembre? 🏆 https://t.co/OPbq1sGa0X</t>
  </si>
  <si>
    <t>Brasil sigue arriba 🇧🇷🔝 
A 45 días de #Qatar2022, se actualizó el #RankingFIFA y el Top 10 se mantiene con las mismas selecciones. https://t.co/3RhTd6Hf3W</t>
  </si>
  <si>
    <t>https://t.co/HYlJxvlHuY</t>
  </si>
  <si>
    <t>🇦🇷🤞 https://t.co/BBWJ4nsDmL</t>
  </si>
  <si>
    <t>🥲 https://t.co/7ZBboJQTLl</t>
  </si>
  <si>
    <t>The Supreme Committee for Delivery &amp;amp; Legacy announces the suspension of all media visits to the eight World Cup stadiums and training facilities, with the exception of specific cases, as of Friday.#QNA #FIFAWorldCup #Qatar2022
#World_Cup_2022 https://t.co/ITWuATeaWI</t>
  </si>
  <si>
    <t>🇦🇷 @Argentina @afa https://t.co/k7fEwIoPIb</t>
  </si>
  <si>
    <t>Gracias a la comunidad argentina 🇦🇷 residente en #Qatar 🇶🇦 por participar de nuestra #Milonga mensual en The House @dusitdohahotel. Los esperamos el jueves 27 de octubre para una nueva jornada de #Tango en #Doha. Especial agradecimiento a Martin Boffi 📸
 @culturalesarg https://t.co/56Tx1layHg</t>
  </si>
  <si>
    <t>👆😄👆 @afa @Argentina 🇦🇷 #Argentina #Messi 🐐 @roadto2022es https://t.co/FiEmQSe93B</t>
  </si>
  <si>
    <t>Si vas a viajar a #Qatar2022, es importante que ya registres tu Hayya Card 🪪
▪️ Será tu permiso para ingresar a Qatar. 
▪️ Debes llevarla para ir a los partidos.
▪️ Te permitirá usar gratis el transporte público. 
Visita https://t.co/tkkA9Drxyx o descarga la app. 📲 https://t.co/NO9GRVqWE9</t>
  </si>
  <si>
    <t>🤩 LA RUTA NATURAL @visitargentina 🇦🇷
👇🧵 https://t.co/O8gzn6vIuR</t>
  </si>
  <si>
    <t>¡Felicitaciones! Aquí te estaremos esperando en #Doha para darte todo el apoyo posible 💪🇦🇷 @CancilleriaARG @roadto2022es @fifaworldcup_es @afa #Qatar2022 🇶🇦 https://t.co/c27PbetLmM</t>
  </si>
  <si>
    <t>🐦 Hornero, Ave Nacional
❄️ Ushuaia @GobiernoTDF, ciudad más austral de mundo
🧉 30 de noviembre: Día Nacional del Mate
⚽️ goles que #Maradona hizo con @Argentina en Mundiales @fifaworldcup_es 
🇦🇷 significado de los colores de nuestra bandera 💙🤍💙 y del Sol de Mayo ☀️</t>
  </si>
  <si>
    <t>En la flamante Plaza de las Banderas 🇦🇷, ubicada en la Av. Corniche frente al @MIAQatar, la Autoridad de Museos de #Qatar 🇶🇦 desplegó puntos de información con datos de cada país representado. En el caso de #Argentina, @Qatar_Museums hizo referencia a 👇 https://t.co/j4CwHjSRLl</t>
  </si>
  <si>
    <t>Former Argentina captain Javier Mascherano is full of anticipation for this year’s #FIFA World Cup in #Qatar and keen to see how the compact nature of the tournament will boost performances on the pitch.#QNA  #QNA_Sports https://t.co/oeJHeSNx97</t>
  </si>
  <si>
    <t>Siguen los trabajos en el predio de @QatarUniversity donde se hospedará y entrenará la selección @Argentina 🇦🇷 en #Doha durante el Mundial FIFA #Qatar2022 🇶🇦 @roadto2022es @fifaworldcup_es @afa https://t.co/6f4eeWH5r1</t>
  </si>
  <si>
    <t>Bariloche, Río Negro 💙
📷 Mirtha Rivera https://t.co/ahKQju9l2g</t>
  </si>
  <si>
    <t>¡Momentos históricos de la @FIFAWorldCup! 🔙
@Argentina conquistó el Mundial de 1986 🇲🇽 y Diego Maradona 1⃣0⃣, capitán del equipo dirigido por Carlos Bilardo, levantó la 🏆. 
#46DaysToGo #CreeEnTuContinente #ElMesDel10</t>
  </si>
  <si>
    <t>Former Argentina captain Javier @Mascherano is full of anticipation for this year’s @fifaworldcup in Qatar and keen to see how the compact nature of the tournament will boost performances on the pitch. 
Read the full story: https://t.co/wbi6wrhU6f https://t.co/9YUpvKihBX</t>
  </si>
  <si>
    <t>خافيير ماسكيرانو قائد منتخب #الأرجنتين السابق وسفير #كأس_العالم_FIFA_قطر2022  يؤكد أن بانتظار المشجعين أوقاتاً رائعة في #قطر خلال الحدث العالمي المرتقب 
#قنا_رياضي https://t.co/6PAyqab1fC</t>
  </si>
  <si>
    <t>.@QatarRail will deploy 110 metro trains &amp;amp; increase daily operating hours to accommodate a projected increase in passenger numbers during the @FIFAWorldCup
Doha Metro anticipates about 700,000 daily commuters, or about six times the usual daily ridership
https://t.co/eMmCeawxzk</t>
  </si>
  <si>
    <t>📢 PROTOCOLO SANITARIO COVID-19 DE QATAR PARA EL MUNDIAL FIFA #Qatar2022 🇶🇦 @roadto2022es @fifaworldcup_es
@MOFAQatar_ES
https://t.co/eTevspy5Ov</t>
  </si>
  <si>
    <t>🇦🇷 Carne argentina en @CarrefourQA #Qatar 🇶🇦 @CancilleriaARG @PromocionARG @IPCVA https://t.co/Pi8tAwv9SH</t>
  </si>
  <si>
    <t>Amplio apoyo internacional a la Argentina en la Cuestión de las Islas Malvinas en la Cuarta Comisión de la Asamblea General de la ONU 🇺🇳
📎 https://t.co/XqPl2pUzWt https://t.co/gftekvyjiJ</t>
  </si>
  <si>
    <t>La cuestión de las Islas Malvinas fue el centro de atención en la sesión de apertura del debate sobre descolonización de la Cuarta Comisión (Asamblea General de la ONU) donde la Argentina recibió un amplio respaldo a sus derechos de soberanía. https://t.co/8b9ncfEzk9</t>
  </si>
  <si>
    <t>In the presence of Deputy PM and Minister of Foreign Affairs HE Sheikh Mohammed bin Abdulrahman Al Thani, HE Sheikha Al Mayassa bint Hamad Al Thani, and a number of Excellencies the Ministers and Ambassadors, the Flag Plaza opened at the Corniche.
#Qatar https://t.co/kJeFKiijpp</t>
  </si>
  <si>
    <t>La Cancillería y el @INCAA_Argentina acuerdan promocionar el cine nacional en el exterior 🇦🇷 📽️
El canciller Santiago Cafiero y Nicolás Batlle, titular del organismo, firmaron el convenio que crea la Red Internacional de Espacios INCAA en las representaciones argentinas. https://t.co/qTU1ZVMUfv</t>
  </si>
  <si>
    <t>⏰ ¡No olvides de registrar tu Hayya Card para viajar a #Qatar2022! ⏰
🪪 Será tu permiso para ingresar al país, a los partidos y para viajar gratis en el transporte público. https://t.co/lrBjRqSLDi</t>
  </si>
  <si>
    <t>Tweet de apreciación de Leo Messi en la #FIFAWorldCup 🇦🇷🤩
Está llegando un nuevo capítulo... ⌛</t>
  </si>
  <si>
    <t>🤩✈️ @Aerolineas_AR @afa @Argentina 🇦🇷 https://t.co/1udkvwHlWJ</t>
  </si>
  <si>
    <t>Flag Plaza along Corniche is the latest attraction in #Qatar https://t.co/ozyfcqgPMU</t>
  </si>
  <si>
    <t>🇦🇷 Con Leo Messi como líder, la @CopaAmerica 🏆  bajo el brazo y un sólido invicto de 35 partidos, @Argentina es seria candidata para #Qatar2022. 
Leé el análisis del equipo de @lioscaloni en FIFA+ 👇</t>
  </si>
  <si>
    <t>WATCH
In the presence of Deputy PM and FM HE Sheikh Mohammed bin Abdulrahman Al Thani, Chairperson of QM HE Sheikha Al Mayassa bint Hamad bin Khalifa Al Thani and other dignitaries, the flags of the countries competing in #Qatar #WorldCup 2022 were raised in #Corniche. https://t.co/ETinZgD0nZ</t>
  </si>
  <si>
    <t>🇦🇷🇶🇦 https://t.co/Qpnozf9NfS</t>
  </si>
  <si>
    <t>🇦🇷 El gol de Maxi Rodríguez a México en slow-motion es 𝑝𝑜𝑒𝑠𝑖𝑎 𝑝𝑢𝑟𝑎 ✍✨
@MR11ok | @Argentina</t>
  </si>
  <si>
    <t>El Embajador @Guille__Nicolas participó esta mañana de una ceremonia de izado de banderas frente al @MIAQatar, organizada por @Qatar_Museums. Gracias a esta iniciativa, nuestro pabellón nacional 🇦🇷 flameará por siempre en #Doha #Qatar 🇶🇦. @CancilleriaARG #Argentina @MOFAQatar_ES https://t.co/IbWVS5TRg9</t>
  </si>
  <si>
    <t>Aquí estaremos para asistirte @Angelalerena, también a todo el equipo de la @TV_Publica y todos los medios argentinos 🇦🇷 que vengan a cubrir #Qatar2022 🇶🇦 @roadto2022es @fifaworldcup_es https://t.co/oC40wY9pgG</t>
  </si>
  <si>
    <t>Bienvenido a #Doha Juan Sebastián Verón 🇦🇷 #AspireSummit22 #Qatar 🇶🇦 https://t.co/Dckb614TXB</t>
  </si>
  <si>
    <t>Ceremonia de apertura #WISHQatar2022 🇶🇦 en #EducationCity @QF a cargo de SA Sheikha Moza bint Nasser Al-Missned https://t.co/dRI8vSalYF</t>
  </si>
  <si>
    <t>¡No olvides de obtener tu Hayya Card para viajar a #Qatar2022! 🪪
Te sirve tanto la versión física como la digital. Visita https://t.co/tkkA9D9W9X o descarga la app. 📲 https://t.co/0XAMMBjh1f</t>
  </si>
  <si>
    <t>One of the most prominent collectibles of the World of Football exhibition is the shirt that #Maradona wore when he scored two goals against #England in the 1986 World Cup. #QNA_Sport https://t.co/TMctstfOc9</t>
  </si>
  <si>
    <t>من أبرز مقتنيات معرض "عالم كرة القدم" القميص الذي ارتداه #مارادونا عندما سجل هدفين في مرمى #إنجلترا في مونديال 1986 الذي أُعير للمعرض بعد بيعه بمزاد في مايو 2022، وكان حينها أغلى قطعة تذكارية رياضية تم شراؤها على الإطلاق
#قنا_رياضي https://t.co/pFB0okgA1W</t>
  </si>
  <si>
    <t>La camiseta que usó #Maradona 🇦🇷 en el 86' está en el Museo @321QOSM de #Qatar 🇶🇦 ⚽️ @afa @Argentina #️⃣1️⃣0️⃣ @Qatar_Museums @roadto2022es @fifaworldcup_es https://t.co/Ggbss07Qr5</t>
  </si>
  <si>
    <t>DeportesLN</t>
  </si>
  <si>
    <t>Mundial de Qatar 2022: “Ver a Messi levantando la Copa sería realmente especial para nosotros”, dice Hassan Al Thawadi, jefe de la organización https://t.co/T599YWRcJy https://t.co/ANes33O36k</t>
  </si>
  <si>
    <t>La camiseta que usó Diego Maradona ante Inglaterra en México 1986 comienza a ser exhibida en Qatar 2022 https://t.co/0cS9vGjkla https://t.co/aUXA2NSAo8</t>
  </si>
  <si>
    <t>Si vas a viajar a #Qatar2022, es importante que ya registres tu Hayya Card 🪪
Visita https://t.co/tkkA9Ds5o5 o descarga la app. 📲 https://t.co/HICUMVrFQK</t>
  </si>
  <si>
    <t>SOLO. CINCUENTA. DÍAS.
La #FIFAWorldCup está llegando... 🏆 https://t.co/pziqCMyL54</t>
  </si>
  <si>
    <t>🇦🇷 La gambeta de Ariel Ortega. David Beckham en el camino. Francia 1998. ✨
@Argentina | #FIFAWorldCup https://t.co/Ju8ZJPJhfM</t>
  </si>
  <si>
    <t>⚽️ En #Qatar2022 🇶🇦 nuestro seleccionado @afa se volverá a medir contra 🇲🇽
🤞 Ojalá @Argentina resulte victorioso y sume otro golazo como el de @__CarlitosTevez 
🇦🇷 #Argentina @roadto2022es @fifaworldcup_es https://t.co/E0zbWHmcoL</t>
  </si>
  <si>
    <t>Copa Mundial FIFA #Qatar2022 🇶🇦
Ante constante actualización de información por los organizadoes, estamos ultimando detalles junto a @CancilleriaARG 🇦🇷 para publicar la guía.
Mientras, contanos qué te gustaría saber o qué datos considerás que podrían ser de utilidad
👇 https://t.co/dThPgHQAGn</t>
  </si>
  <si>
    <t>✅️ https://t.co/xSuEOgBRvJ</t>
  </si>
  <si>
    <t>jbattagliotti</t>
  </si>
  <si>
    <t>🔥🇦🇷🔥 Se va palpitando #Qatar2022 y el Show de Ciro y Los Persas que estarán el 27 de noviembre en @kataraqatar 🔥⚽️🔥
@ciroylospersas @embargenqatar @QatarEmb_BA @roadto2022es 
https://t.co/HrlPRdjkuR</t>
  </si>
  <si>
    <t>Show de Ciro y Los Persas @ciroylospersas 27.11.22 en @kataraqatar #Doha #Qatar. Gracias a los productores por compartir este video. Un placer asistirlos junto a @CancilleriaARG @culturalesarg para el armado del show durante el Mundial #Qatar2022 🇶🇦 @roadto2022es @fifaworldcup_es https://t.co/dzGmJ5YYPG</t>
  </si>
  <si>
    <t>The wait is nearly over for #Qatar2022 ⌛️
We are 50 days away from the start of the #FIFAWorldCup 🔜 https://t.co/HkfLHJR1qR</t>
  </si>
  <si>
    <t>بابو جوميز نجم #الأرجنتين : سنفعل أي شيء للفوز بـ #كأس_العالم في #قطر وإذا كان علي اختيار منافس للفوز باللقب أمامه سأرغب في أن يكون منتخب #البرازيل https://t.co/wusfHkLVTr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</si>
</sst>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51"/>
  <sheetViews>
    <sheetView tabSelected="1" topLeftCell="A531" workbookViewId="0">
      <selection activeCell="A552" sqref="A552:XFD3195"/>
    </sheetView>
  </sheetViews>
  <sheetFormatPr baseColWidth="10" defaultColWidth="8.83203125" defaultRowHeight="15" x14ac:dyDescent="0.2"/>
  <cols>
    <col min="3" max="3" width="48.16406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HYPERLINK("http://www.twitter.com/banuakdenizli/status/1609054553273692161", "1609054553273692161")</f>
        <v>1609054553273692161</v>
      </c>
      <c r="B2" t="s">
        <v>15</v>
      </c>
      <c r="C2" s="2">
        <v>44926.216134259259</v>
      </c>
      <c r="D2">
        <v>12</v>
      </c>
      <c r="E2">
        <v>1</v>
      </c>
      <c r="G2" t="s">
        <v>35</v>
      </c>
      <c r="L2">
        <v>0</v>
      </c>
      <c r="M2">
        <v>0</v>
      </c>
      <c r="N2">
        <v>1</v>
      </c>
      <c r="O2">
        <v>0</v>
      </c>
    </row>
    <row r="3" spans="1:15" x14ac:dyDescent="0.2">
      <c r="A3" s="1" t="str">
        <f>HYPERLINK("http://www.twitter.com/banuakdenizli/status/1608030958313242625", "1608030958313242625")</f>
        <v>1608030958313242625</v>
      </c>
      <c r="B3" t="s">
        <v>15</v>
      </c>
      <c r="C3" s="2">
        <v>44923.391550925917</v>
      </c>
      <c r="D3">
        <v>0</v>
      </c>
      <c r="E3">
        <v>21</v>
      </c>
      <c r="F3" t="s">
        <v>36</v>
      </c>
      <c r="G3" t="s">
        <v>37</v>
      </c>
      <c r="H3" t="str">
        <f>HYPERLINK("http://pbs.twimg.com/media/FlC9ku7XgAA2moz.jpg", "http://pbs.twimg.com/media/FlC9ku7XgAA2moz.jpg")</f>
        <v>http://pbs.twimg.com/media/FlC9ku7XgAA2moz.jpg</v>
      </c>
      <c r="I3" t="str">
        <f>HYPERLINK("http://pbs.twimg.com/media/FlC9ku6XoAENb-j.jpg", "http://pbs.twimg.com/media/FlC9ku6XoAENb-j.jpg")</f>
        <v>http://pbs.twimg.com/media/FlC9ku6XoAENb-j.jpg</v>
      </c>
      <c r="J3" t="str">
        <f>HYPERLINK("http://pbs.twimg.com/media/FlC9ku-XoAEJEbB.jpg", "http://pbs.twimg.com/media/FlC9ku-XoAEJEbB.jpg")</f>
        <v>http://pbs.twimg.com/media/FlC9ku-XoAEJEbB.jpg</v>
      </c>
      <c r="K3" t="str">
        <f>HYPERLINK("http://pbs.twimg.com/media/FlC9kvKXkAAmTzg.jpg", "http://pbs.twimg.com/media/FlC9kvKXkAAmTzg.jpg")</f>
        <v>http://pbs.twimg.com/media/FlC9kvKXkAAmTzg.jpg</v>
      </c>
      <c r="L3">
        <v>0</v>
      </c>
      <c r="M3">
        <v>0</v>
      </c>
      <c r="N3">
        <v>1</v>
      </c>
      <c r="O3">
        <v>0</v>
      </c>
    </row>
    <row r="4" spans="1:15" x14ac:dyDescent="0.2">
      <c r="A4" s="1" t="str">
        <f>HYPERLINK("http://www.twitter.com/banuakdenizli/status/1607782509684588545", "1607782509684588545")</f>
        <v>1607782509684588545</v>
      </c>
      <c r="B4" t="s">
        <v>15</v>
      </c>
      <c r="C4" s="2">
        <v>44922.705972222233</v>
      </c>
      <c r="D4">
        <v>0</v>
      </c>
      <c r="E4">
        <v>5</v>
      </c>
      <c r="F4" t="s">
        <v>38</v>
      </c>
      <c r="G4" t="s">
        <v>39</v>
      </c>
      <c r="H4" t="str">
        <f>HYPERLINK("http://pbs.twimg.com/media/Fk_qOSYWIAAD4KR.jpg", "http://pbs.twimg.com/media/Fk_qOSYWIAAD4KR.jpg")</f>
        <v>http://pbs.twimg.com/media/Fk_qOSYWIAAD4KR.jpg</v>
      </c>
      <c r="I4" t="str">
        <f>HYPERLINK("http://pbs.twimg.com/media/Fk_qOSWXkAEoFRl.jpg", "http://pbs.twimg.com/media/Fk_qOSWXkAEoFRl.jpg")</f>
        <v>http://pbs.twimg.com/media/Fk_qOSWXkAEoFRl.jpg</v>
      </c>
      <c r="L4">
        <v>0</v>
      </c>
      <c r="M4">
        <v>0</v>
      </c>
      <c r="N4">
        <v>1</v>
      </c>
      <c r="O4">
        <v>0</v>
      </c>
    </row>
    <row r="5" spans="1:15" x14ac:dyDescent="0.2">
      <c r="A5" s="1" t="str">
        <f>HYPERLINK("http://www.twitter.com/banuakdenizli/status/1607394500258992129", "1607394500258992129")</f>
        <v>1607394500258992129</v>
      </c>
      <c r="B5" t="s">
        <v>15</v>
      </c>
      <c r="C5" s="2">
        <v>44921.635266203702</v>
      </c>
      <c r="D5">
        <v>3</v>
      </c>
      <c r="E5">
        <v>0</v>
      </c>
      <c r="G5" t="s">
        <v>40</v>
      </c>
      <c r="H5" t="str">
        <f>HYPERLINK("http://pbs.twimg.com/media/Fk6cx0zXoAIHv4k.jpg", "http://pbs.twimg.com/media/Fk6cx0zXoAIHv4k.jpg")</f>
        <v>http://pbs.twimg.com/media/Fk6cx0zXoAIHv4k.jpg</v>
      </c>
      <c r="L5">
        <v>0</v>
      </c>
      <c r="M5">
        <v>0</v>
      </c>
      <c r="N5">
        <v>1</v>
      </c>
      <c r="O5">
        <v>0</v>
      </c>
    </row>
    <row r="6" spans="1:15" x14ac:dyDescent="0.2">
      <c r="A6" s="1" t="str">
        <f>HYPERLINK("http://www.twitter.com/banuakdenizli/status/1607282389423644673", "1607282389423644673")</f>
        <v>1607282389423644673</v>
      </c>
      <c r="B6" t="s">
        <v>15</v>
      </c>
      <c r="C6" s="2">
        <v>44921.325902777768</v>
      </c>
      <c r="D6">
        <v>3</v>
      </c>
      <c r="E6">
        <v>0</v>
      </c>
      <c r="G6" t="s">
        <v>41</v>
      </c>
      <c r="L6">
        <v>0</v>
      </c>
      <c r="M6">
        <v>0</v>
      </c>
      <c r="N6">
        <v>1</v>
      </c>
      <c r="O6">
        <v>0</v>
      </c>
    </row>
    <row r="7" spans="1:15" x14ac:dyDescent="0.2">
      <c r="A7" s="1" t="str">
        <f>HYPERLINK("http://www.twitter.com/banuakdenizli/status/1606692478379229185", "1606692478379229185")</f>
        <v>1606692478379229185</v>
      </c>
      <c r="B7" t="s">
        <v>15</v>
      </c>
      <c r="C7" s="2">
        <v>44919.698055555556</v>
      </c>
      <c r="D7">
        <v>0</v>
      </c>
      <c r="E7">
        <v>33</v>
      </c>
      <c r="F7" t="s">
        <v>42</v>
      </c>
      <c r="G7" t="s">
        <v>43</v>
      </c>
      <c r="H7" t="str">
        <f>HYPERLINK("http://pbs.twimg.com/media/FkwXJFGXgAIR4uF.jpg", "http://pbs.twimg.com/media/FkwXJFGXgAIR4uF.jpg")</f>
        <v>http://pbs.twimg.com/media/FkwXJFGXgAIR4uF.jpg</v>
      </c>
      <c r="L7">
        <v>0</v>
      </c>
      <c r="M7">
        <v>0</v>
      </c>
      <c r="N7">
        <v>1</v>
      </c>
      <c r="O7">
        <v>0</v>
      </c>
    </row>
    <row r="8" spans="1:15" x14ac:dyDescent="0.2">
      <c r="A8" s="1" t="str">
        <f>HYPERLINK("http://www.twitter.com/banuakdenizli/status/1606579531506225152", "1606579531506225152")</f>
        <v>1606579531506225152</v>
      </c>
      <c r="B8" t="s">
        <v>15</v>
      </c>
      <c r="C8" s="2">
        <v>44919.386377314811</v>
      </c>
      <c r="D8">
        <v>0</v>
      </c>
      <c r="E8">
        <v>5</v>
      </c>
      <c r="F8" t="s">
        <v>44</v>
      </c>
      <c r="G8" t="s">
        <v>45</v>
      </c>
      <c r="H8" t="str">
        <f>HYPERLINK("http://pbs.twimg.com/media/FkuuytAXEAMMMim.jpg", "http://pbs.twimg.com/media/FkuuytAXEAMMMim.jpg")</f>
        <v>http://pbs.twimg.com/media/FkuuytAXEAMMMim.jpg</v>
      </c>
      <c r="L8">
        <v>0.57189999999999996</v>
      </c>
      <c r="M8">
        <v>0</v>
      </c>
      <c r="N8">
        <v>0.748</v>
      </c>
      <c r="O8">
        <v>0.252</v>
      </c>
    </row>
    <row r="9" spans="1:15" x14ac:dyDescent="0.2">
      <c r="A9" s="1" t="str">
        <f>HYPERLINK("http://www.twitter.com/banuakdenizli/status/1606239469073473536", "1606239469073473536")</f>
        <v>1606239469073473536</v>
      </c>
      <c r="B9" t="s">
        <v>15</v>
      </c>
      <c r="C9" s="2">
        <v>44918.44798611111</v>
      </c>
      <c r="D9">
        <v>9</v>
      </c>
      <c r="E9">
        <v>0</v>
      </c>
      <c r="G9" t="s">
        <v>46</v>
      </c>
      <c r="H9" t="str">
        <f>HYPERLINK("http://pbs.twimg.com/media/FkqCSNwX0AAJbl3.jpg", "http://pbs.twimg.com/media/FkqCSNwX0AAJbl3.jpg")</f>
        <v>http://pbs.twimg.com/media/FkqCSNwX0AAJbl3.jpg</v>
      </c>
      <c r="L9">
        <v>0</v>
      </c>
      <c r="M9">
        <v>0</v>
      </c>
      <c r="N9">
        <v>1</v>
      </c>
      <c r="O9">
        <v>0</v>
      </c>
    </row>
    <row r="10" spans="1:15" x14ac:dyDescent="0.2">
      <c r="A10" s="1" t="str">
        <f>HYPERLINK("http://www.twitter.com/banuakdenizli/status/1606157714773655553", "1606157714773655553")</f>
        <v>1606157714773655553</v>
      </c>
      <c r="B10" t="s">
        <v>15</v>
      </c>
      <c r="C10" s="2">
        <v>44918.222384259258</v>
      </c>
      <c r="D10">
        <v>0</v>
      </c>
      <c r="E10">
        <v>74</v>
      </c>
      <c r="F10" t="s">
        <v>47</v>
      </c>
      <c r="G10" t="s">
        <v>48</v>
      </c>
      <c r="H10" t="str">
        <f>HYPERLINK("http://pbs.twimg.com/media/FkloN42UYAE72Su.jpg", "http://pbs.twimg.com/media/FkloN42UYAE72Su.jpg")</f>
        <v>http://pbs.twimg.com/media/FkloN42UYAE72Su.jpg</v>
      </c>
      <c r="L10">
        <v>0.45879999999999999</v>
      </c>
      <c r="M10">
        <v>0</v>
      </c>
      <c r="N10">
        <v>0.8</v>
      </c>
      <c r="O10">
        <v>0.2</v>
      </c>
    </row>
    <row r="11" spans="1:15" x14ac:dyDescent="0.2">
      <c r="A11" s="1" t="str">
        <f>HYPERLINK("http://www.twitter.com/banuakdenizli/status/1605609520549462017", "1605609520549462017")</f>
        <v>1605609520549462017</v>
      </c>
      <c r="B11" t="s">
        <v>15</v>
      </c>
      <c r="C11" s="2">
        <v>44916.709664351853</v>
      </c>
      <c r="D11">
        <v>0</v>
      </c>
      <c r="E11">
        <v>1</v>
      </c>
      <c r="F11" t="s">
        <v>49</v>
      </c>
      <c r="G11" t="s">
        <v>50</v>
      </c>
      <c r="L11">
        <v>0</v>
      </c>
      <c r="M11">
        <v>0</v>
      </c>
      <c r="N11">
        <v>1</v>
      </c>
      <c r="O11">
        <v>0</v>
      </c>
    </row>
    <row r="12" spans="1:15" x14ac:dyDescent="0.2">
      <c r="A12" s="1" t="str">
        <f>HYPERLINK("http://www.twitter.com/banuakdenizli/status/1605545654339571712", "1605545654339571712")</f>
        <v>1605545654339571712</v>
      </c>
      <c r="B12" t="s">
        <v>15</v>
      </c>
      <c r="C12" s="2">
        <v>44916.533425925933</v>
      </c>
      <c r="D12">
        <v>0</v>
      </c>
      <c r="E12">
        <v>1</v>
      </c>
      <c r="F12" t="s">
        <v>51</v>
      </c>
      <c r="G12" t="s">
        <v>52</v>
      </c>
      <c r="L12">
        <v>0.31819999999999998</v>
      </c>
      <c r="M12">
        <v>0</v>
      </c>
      <c r="N12">
        <v>0.93700000000000006</v>
      </c>
      <c r="O12">
        <v>6.3E-2</v>
      </c>
    </row>
    <row r="13" spans="1:15" x14ac:dyDescent="0.2">
      <c r="A13" s="1" t="str">
        <f>HYPERLINK("http://www.twitter.com/banuakdenizli/status/1605235958366064640", "1605235958366064640")</f>
        <v>1605235958366064640</v>
      </c>
      <c r="B13" t="s">
        <v>15</v>
      </c>
      <c r="C13" s="2">
        <v>44915.678819444453</v>
      </c>
      <c r="D13">
        <v>0</v>
      </c>
      <c r="E13">
        <v>176</v>
      </c>
      <c r="F13" t="s">
        <v>22</v>
      </c>
      <c r="G13" t="s">
        <v>53</v>
      </c>
      <c r="H13" t="str">
        <f>HYPERLINK("http://pbs.twimg.com/media/FkbcYvvXkAEsxHL.jpg", "http://pbs.twimg.com/media/FkbcYvvXkAEsxHL.jpg")</f>
        <v>http://pbs.twimg.com/media/FkbcYvvXkAEsxHL.jpg</v>
      </c>
      <c r="L13">
        <v>0</v>
      </c>
      <c r="M13">
        <v>0</v>
      </c>
      <c r="N13">
        <v>1</v>
      </c>
      <c r="O13">
        <v>0</v>
      </c>
    </row>
    <row r="14" spans="1:15" x14ac:dyDescent="0.2">
      <c r="A14" s="1" t="str">
        <f>HYPERLINK("http://www.twitter.com/banuakdenizli/status/1605235927429046274", "1605235927429046274")</f>
        <v>1605235927429046274</v>
      </c>
      <c r="B14" t="s">
        <v>15</v>
      </c>
      <c r="C14" s="2">
        <v>44915.678738425922</v>
      </c>
      <c r="D14">
        <v>0</v>
      </c>
      <c r="E14">
        <v>268</v>
      </c>
      <c r="F14" t="s">
        <v>19</v>
      </c>
      <c r="G14" t="s">
        <v>54</v>
      </c>
      <c r="H14" t="str">
        <f>HYPERLINK("http://pbs.twimg.com/media/FkbjBbjXEAIyLZw.jpg", "http://pbs.twimg.com/media/FkbjBbjXEAIyLZw.jpg")</f>
        <v>http://pbs.twimg.com/media/FkbjBbjXEAIyLZw.jpg</v>
      </c>
      <c r="I14" t="str">
        <f>HYPERLINK("http://pbs.twimg.com/media/FkbjBbiXEAIMe5s.jpg", "http://pbs.twimg.com/media/FkbjBbiXEAIMe5s.jpg")</f>
        <v>http://pbs.twimg.com/media/FkbjBbiXEAIMe5s.jpg</v>
      </c>
      <c r="J14" t="str">
        <f>HYPERLINK("http://pbs.twimg.com/media/FkbjBbnWAAEa8qH.jpg", "http://pbs.twimg.com/media/FkbjBbnWAAEa8qH.jpg")</f>
        <v>http://pbs.twimg.com/media/FkbjBbnWAAEa8qH.jpg</v>
      </c>
      <c r="K14" t="str">
        <f>HYPERLINK("http://pbs.twimg.com/media/FkbjBcbXoAAOidd.jpg", "http://pbs.twimg.com/media/FkbjBcbXoAAOidd.jpg")</f>
        <v>http://pbs.twimg.com/media/FkbjBcbXoAAOidd.jpg</v>
      </c>
      <c r="L14">
        <v>0</v>
      </c>
      <c r="M14">
        <v>0</v>
      </c>
      <c r="N14">
        <v>1</v>
      </c>
      <c r="O14">
        <v>0</v>
      </c>
    </row>
    <row r="15" spans="1:15" x14ac:dyDescent="0.2">
      <c r="A15" s="1" t="str">
        <f>HYPERLINK("http://www.twitter.com/banuakdenizli/status/1605194852483858433", "1605194852483858433")</f>
        <v>1605194852483858433</v>
      </c>
      <c r="B15" t="s">
        <v>15</v>
      </c>
      <c r="C15" s="2">
        <v>44915.565393518518</v>
      </c>
      <c r="D15">
        <v>0</v>
      </c>
      <c r="E15">
        <v>4</v>
      </c>
      <c r="F15" t="s">
        <v>55</v>
      </c>
      <c r="G15" t="s">
        <v>56</v>
      </c>
      <c r="L15">
        <v>0</v>
      </c>
      <c r="M15">
        <v>0</v>
      </c>
      <c r="N15">
        <v>1</v>
      </c>
      <c r="O15">
        <v>0</v>
      </c>
    </row>
    <row r="16" spans="1:15" x14ac:dyDescent="0.2">
      <c r="A16" s="1" t="str">
        <f>HYPERLINK("http://www.twitter.com/banuakdenizli/status/1605175521515606018", "1605175521515606018")</f>
        <v>1605175521515606018</v>
      </c>
      <c r="B16" t="s">
        <v>15</v>
      </c>
      <c r="C16" s="2">
        <v>44915.512048611112</v>
      </c>
      <c r="D16">
        <v>0</v>
      </c>
      <c r="E16">
        <v>618</v>
      </c>
      <c r="F16" t="s">
        <v>57</v>
      </c>
      <c r="G16" t="s">
        <v>58</v>
      </c>
      <c r="H16" t="str">
        <f>HYPERLINK("http://pbs.twimg.com/media/FkZz1uRXwAIcsOC.jpg", "http://pbs.twimg.com/media/FkZz1uRXwAIcsOC.jpg")</f>
        <v>http://pbs.twimg.com/media/FkZz1uRXwAIcsOC.jpg</v>
      </c>
      <c r="I16" t="str">
        <f>HYPERLINK("http://pbs.twimg.com/media/FkZz1uTWIAMnXIq.jpg", "http://pbs.twimg.com/media/FkZz1uTWIAMnXIq.jpg")</f>
        <v>http://pbs.twimg.com/media/FkZz1uTWIAMnXIq.jpg</v>
      </c>
      <c r="J16" t="str">
        <f>HYPERLINK("http://pbs.twimg.com/media/FkZz1uUXwAAXL0_.jpg", "http://pbs.twimg.com/media/FkZz1uUXwAAXL0_.jpg")</f>
        <v>http://pbs.twimg.com/media/FkZz1uUXwAAXL0_.jpg</v>
      </c>
      <c r="K16" t="str">
        <f>HYPERLINK("http://pbs.twimg.com/media/FkZz1uTXoAUuueP.jpg", "http://pbs.twimg.com/media/FkZz1uTXoAUuueP.jpg")</f>
        <v>http://pbs.twimg.com/media/FkZz1uTXoAUuueP.jpg</v>
      </c>
      <c r="L16">
        <v>0</v>
      </c>
      <c r="M16">
        <v>0</v>
      </c>
      <c r="N16">
        <v>1</v>
      </c>
      <c r="O16">
        <v>0</v>
      </c>
    </row>
    <row r="17" spans="1:15" x14ac:dyDescent="0.2">
      <c r="A17" s="1" t="str">
        <f>HYPERLINK("http://www.twitter.com/banuakdenizli/status/1605148990479155200", "1605148990479155200")</f>
        <v>1605148990479155200</v>
      </c>
      <c r="B17" t="s">
        <v>15</v>
      </c>
      <c r="C17" s="2">
        <v>44915.438842592594</v>
      </c>
      <c r="D17">
        <v>44</v>
      </c>
      <c r="E17">
        <v>6</v>
      </c>
      <c r="G17" t="s">
        <v>59</v>
      </c>
      <c r="H17" t="str">
        <f>HYPERLINK("http://pbs.twimg.com/media/FkaibyXWQAEFgmG.jpg", "http://pbs.twimg.com/media/FkaibyXWQAEFgmG.jpg")</f>
        <v>http://pbs.twimg.com/media/FkaibyXWQAEFgmG.jpg</v>
      </c>
      <c r="L17">
        <v>0</v>
      </c>
      <c r="M17">
        <v>0</v>
      </c>
      <c r="N17">
        <v>1</v>
      </c>
      <c r="O17">
        <v>0</v>
      </c>
    </row>
    <row r="18" spans="1:15" x14ac:dyDescent="0.2">
      <c r="A18" s="1" t="str">
        <f>HYPERLINK("http://www.twitter.com/banuakdenizli/status/1605133084126760960", "1605133084126760960")</f>
        <v>1605133084126760960</v>
      </c>
      <c r="B18" t="s">
        <v>15</v>
      </c>
      <c r="C18" s="2">
        <v>44915.394942129627</v>
      </c>
      <c r="D18">
        <v>0</v>
      </c>
      <c r="E18">
        <v>8</v>
      </c>
      <c r="F18" t="s">
        <v>20</v>
      </c>
      <c r="G18" t="s">
        <v>60</v>
      </c>
      <c r="L18">
        <v>0.2732</v>
      </c>
      <c r="M18">
        <v>0</v>
      </c>
      <c r="N18">
        <v>0.93200000000000005</v>
      </c>
      <c r="O18">
        <v>6.8000000000000005E-2</v>
      </c>
    </row>
    <row r="19" spans="1:15" x14ac:dyDescent="0.2">
      <c r="A19" s="1" t="str">
        <f>HYPERLINK("http://www.twitter.com/banuakdenizli/status/1605092824172609537", "1605092824172609537")</f>
        <v>1605092824172609537</v>
      </c>
      <c r="B19" t="s">
        <v>15</v>
      </c>
      <c r="C19" s="2">
        <v>44915.283854166657</v>
      </c>
      <c r="D19">
        <v>0</v>
      </c>
      <c r="E19">
        <v>1914</v>
      </c>
      <c r="F19" t="s">
        <v>19</v>
      </c>
      <c r="G19" t="s">
        <v>61</v>
      </c>
      <c r="H19" t="str">
        <f>HYPERLINK("https://video.twimg.com/ext_tw_video/1605090971296956416/pu/vid/480x848/totagNwFjYYg1T8V.mp4?tag=12", "https://video.twimg.com/ext_tw_video/1605090971296956416/pu/vid/480x848/totagNwFjYYg1T8V.mp4?tag=12")</f>
        <v>https://video.twimg.com/ext_tw_video/1605090971296956416/pu/vid/480x848/totagNwFjYYg1T8V.mp4?tag=12</v>
      </c>
      <c r="L19">
        <v>0</v>
      </c>
      <c r="M19">
        <v>0</v>
      </c>
      <c r="N19">
        <v>1</v>
      </c>
      <c r="O19">
        <v>0</v>
      </c>
    </row>
    <row r="20" spans="1:15" x14ac:dyDescent="0.2">
      <c r="A20" s="1" t="str">
        <f>HYPERLINK("http://www.twitter.com/banuakdenizli/status/1605078552709308417", "1605078552709308417")</f>
        <v>1605078552709308417</v>
      </c>
      <c r="B20" t="s">
        <v>15</v>
      </c>
      <c r="C20" s="2">
        <v>44915.244467592587</v>
      </c>
      <c r="D20">
        <v>0</v>
      </c>
      <c r="E20">
        <v>918</v>
      </c>
      <c r="F20" t="s">
        <v>19</v>
      </c>
      <c r="G20" t="s">
        <v>62</v>
      </c>
      <c r="H20" t="str">
        <f>HYPERLINK("https://video.twimg.com/ext_tw_video/1604866715594235905/pu/vid/640x352/a8rrDztOsn3NCfVj.mp4?tag=12", "https://video.twimg.com/ext_tw_video/1604866715594235905/pu/vid/640x352/a8rrDztOsn3NCfVj.mp4?tag=12")</f>
        <v>https://video.twimg.com/ext_tw_video/1604866715594235905/pu/vid/640x352/a8rrDztOsn3NCfVj.mp4?tag=12</v>
      </c>
      <c r="L20">
        <v>0</v>
      </c>
      <c r="M20">
        <v>0</v>
      </c>
      <c r="N20">
        <v>1</v>
      </c>
      <c r="O20">
        <v>0</v>
      </c>
    </row>
    <row r="21" spans="1:15" x14ac:dyDescent="0.2">
      <c r="A21" s="1" t="str">
        <f>HYPERLINK("http://www.twitter.com/banuakdenizli/status/1605070818870018048", "1605070818870018048")</f>
        <v>1605070818870018048</v>
      </c>
      <c r="B21" t="s">
        <v>15</v>
      </c>
      <c r="C21" s="2">
        <v>44915.223124999997</v>
      </c>
      <c r="D21">
        <v>0</v>
      </c>
      <c r="E21">
        <v>5</v>
      </c>
      <c r="F21" t="s">
        <v>63</v>
      </c>
      <c r="G21" t="s">
        <v>64</v>
      </c>
      <c r="L21">
        <v>0</v>
      </c>
      <c r="M21">
        <v>0</v>
      </c>
      <c r="N21">
        <v>1</v>
      </c>
      <c r="O21">
        <v>0</v>
      </c>
    </row>
    <row r="22" spans="1:15" x14ac:dyDescent="0.2">
      <c r="A22" s="1" t="str">
        <f>HYPERLINK("http://www.twitter.com/banuakdenizli/status/1605070576397213698", "1605070576397213698")</f>
        <v>1605070576397213698</v>
      </c>
      <c r="B22" t="s">
        <v>15</v>
      </c>
      <c r="C22" s="2">
        <v>44915.222453703696</v>
      </c>
      <c r="D22">
        <v>0</v>
      </c>
      <c r="E22">
        <v>162</v>
      </c>
      <c r="F22" t="s">
        <v>24</v>
      </c>
      <c r="G22" t="s">
        <v>65</v>
      </c>
      <c r="H22" t="str">
        <f>HYPERLINK("https://video.twimg.com/amplify_video/1604872331863633925/vid/1080x1920/jAOqkchE1enQAnNy.mp4?tag=16", "https://video.twimg.com/amplify_video/1604872331863633925/vid/1080x1920/jAOqkchE1enQAnNy.mp4?tag=16")</f>
        <v>https://video.twimg.com/amplify_video/1604872331863633925/vid/1080x1920/jAOqkchE1enQAnNy.mp4?tag=16</v>
      </c>
      <c r="L22">
        <v>0.47670000000000001</v>
      </c>
      <c r="M22">
        <v>0</v>
      </c>
      <c r="N22">
        <v>0.9</v>
      </c>
      <c r="O22">
        <v>0.1</v>
      </c>
    </row>
    <row r="23" spans="1:15" x14ac:dyDescent="0.2">
      <c r="A23" s="1" t="str">
        <f>HYPERLINK("http://www.twitter.com/banuakdenizli/status/1605068920318095361", "1605068920318095361")</f>
        <v>1605068920318095361</v>
      </c>
      <c r="B23" t="s">
        <v>15</v>
      </c>
      <c r="C23" s="2">
        <v>44915.217881944453</v>
      </c>
      <c r="D23">
        <v>0</v>
      </c>
      <c r="E23">
        <v>3</v>
      </c>
      <c r="F23" t="s">
        <v>66</v>
      </c>
      <c r="G23" t="s">
        <v>67</v>
      </c>
      <c r="L23">
        <v>0</v>
      </c>
      <c r="M23">
        <v>0</v>
      </c>
      <c r="N23">
        <v>1</v>
      </c>
      <c r="O23">
        <v>0</v>
      </c>
    </row>
    <row r="24" spans="1:15" x14ac:dyDescent="0.2">
      <c r="A24" s="1" t="str">
        <f>HYPERLINK("http://www.twitter.com/banuakdenizli/status/1604917875185422336", "1604917875185422336")</f>
        <v>1604917875185422336</v>
      </c>
      <c r="B24" t="s">
        <v>15</v>
      </c>
      <c r="C24" s="2">
        <v>44914.801087962973</v>
      </c>
      <c r="D24">
        <v>10</v>
      </c>
      <c r="E24">
        <v>1</v>
      </c>
      <c r="G24" t="s">
        <v>68</v>
      </c>
      <c r="H24" t="str">
        <f>HYPERLINK("http://pbs.twimg.com/media/FkXQTRZXgAwh6aO.jpg", "http://pbs.twimg.com/media/FkXQTRZXgAwh6aO.jpg")</f>
        <v>http://pbs.twimg.com/media/FkXQTRZXgAwh6aO.jpg</v>
      </c>
      <c r="L24">
        <v>0</v>
      </c>
      <c r="M24">
        <v>0</v>
      </c>
      <c r="N24">
        <v>1</v>
      </c>
      <c r="O24">
        <v>0</v>
      </c>
    </row>
    <row r="25" spans="1:15" x14ac:dyDescent="0.2">
      <c r="A25" s="1" t="str">
        <f>HYPERLINK("http://www.twitter.com/banuakdenizli/status/1604899215720779780", "1604899215720779780")</f>
        <v>1604899215720779780</v>
      </c>
      <c r="B25" t="s">
        <v>15</v>
      </c>
      <c r="C25" s="2">
        <v>44914.749594907407</v>
      </c>
      <c r="D25">
        <v>2</v>
      </c>
      <c r="E25">
        <v>0</v>
      </c>
      <c r="G25" t="s">
        <v>69</v>
      </c>
      <c r="L25">
        <v>0</v>
      </c>
      <c r="M25">
        <v>0</v>
      </c>
      <c r="N25">
        <v>1</v>
      </c>
      <c r="O25">
        <v>0</v>
      </c>
    </row>
    <row r="26" spans="1:15" x14ac:dyDescent="0.2">
      <c r="A26" s="1" t="str">
        <f>HYPERLINK("http://www.twitter.com/banuakdenizli/status/1604897790756327433", "1604897790756327433")</f>
        <v>1604897790756327433</v>
      </c>
      <c r="B26" t="s">
        <v>15</v>
      </c>
      <c r="C26" s="2">
        <v>44914.745659722219</v>
      </c>
      <c r="D26">
        <v>0</v>
      </c>
      <c r="E26">
        <v>16</v>
      </c>
      <c r="F26" t="s">
        <v>16</v>
      </c>
      <c r="G26" t="s">
        <v>70</v>
      </c>
      <c r="H26" t="str">
        <f>HYPERLINK("http://pbs.twimg.com/media/FkW0NYdWQAArlL-.jpg", "http://pbs.twimg.com/media/FkW0NYdWQAArlL-.jpg")</f>
        <v>http://pbs.twimg.com/media/FkW0NYdWQAArlL-.jpg</v>
      </c>
      <c r="I26" t="str">
        <f>HYPERLINK("http://pbs.twimg.com/media/FkW0NYfWAAA8nO3.jpg", "http://pbs.twimg.com/media/FkW0NYfWAAA8nO3.jpg")</f>
        <v>http://pbs.twimg.com/media/FkW0NYfWAAA8nO3.jpg</v>
      </c>
      <c r="J26" t="str">
        <f>HYPERLINK("http://pbs.twimg.com/media/FkW0NYfXEBABibq.jpg", "http://pbs.twimg.com/media/FkW0NYfXEBABibq.jpg")</f>
        <v>http://pbs.twimg.com/media/FkW0NYfXEBABibq.jpg</v>
      </c>
      <c r="K26" t="str">
        <f>HYPERLINK("http://pbs.twimg.com/media/FkW0NYoXEAQjha0.jpg", "http://pbs.twimg.com/media/FkW0NYoXEAQjha0.jpg")</f>
        <v>http://pbs.twimg.com/media/FkW0NYoXEAQjha0.jpg</v>
      </c>
      <c r="L26">
        <v>0</v>
      </c>
      <c r="M26">
        <v>0</v>
      </c>
      <c r="N26">
        <v>1</v>
      </c>
      <c r="O26">
        <v>0</v>
      </c>
    </row>
    <row r="27" spans="1:15" x14ac:dyDescent="0.2">
      <c r="A27" s="1" t="str">
        <f>HYPERLINK("http://www.twitter.com/banuakdenizli/status/1604824965894836224", "1604824965894836224")</f>
        <v>1604824965894836224</v>
      </c>
      <c r="B27" t="s">
        <v>15</v>
      </c>
      <c r="C27" s="2">
        <v>44914.544699074067</v>
      </c>
      <c r="D27">
        <v>9</v>
      </c>
      <c r="E27">
        <v>0</v>
      </c>
      <c r="G27" t="s">
        <v>71</v>
      </c>
      <c r="L27">
        <v>0</v>
      </c>
      <c r="M27">
        <v>0</v>
      </c>
      <c r="N27">
        <v>1</v>
      </c>
      <c r="O27">
        <v>0</v>
      </c>
    </row>
    <row r="28" spans="1:15" x14ac:dyDescent="0.2">
      <c r="A28" s="1" t="str">
        <f>HYPERLINK("http://www.twitter.com/banuakdenizli/status/1604787838704267269", "1604787838704267269")</f>
        <v>1604787838704267269</v>
      </c>
      <c r="B28" t="s">
        <v>15</v>
      </c>
      <c r="C28" s="2">
        <v>44914.442245370366</v>
      </c>
      <c r="D28">
        <v>0</v>
      </c>
      <c r="E28">
        <v>8103</v>
      </c>
      <c r="F28" t="s">
        <v>22</v>
      </c>
      <c r="G28" t="s">
        <v>72</v>
      </c>
      <c r="H28" t="str">
        <f>HYPERLINK("http://pbs.twimg.com/media/FkSQZNeXgAMtiX8.jpg", "http://pbs.twimg.com/media/FkSQZNeXgAMtiX8.jpg")</f>
        <v>http://pbs.twimg.com/media/FkSQZNeXgAMtiX8.jpg</v>
      </c>
      <c r="L28">
        <v>0</v>
      </c>
      <c r="M28">
        <v>0</v>
      </c>
      <c r="N28">
        <v>1</v>
      </c>
      <c r="O28">
        <v>0</v>
      </c>
    </row>
    <row r="29" spans="1:15" x14ac:dyDescent="0.2">
      <c r="A29" s="1" t="str">
        <f>HYPERLINK("http://www.twitter.com/banuakdenizli/status/1604787812871593984", "1604787812871593984")</f>
        <v>1604787812871593984</v>
      </c>
      <c r="B29" t="s">
        <v>15</v>
      </c>
      <c r="C29" s="2">
        <v>44914.442175925928</v>
      </c>
      <c r="D29">
        <v>0</v>
      </c>
      <c r="E29">
        <v>11222</v>
      </c>
      <c r="F29" t="s">
        <v>30</v>
      </c>
      <c r="G29" t="s">
        <v>73</v>
      </c>
      <c r="H29" t="str">
        <f>HYPERLINK("http://pbs.twimg.com/media/FkVKvUcXkAAYsEZ.jpg", "http://pbs.twimg.com/media/FkVKvUcXkAAYsEZ.jpg")</f>
        <v>http://pbs.twimg.com/media/FkVKvUcXkAAYsEZ.jpg</v>
      </c>
      <c r="L29">
        <v>0</v>
      </c>
      <c r="M29">
        <v>0</v>
      </c>
      <c r="N29">
        <v>1</v>
      </c>
      <c r="O29">
        <v>0</v>
      </c>
    </row>
    <row r="30" spans="1:15" x14ac:dyDescent="0.2">
      <c r="A30" s="1" t="str">
        <f>HYPERLINK("http://www.twitter.com/banuakdenizli/status/1604779380101857280", "1604779380101857280")</f>
        <v>1604779380101857280</v>
      </c>
      <c r="B30" t="s">
        <v>15</v>
      </c>
      <c r="C30" s="2">
        <v>44914.418912037043</v>
      </c>
      <c r="D30">
        <v>47</v>
      </c>
      <c r="E30">
        <v>8</v>
      </c>
      <c r="G30" t="s">
        <v>74</v>
      </c>
      <c r="H30" t="str">
        <f>HYPERLINK("http://pbs.twimg.com/media/FkVSQcPWAAIdypt.jpg", "http://pbs.twimg.com/media/FkVSQcPWAAIdypt.jpg")</f>
        <v>http://pbs.twimg.com/media/FkVSQcPWAAIdypt.jpg</v>
      </c>
      <c r="L30">
        <v>0</v>
      </c>
      <c r="M30">
        <v>0</v>
      </c>
      <c r="N30">
        <v>1</v>
      </c>
      <c r="O30">
        <v>0</v>
      </c>
    </row>
    <row r="31" spans="1:15" x14ac:dyDescent="0.2">
      <c r="A31" s="1" t="str">
        <f>HYPERLINK("http://www.twitter.com/banuakdenizli/status/1604718460294111232", "1604718460294111232")</f>
        <v>1604718460294111232</v>
      </c>
      <c r="B31" t="s">
        <v>15</v>
      </c>
      <c r="C31" s="2">
        <v>44914.250798611109</v>
      </c>
      <c r="D31">
        <v>0</v>
      </c>
      <c r="E31">
        <v>191</v>
      </c>
      <c r="F31" t="s">
        <v>75</v>
      </c>
      <c r="G31" t="s">
        <v>76</v>
      </c>
      <c r="H31" t="str">
        <f>HYPERLINK("http://pbs.twimg.com/media/FkSB4LrWIAEXOQV.jpg", "http://pbs.twimg.com/media/FkSB4LrWIAEXOQV.jpg")</f>
        <v>http://pbs.twimg.com/media/FkSB4LrWIAEXOQV.jpg</v>
      </c>
      <c r="L31">
        <v>0</v>
      </c>
      <c r="M31">
        <v>0</v>
      </c>
      <c r="N31">
        <v>1</v>
      </c>
      <c r="O31">
        <v>0</v>
      </c>
    </row>
    <row r="32" spans="1:15" x14ac:dyDescent="0.2">
      <c r="A32" s="1" t="str">
        <f>HYPERLINK("http://www.twitter.com/banuakdenizli/status/1604718316442058756", "1604718316442058756")</f>
        <v>1604718316442058756</v>
      </c>
      <c r="B32" t="s">
        <v>15</v>
      </c>
      <c r="C32" s="2">
        <v>44914.250405092593</v>
      </c>
      <c r="D32">
        <v>0</v>
      </c>
      <c r="E32">
        <v>1083</v>
      </c>
      <c r="F32" t="s">
        <v>77</v>
      </c>
      <c r="G32" t="s">
        <v>78</v>
      </c>
      <c r="H32" t="str">
        <f>HYPERLINK("https://video.twimg.com/ext_tw_video/1604462727057084418/pu/vid/640x352/_lNCF9N9Izps3QPt.mp4?tag=12", "https://video.twimg.com/ext_tw_video/1604462727057084418/pu/vid/640x352/_lNCF9N9Izps3QPt.mp4?tag=12")</f>
        <v>https://video.twimg.com/ext_tw_video/1604462727057084418/pu/vid/640x352/_lNCF9N9Izps3QPt.mp4?tag=12</v>
      </c>
      <c r="L32">
        <v>0</v>
      </c>
      <c r="M32">
        <v>0</v>
      </c>
      <c r="N32">
        <v>1</v>
      </c>
      <c r="O32">
        <v>0</v>
      </c>
    </row>
    <row r="33" spans="1:15" x14ac:dyDescent="0.2">
      <c r="A33" s="1" t="str">
        <f>HYPERLINK("http://www.twitter.com/banuakdenizli/status/1604703299478904832", "1604703299478904832")</f>
        <v>1604703299478904832</v>
      </c>
      <c r="B33" t="s">
        <v>15</v>
      </c>
      <c r="C33" s="2">
        <v>44914.208969907413</v>
      </c>
      <c r="D33">
        <v>0</v>
      </c>
      <c r="E33">
        <v>8685</v>
      </c>
      <c r="F33" t="s">
        <v>28</v>
      </c>
      <c r="G33" t="s">
        <v>79</v>
      </c>
      <c r="H33" t="str">
        <f>HYPERLINK("http://pbs.twimg.com/media/FkTWx1GXwAADHjn.jpg", "http://pbs.twimg.com/media/FkTWx1GXwAADHjn.jpg")</f>
        <v>http://pbs.twimg.com/media/FkTWx1GXwAADHjn.jpg</v>
      </c>
      <c r="L33">
        <v>0</v>
      </c>
      <c r="M33">
        <v>0</v>
      </c>
      <c r="N33">
        <v>1</v>
      </c>
      <c r="O33">
        <v>0</v>
      </c>
    </row>
    <row r="34" spans="1:15" x14ac:dyDescent="0.2">
      <c r="A34" s="1" t="str">
        <f>HYPERLINK("http://www.twitter.com/banuakdenizli/status/1604571903817048064", "1604571903817048064")</f>
        <v>1604571903817048064</v>
      </c>
      <c r="B34" t="s">
        <v>15</v>
      </c>
      <c r="C34" s="2">
        <v>44913.846388888887</v>
      </c>
      <c r="D34">
        <v>0</v>
      </c>
      <c r="E34">
        <v>36365</v>
      </c>
      <c r="F34" t="s">
        <v>30</v>
      </c>
      <c r="G34" t="s">
        <v>80</v>
      </c>
      <c r="H34" t="str">
        <f>HYPERLINK("http://pbs.twimg.com/media/FkSUVzBXoAENU3b.jpg", "http://pbs.twimg.com/media/FkSUVzBXoAENU3b.jpg")</f>
        <v>http://pbs.twimg.com/media/FkSUVzBXoAENU3b.jpg</v>
      </c>
      <c r="L34">
        <v>0</v>
      </c>
      <c r="M34">
        <v>0</v>
      </c>
      <c r="N34">
        <v>1</v>
      </c>
      <c r="O34">
        <v>0</v>
      </c>
    </row>
    <row r="35" spans="1:15" x14ac:dyDescent="0.2">
      <c r="A35" s="1" t="str">
        <f>HYPERLINK("http://www.twitter.com/banuakdenizli/status/1604569881923719169", "1604569881923719169")</f>
        <v>1604569881923719169</v>
      </c>
      <c r="B35" t="s">
        <v>15</v>
      </c>
      <c r="C35" s="2">
        <v>44913.840798611112</v>
      </c>
      <c r="D35">
        <v>0</v>
      </c>
      <c r="E35">
        <v>110629</v>
      </c>
      <c r="F35" t="s">
        <v>22</v>
      </c>
      <c r="G35" t="s">
        <v>81</v>
      </c>
      <c r="H35" t="str">
        <f>HYPERLINK("http://pbs.twimg.com/media/FkSNGltWIAgbp9I.jpg", "http://pbs.twimg.com/media/FkSNGltWIAgbp9I.jpg")</f>
        <v>http://pbs.twimg.com/media/FkSNGltWIAgbp9I.jpg</v>
      </c>
      <c r="I35" t="str">
        <f>HYPERLINK("http://pbs.twimg.com/media/FkSNOhdXwAIf4hw.jpg", "http://pbs.twimg.com/media/FkSNOhdXwAIf4hw.jpg")</f>
        <v>http://pbs.twimg.com/media/FkSNOhdXwAIf4hw.jpg</v>
      </c>
      <c r="L35">
        <v>0</v>
      </c>
      <c r="M35">
        <v>0</v>
      </c>
      <c r="N35">
        <v>1</v>
      </c>
      <c r="O35">
        <v>0</v>
      </c>
    </row>
    <row r="36" spans="1:15" x14ac:dyDescent="0.2">
      <c r="A36" s="1" t="str">
        <f>HYPERLINK("http://www.twitter.com/banuakdenizli/status/1604569653224816641", "1604569653224816641")</f>
        <v>1604569653224816641</v>
      </c>
      <c r="B36" t="s">
        <v>15</v>
      </c>
      <c r="C36" s="2">
        <v>44913.840173611112</v>
      </c>
      <c r="D36">
        <v>0</v>
      </c>
      <c r="E36">
        <v>6695</v>
      </c>
      <c r="F36" t="s">
        <v>32</v>
      </c>
      <c r="G36" t="s">
        <v>82</v>
      </c>
      <c r="H36" t="str">
        <f>HYPERLINK("http://pbs.twimg.com/media/FkR3wzIWAAETley.jpg", "http://pbs.twimg.com/media/FkR3wzIWAAETley.jpg")</f>
        <v>http://pbs.twimg.com/media/FkR3wzIWAAETley.jpg</v>
      </c>
      <c r="L36">
        <v>-0.29599999999999999</v>
      </c>
      <c r="M36">
        <v>9.0999999999999998E-2</v>
      </c>
      <c r="N36">
        <v>0.90900000000000003</v>
      </c>
      <c r="O36">
        <v>0</v>
      </c>
    </row>
    <row r="37" spans="1:15" x14ac:dyDescent="0.2">
      <c r="A37" s="1" t="str">
        <f>HYPERLINK("http://www.twitter.com/banuakdenizli/status/1604569463625588738", "1604569463625588738")</f>
        <v>1604569463625588738</v>
      </c>
      <c r="B37" t="s">
        <v>15</v>
      </c>
      <c r="C37" s="2">
        <v>44913.83965277778</v>
      </c>
      <c r="D37">
        <v>0</v>
      </c>
      <c r="E37">
        <v>85996</v>
      </c>
      <c r="F37" t="s">
        <v>28</v>
      </c>
      <c r="G37" t="s">
        <v>83</v>
      </c>
      <c r="H37" t="str">
        <f>HYPERLINK("http://pbs.twimg.com/media/FkSJS7PWQAAZVT-.jpg", "http://pbs.twimg.com/media/FkSJS7PWQAAZVT-.jpg")</f>
        <v>http://pbs.twimg.com/media/FkSJS7PWQAAZVT-.jpg</v>
      </c>
      <c r="L37">
        <v>0</v>
      </c>
      <c r="M37">
        <v>0</v>
      </c>
      <c r="N37">
        <v>1</v>
      </c>
      <c r="O37">
        <v>0</v>
      </c>
    </row>
    <row r="38" spans="1:15" x14ac:dyDescent="0.2">
      <c r="A38" s="1" t="str">
        <f>HYPERLINK("http://www.twitter.com/banuakdenizli/status/1604553740018749443", "1604553740018749443")</f>
        <v>1604553740018749443</v>
      </c>
      <c r="B38" t="s">
        <v>15</v>
      </c>
      <c r="C38" s="2">
        <v>44913.796261574083</v>
      </c>
      <c r="D38">
        <v>0</v>
      </c>
      <c r="E38">
        <v>969</v>
      </c>
      <c r="F38" t="s">
        <v>24</v>
      </c>
      <c r="G38" t="s">
        <v>84</v>
      </c>
      <c r="H38" t="str">
        <f>HYPERLINK("http://pbs.twimg.com/media/FkR8VIlaAAAs3pz.jpg", "http://pbs.twimg.com/media/FkR8VIlaAAAs3pz.jpg")</f>
        <v>http://pbs.twimg.com/media/FkR8VIlaAAAs3pz.jpg</v>
      </c>
      <c r="L38">
        <v>0</v>
      </c>
      <c r="M38">
        <v>0</v>
      </c>
      <c r="N38">
        <v>1</v>
      </c>
      <c r="O38">
        <v>0</v>
      </c>
    </row>
    <row r="39" spans="1:15" x14ac:dyDescent="0.2">
      <c r="A39" s="1" t="str">
        <f>HYPERLINK("http://www.twitter.com/banuakdenizli/status/1604553536577998849", "1604553536577998849")</f>
        <v>1604553536577998849</v>
      </c>
      <c r="B39" t="s">
        <v>15</v>
      </c>
      <c r="C39" s="2">
        <v>44913.795694444438</v>
      </c>
      <c r="D39">
        <v>0</v>
      </c>
      <c r="E39">
        <v>1509</v>
      </c>
      <c r="F39" t="s">
        <v>24</v>
      </c>
      <c r="G39" t="s">
        <v>85</v>
      </c>
      <c r="H39" t="str">
        <f>HYPERLINK("http://pbs.twimg.com/media/FkR5wLlUUAA5g3o.jpg", "http://pbs.twimg.com/media/FkR5wLlUUAA5g3o.jpg")</f>
        <v>http://pbs.twimg.com/media/FkR5wLlUUAA5g3o.jpg</v>
      </c>
      <c r="L39">
        <v>0</v>
      </c>
      <c r="M39">
        <v>0</v>
      </c>
      <c r="N39">
        <v>1</v>
      </c>
      <c r="O39">
        <v>0</v>
      </c>
    </row>
    <row r="40" spans="1:15" x14ac:dyDescent="0.2">
      <c r="A40" s="1" t="str">
        <f>HYPERLINK("http://www.twitter.com/banuakdenizli/status/1604553491363467264", "1604553491363467264")</f>
        <v>1604553491363467264</v>
      </c>
      <c r="B40" t="s">
        <v>15</v>
      </c>
      <c r="C40" s="2">
        <v>44913.795578703714</v>
      </c>
      <c r="D40">
        <v>0</v>
      </c>
      <c r="E40">
        <v>1734</v>
      </c>
      <c r="F40" t="s">
        <v>86</v>
      </c>
      <c r="G40" t="s">
        <v>87</v>
      </c>
      <c r="H40" t="str">
        <f>HYPERLINK("http://pbs.twimg.com/media/FkSCJuKXwAEoEOI.jpg", "http://pbs.twimg.com/media/FkSCJuKXwAEoEOI.jpg")</f>
        <v>http://pbs.twimg.com/media/FkSCJuKXwAEoEOI.jpg</v>
      </c>
      <c r="L40">
        <v>0.63600000000000001</v>
      </c>
      <c r="M40">
        <v>0</v>
      </c>
      <c r="N40">
        <v>0.58899999999999997</v>
      </c>
      <c r="O40">
        <v>0.41099999999999998</v>
      </c>
    </row>
    <row r="41" spans="1:15" x14ac:dyDescent="0.2">
      <c r="A41" s="1" t="str">
        <f>HYPERLINK("http://www.twitter.com/banuakdenizli/status/1604553295925747714", "1604553295925747714")</f>
        <v>1604553295925747714</v>
      </c>
      <c r="B41" t="s">
        <v>15</v>
      </c>
      <c r="C41" s="2">
        <v>44913.795034722221</v>
      </c>
      <c r="D41">
        <v>0</v>
      </c>
      <c r="E41">
        <v>21500</v>
      </c>
      <c r="F41" t="s">
        <v>22</v>
      </c>
      <c r="G41" t="s">
        <v>88</v>
      </c>
      <c r="H41" t="str">
        <f>HYPERLINK("http://pbs.twimg.com/media/FkSAepoX0AAryvm.jpg", "http://pbs.twimg.com/media/FkSAepoX0AAryvm.jpg")</f>
        <v>http://pbs.twimg.com/media/FkSAepoX0AAryvm.jpg</v>
      </c>
      <c r="L41">
        <v>0</v>
      </c>
      <c r="M41">
        <v>0</v>
      </c>
      <c r="N41">
        <v>1</v>
      </c>
      <c r="O41">
        <v>0</v>
      </c>
    </row>
    <row r="42" spans="1:15" x14ac:dyDescent="0.2">
      <c r="A42" s="1" t="str">
        <f>HYPERLINK("http://www.twitter.com/banuakdenizli/status/1604553254331088897", "1604553254331088897")</f>
        <v>1604553254331088897</v>
      </c>
      <c r="B42" t="s">
        <v>15</v>
      </c>
      <c r="C42" s="2">
        <v>44913.794918981483</v>
      </c>
      <c r="D42">
        <v>6</v>
      </c>
      <c r="E42">
        <v>0</v>
      </c>
      <c r="G42" t="s">
        <v>89</v>
      </c>
      <c r="H42" t="str">
        <f>HYPERLINK("http://pbs.twimg.com/media/FkSErmbXEAAYKY7.jpg", "http://pbs.twimg.com/media/FkSErmbXEAAYKY7.jpg")</f>
        <v>http://pbs.twimg.com/media/FkSErmbXEAAYKY7.jpg</v>
      </c>
      <c r="L42">
        <v>0</v>
      </c>
      <c r="M42">
        <v>0</v>
      </c>
      <c r="N42">
        <v>1</v>
      </c>
      <c r="O42">
        <v>0</v>
      </c>
    </row>
    <row r="43" spans="1:15" x14ac:dyDescent="0.2">
      <c r="A43" s="1" t="str">
        <f>HYPERLINK("http://www.twitter.com/banuakdenizli/status/1604552946548703240", "1604552946548703240")</f>
        <v>1604552946548703240</v>
      </c>
      <c r="B43" t="s">
        <v>15</v>
      </c>
      <c r="C43" s="2">
        <v>44913.794074074067</v>
      </c>
      <c r="D43">
        <v>0</v>
      </c>
      <c r="E43">
        <v>145</v>
      </c>
      <c r="F43" t="s">
        <v>23</v>
      </c>
      <c r="G43" t="s">
        <v>90</v>
      </c>
      <c r="H43" t="str">
        <f>HYPERLINK("http://pbs.twimg.com/media/FkR2SorXkAE8KnG.jpg", "http://pbs.twimg.com/media/FkR2SorXkAE8KnG.jpg")</f>
        <v>http://pbs.twimg.com/media/FkR2SorXkAE8KnG.jpg</v>
      </c>
      <c r="L43">
        <v>0.628</v>
      </c>
      <c r="M43">
        <v>0</v>
      </c>
      <c r="N43">
        <v>0.79500000000000004</v>
      </c>
      <c r="O43">
        <v>0.20499999999999999</v>
      </c>
    </row>
    <row r="44" spans="1:15" x14ac:dyDescent="0.2">
      <c r="A44" s="1" t="str">
        <f>HYPERLINK("http://www.twitter.com/banuakdenizli/status/1604552882484760576", "1604552882484760576")</f>
        <v>1604552882484760576</v>
      </c>
      <c r="B44" t="s">
        <v>15</v>
      </c>
      <c r="C44" s="2">
        <v>44913.793888888889</v>
      </c>
      <c r="D44">
        <v>0</v>
      </c>
      <c r="E44">
        <v>57665</v>
      </c>
      <c r="F44" t="s">
        <v>28</v>
      </c>
      <c r="G44" t="s">
        <v>91</v>
      </c>
      <c r="H44" t="str">
        <f>HYPERLINK("http://pbs.twimg.com/media/FkR1gH8WIAIAYq1.jpg", "http://pbs.twimg.com/media/FkR1gH8WIAIAYq1.jpg")</f>
        <v>http://pbs.twimg.com/media/FkR1gH8WIAIAYq1.jpg</v>
      </c>
      <c r="L44">
        <v>0</v>
      </c>
      <c r="M44">
        <v>0</v>
      </c>
      <c r="N44">
        <v>1</v>
      </c>
      <c r="O44">
        <v>0</v>
      </c>
    </row>
    <row r="45" spans="1:15" x14ac:dyDescent="0.2">
      <c r="A45" s="1" t="str">
        <f>HYPERLINK("http://www.twitter.com/banuakdenizli/status/1604552826008518656", "1604552826008518656")</f>
        <v>1604552826008518656</v>
      </c>
      <c r="B45" t="s">
        <v>15</v>
      </c>
      <c r="C45" s="2">
        <v>44913.793738425928</v>
      </c>
      <c r="D45">
        <v>0</v>
      </c>
      <c r="E45">
        <v>10631</v>
      </c>
      <c r="F45" t="s">
        <v>22</v>
      </c>
      <c r="G45" t="s">
        <v>92</v>
      </c>
      <c r="H45" t="str">
        <f>HYPERLINK("http://pbs.twimg.com/media/FkSCvJDWAAUK1DB.jpg", "http://pbs.twimg.com/media/FkSCvJDWAAUK1DB.jpg")</f>
        <v>http://pbs.twimg.com/media/FkSCvJDWAAUK1DB.jpg</v>
      </c>
      <c r="L45">
        <v>0</v>
      </c>
      <c r="M45">
        <v>0</v>
      </c>
      <c r="N45">
        <v>1</v>
      </c>
      <c r="O45">
        <v>0</v>
      </c>
    </row>
    <row r="46" spans="1:15" x14ac:dyDescent="0.2">
      <c r="A46" s="1" t="str">
        <f>HYPERLINK("http://www.twitter.com/banuakdenizli/status/1604552775114887168", "1604552775114887168")</f>
        <v>1604552775114887168</v>
      </c>
      <c r="B46" t="s">
        <v>15</v>
      </c>
      <c r="C46" s="2">
        <v>44913.793599537043</v>
      </c>
      <c r="D46">
        <v>0</v>
      </c>
      <c r="E46">
        <v>222</v>
      </c>
      <c r="F46" t="s">
        <v>42</v>
      </c>
      <c r="G46" t="s">
        <v>93</v>
      </c>
      <c r="H46" t="str">
        <f>HYPERLINK("http://pbs.twimg.com/media/FkSDPLkXkAASHRi.jpg", "http://pbs.twimg.com/media/FkSDPLkXkAASHRi.jpg")</f>
        <v>http://pbs.twimg.com/media/FkSDPLkXkAASHRi.jpg</v>
      </c>
      <c r="L46">
        <v>0</v>
      </c>
      <c r="M46">
        <v>0</v>
      </c>
      <c r="N46">
        <v>1</v>
      </c>
      <c r="O46">
        <v>0</v>
      </c>
    </row>
    <row r="47" spans="1:15" x14ac:dyDescent="0.2">
      <c r="A47" s="1" t="str">
        <f>HYPERLINK("http://www.twitter.com/banuakdenizli/status/1604552559129202690", "1604552559129202690")</f>
        <v>1604552559129202690</v>
      </c>
      <c r="B47" t="s">
        <v>15</v>
      </c>
      <c r="C47" s="2">
        <v>44913.792997685188</v>
      </c>
      <c r="D47">
        <v>0</v>
      </c>
      <c r="E47">
        <v>12896</v>
      </c>
      <c r="F47" t="s">
        <v>22</v>
      </c>
      <c r="G47" t="s">
        <v>94</v>
      </c>
      <c r="H47" t="str">
        <f>HYPERLINK("http://pbs.twimg.com/media/FkSBhG7WYAEZ-9g.jpg", "http://pbs.twimg.com/media/FkSBhG7WYAEZ-9g.jpg")</f>
        <v>http://pbs.twimg.com/media/FkSBhG7WYAEZ-9g.jpg</v>
      </c>
      <c r="L47">
        <v>0</v>
      </c>
      <c r="M47">
        <v>0</v>
      </c>
      <c r="N47">
        <v>1</v>
      </c>
      <c r="O47">
        <v>0</v>
      </c>
    </row>
    <row r="48" spans="1:15" x14ac:dyDescent="0.2">
      <c r="A48" s="1" t="str">
        <f>HYPERLINK("http://www.twitter.com/banuakdenizli/status/1604552482163769344", "1604552482163769344")</f>
        <v>1604552482163769344</v>
      </c>
      <c r="B48" t="s">
        <v>15</v>
      </c>
      <c r="C48" s="2">
        <v>44913.79278935185</v>
      </c>
      <c r="D48">
        <v>0</v>
      </c>
      <c r="E48">
        <v>92713</v>
      </c>
      <c r="F48" t="s">
        <v>22</v>
      </c>
      <c r="G48" t="s">
        <v>95</v>
      </c>
      <c r="L48">
        <v>0</v>
      </c>
      <c r="M48">
        <v>0</v>
      </c>
      <c r="N48">
        <v>1</v>
      </c>
      <c r="O48">
        <v>0</v>
      </c>
    </row>
    <row r="49" spans="1:15" x14ac:dyDescent="0.2">
      <c r="A49" s="1" t="str">
        <f>HYPERLINK("http://www.twitter.com/banuakdenizli/status/1604552439532638209", "1604552439532638209")</f>
        <v>1604552439532638209</v>
      </c>
      <c r="B49" t="s">
        <v>15</v>
      </c>
      <c r="C49" s="2">
        <v>44913.792673611111</v>
      </c>
      <c r="D49">
        <v>0</v>
      </c>
      <c r="E49">
        <v>2176</v>
      </c>
      <c r="F49" t="s">
        <v>24</v>
      </c>
      <c r="G49" t="s">
        <v>96</v>
      </c>
      <c r="H49" t="str">
        <f>HYPERLINK("http://pbs.twimg.com/media/FkR26fqaUAAuDQI.jpg", "http://pbs.twimg.com/media/FkR26fqaUAAuDQI.jpg")</f>
        <v>http://pbs.twimg.com/media/FkR26fqaUAAuDQI.jpg</v>
      </c>
      <c r="L49">
        <v>0</v>
      </c>
      <c r="M49">
        <v>0</v>
      </c>
      <c r="N49">
        <v>1</v>
      </c>
      <c r="O49">
        <v>0</v>
      </c>
    </row>
    <row r="50" spans="1:15" x14ac:dyDescent="0.2">
      <c r="A50" s="1" t="str">
        <f>HYPERLINK("http://www.twitter.com/banuakdenizli/status/1604552384264679424", "1604552384264679424")</f>
        <v>1604552384264679424</v>
      </c>
      <c r="B50" t="s">
        <v>15</v>
      </c>
      <c r="C50" s="2">
        <v>44913.792523148149</v>
      </c>
      <c r="D50">
        <v>0</v>
      </c>
      <c r="E50">
        <v>173284</v>
      </c>
      <c r="F50" t="s">
        <v>30</v>
      </c>
      <c r="G50" t="s">
        <v>97</v>
      </c>
      <c r="H50" t="str">
        <f>HYPERLINK("http://pbs.twimg.com/media/FkSAtwrXoAMjsil.jpg", "http://pbs.twimg.com/media/FkSAtwrXoAMjsil.jpg")</f>
        <v>http://pbs.twimg.com/media/FkSAtwrXoAMjsil.jpg</v>
      </c>
      <c r="L50">
        <v>0</v>
      </c>
      <c r="M50">
        <v>0</v>
      </c>
      <c r="N50">
        <v>1</v>
      </c>
      <c r="O50">
        <v>0</v>
      </c>
    </row>
    <row r="51" spans="1:15" x14ac:dyDescent="0.2">
      <c r="A51" s="1" t="str">
        <f>HYPERLINK("http://www.twitter.com/banuakdenizli/status/1604537869380554752", "1604537869380554752")</f>
        <v>1604537869380554752</v>
      </c>
      <c r="B51" t="s">
        <v>15</v>
      </c>
      <c r="C51" s="2">
        <v>44913.752465277779</v>
      </c>
      <c r="D51">
        <v>36</v>
      </c>
      <c r="E51">
        <v>5</v>
      </c>
      <c r="G51" t="s">
        <v>98</v>
      </c>
      <c r="L51">
        <v>0</v>
      </c>
      <c r="M51">
        <v>0</v>
      </c>
      <c r="N51">
        <v>1</v>
      </c>
      <c r="O51">
        <v>0</v>
      </c>
    </row>
    <row r="52" spans="1:15" x14ac:dyDescent="0.2">
      <c r="A52" s="1" t="str">
        <f>HYPERLINK("http://www.twitter.com/banuakdenizli/status/1604481824457166852", "1604481824457166852")</f>
        <v>1604481824457166852</v>
      </c>
      <c r="B52" t="s">
        <v>15</v>
      </c>
      <c r="C52" s="2">
        <v>44913.597812499997</v>
      </c>
      <c r="D52">
        <v>24</v>
      </c>
      <c r="E52">
        <v>5</v>
      </c>
      <c r="G52" t="s">
        <v>99</v>
      </c>
      <c r="H52" t="str">
        <f>HYPERLINK("http://pbs.twimg.com/media/FkRDpzJXwAAhIeW.jpg", "http://pbs.twimg.com/media/FkRDpzJXwAAhIeW.jpg")</f>
        <v>http://pbs.twimg.com/media/FkRDpzJXwAAhIeW.jpg</v>
      </c>
      <c r="L52">
        <v>0</v>
      </c>
      <c r="M52">
        <v>0</v>
      </c>
      <c r="N52">
        <v>1</v>
      </c>
      <c r="O52">
        <v>0</v>
      </c>
    </row>
    <row r="53" spans="1:15" x14ac:dyDescent="0.2">
      <c r="A53" s="1" t="str">
        <f>HYPERLINK("http://www.twitter.com/banuakdenizli/status/1604380547869839360", "1604380547869839360")</f>
        <v>1604380547869839360</v>
      </c>
      <c r="B53" t="s">
        <v>15</v>
      </c>
      <c r="C53" s="2">
        <v>44913.318344907413</v>
      </c>
      <c r="D53">
        <v>0</v>
      </c>
      <c r="E53">
        <v>5</v>
      </c>
      <c r="F53" t="s">
        <v>100</v>
      </c>
      <c r="G53" t="s">
        <v>101</v>
      </c>
      <c r="H53" t="str">
        <f>HYPERLINK("http://pbs.twimg.com/media/FkPimUrWYAI1mkv.jpg", "http://pbs.twimg.com/media/FkPimUrWYAI1mkv.jpg")</f>
        <v>http://pbs.twimg.com/media/FkPimUrWYAI1mkv.jpg</v>
      </c>
      <c r="L53">
        <v>0</v>
      </c>
      <c r="M53">
        <v>0</v>
      </c>
      <c r="N53">
        <v>1</v>
      </c>
      <c r="O53">
        <v>0</v>
      </c>
    </row>
    <row r="54" spans="1:15" x14ac:dyDescent="0.2">
      <c r="A54" s="1" t="str">
        <f>HYPERLINK("http://www.twitter.com/banuakdenizli/status/1604350219730182144", "1604350219730182144")</f>
        <v>1604350219730182144</v>
      </c>
      <c r="B54" t="s">
        <v>15</v>
      </c>
      <c r="C54" s="2">
        <v>44913.234652777777</v>
      </c>
      <c r="D54">
        <v>0</v>
      </c>
      <c r="E54">
        <v>18</v>
      </c>
      <c r="F54" t="s">
        <v>17</v>
      </c>
      <c r="G54" t="s">
        <v>102</v>
      </c>
      <c r="H54" t="str">
        <f>HYPERLINK("https://video.twimg.com/ext_tw_video/1604261014328975361/pu/vid/592x1280/b0P8nvmfAPI6Y_zN.mp4?tag=12", "https://video.twimg.com/ext_tw_video/1604261014328975361/pu/vid/592x1280/b0P8nvmfAPI6Y_zN.mp4?tag=12")</f>
        <v>https://video.twimg.com/ext_tw_video/1604261014328975361/pu/vid/592x1280/b0P8nvmfAPI6Y_zN.mp4?tag=12</v>
      </c>
      <c r="L54">
        <v>0</v>
      </c>
      <c r="M54">
        <v>0</v>
      </c>
      <c r="N54">
        <v>1</v>
      </c>
      <c r="O54">
        <v>0</v>
      </c>
    </row>
    <row r="55" spans="1:15" x14ac:dyDescent="0.2">
      <c r="A55" s="1" t="str">
        <f>HYPERLINK("http://www.twitter.com/banuakdenizli/status/1604349382656040960", "1604349382656040960")</f>
        <v>1604349382656040960</v>
      </c>
      <c r="B55" t="s">
        <v>15</v>
      </c>
      <c r="C55" s="2">
        <v>44913.23233796296</v>
      </c>
      <c r="D55">
        <v>10</v>
      </c>
      <c r="E55">
        <v>1</v>
      </c>
      <c r="G55" t="s">
        <v>103</v>
      </c>
      <c r="H55" t="str">
        <f>HYPERLINK("http://pbs.twimg.com/media/FkPLQsTWIAA5faM.jpg", "http://pbs.twimg.com/media/FkPLQsTWIAA5faM.jpg")</f>
        <v>http://pbs.twimg.com/media/FkPLQsTWIAA5faM.jpg</v>
      </c>
      <c r="L55">
        <v>0</v>
      </c>
      <c r="M55">
        <v>0</v>
      </c>
      <c r="N55">
        <v>1</v>
      </c>
      <c r="O55">
        <v>0</v>
      </c>
    </row>
    <row r="56" spans="1:15" x14ac:dyDescent="0.2">
      <c r="A56" s="1" t="str">
        <f>HYPERLINK("http://www.twitter.com/banuakdenizli/status/1604344320324210689", "1604344320324210689")</f>
        <v>1604344320324210689</v>
      </c>
      <c r="B56" t="s">
        <v>15</v>
      </c>
      <c r="C56" s="2">
        <v>44913.218368055554</v>
      </c>
      <c r="D56">
        <v>8</v>
      </c>
      <c r="E56">
        <v>2</v>
      </c>
      <c r="G56" t="s">
        <v>104</v>
      </c>
      <c r="H56" t="str">
        <f>HYPERLINK("http://pbs.twimg.com/media/FkPGqD3XkAEDxl4.jpg", "http://pbs.twimg.com/media/FkPGqD3XkAEDxl4.jpg")</f>
        <v>http://pbs.twimg.com/media/FkPGqD3XkAEDxl4.jpg</v>
      </c>
      <c r="L56">
        <v>0.69320000000000004</v>
      </c>
      <c r="M56">
        <v>0</v>
      </c>
      <c r="N56">
        <v>0.80900000000000005</v>
      </c>
      <c r="O56">
        <v>0.191</v>
      </c>
    </row>
    <row r="57" spans="1:15" x14ac:dyDescent="0.2">
      <c r="A57" s="1" t="str">
        <f>HYPERLINK("http://www.twitter.com/banuakdenizli/status/1604185774634799104", "1604185774634799104")</f>
        <v>1604185774634799104</v>
      </c>
      <c r="B57" t="s">
        <v>15</v>
      </c>
      <c r="C57" s="2">
        <v>44912.780868055554</v>
      </c>
      <c r="D57">
        <v>0</v>
      </c>
      <c r="E57">
        <v>16</v>
      </c>
      <c r="F57" t="s">
        <v>33</v>
      </c>
      <c r="G57" t="s">
        <v>105</v>
      </c>
      <c r="H57" t="str">
        <f>HYPERLINK("https://video.twimg.com/amplify_video/1604183600240283648/vid/720x1280/ui1_wGcOhoy4jRuC.mp4?tag=16", "https://video.twimg.com/amplify_video/1604183600240283648/vid/720x1280/ui1_wGcOhoy4jRuC.mp4?tag=16")</f>
        <v>https://video.twimg.com/amplify_video/1604183600240283648/vid/720x1280/ui1_wGcOhoy4jRuC.mp4?tag=16</v>
      </c>
      <c r="L57">
        <v>0</v>
      </c>
      <c r="M57">
        <v>0</v>
      </c>
      <c r="N57">
        <v>1</v>
      </c>
      <c r="O57">
        <v>0</v>
      </c>
    </row>
    <row r="58" spans="1:15" x14ac:dyDescent="0.2">
      <c r="A58" s="1" t="str">
        <f>HYPERLINK("http://www.twitter.com/banuakdenizli/status/1604185669240115200", "1604185669240115200")</f>
        <v>1604185669240115200</v>
      </c>
      <c r="B58" t="s">
        <v>15</v>
      </c>
      <c r="C58" s="2">
        <v>44912.780578703707</v>
      </c>
      <c r="D58">
        <v>1</v>
      </c>
      <c r="E58">
        <v>1</v>
      </c>
      <c r="G58" t="s">
        <v>106</v>
      </c>
      <c r="L58">
        <v>0</v>
      </c>
      <c r="M58">
        <v>0</v>
      </c>
      <c r="N58">
        <v>1</v>
      </c>
      <c r="O58">
        <v>0</v>
      </c>
    </row>
    <row r="59" spans="1:15" x14ac:dyDescent="0.2">
      <c r="A59" s="1" t="str">
        <f>HYPERLINK("http://www.twitter.com/banuakdenizli/status/1604149675673755649", "1604149675673755649")</f>
        <v>1604149675673755649</v>
      </c>
      <c r="B59" t="s">
        <v>15</v>
      </c>
      <c r="C59" s="2">
        <v>44912.681250000001</v>
      </c>
      <c r="D59">
        <v>0</v>
      </c>
      <c r="E59">
        <v>243</v>
      </c>
      <c r="F59" t="s">
        <v>24</v>
      </c>
      <c r="G59" t="s">
        <v>107</v>
      </c>
      <c r="H59" t="str">
        <f>HYPERLINK("http://pbs.twimg.com/media/FkI8iuHXwAIv7n5.jpg", "http://pbs.twimg.com/media/FkI8iuHXwAIv7n5.jpg")</f>
        <v>http://pbs.twimg.com/media/FkI8iuHXwAIv7n5.jpg</v>
      </c>
      <c r="L59">
        <v>-0.55740000000000001</v>
      </c>
      <c r="M59">
        <v>8.1000000000000003E-2</v>
      </c>
      <c r="N59">
        <v>0.91900000000000004</v>
      </c>
      <c r="O59">
        <v>0</v>
      </c>
    </row>
    <row r="60" spans="1:15" x14ac:dyDescent="0.2">
      <c r="A60" s="1" t="str">
        <f>HYPERLINK("http://www.twitter.com/banuakdenizli/status/1603990671899168768", "1603990671899168768")</f>
        <v>1603990671899168768</v>
      </c>
      <c r="B60" t="s">
        <v>15</v>
      </c>
      <c r="C60" s="2">
        <v>44912.242488425924</v>
      </c>
      <c r="D60">
        <v>0</v>
      </c>
      <c r="E60">
        <v>631</v>
      </c>
      <c r="F60" t="s">
        <v>19</v>
      </c>
      <c r="G60" t="s">
        <v>108</v>
      </c>
      <c r="H60" t="str">
        <f>HYPERLINK("https://video.twimg.com/ext_tw_video/1603720303921831938/pu/vid/352x352/meOsUUcU44hnnc7G.mp4?tag=12", "https://video.twimg.com/ext_tw_video/1603720303921831938/pu/vid/352x352/meOsUUcU44hnnc7G.mp4?tag=12")</f>
        <v>https://video.twimg.com/ext_tw_video/1603720303921831938/pu/vid/352x352/meOsUUcU44hnnc7G.mp4?tag=12</v>
      </c>
      <c r="L60">
        <v>0</v>
      </c>
      <c r="M60">
        <v>0</v>
      </c>
      <c r="N60">
        <v>1</v>
      </c>
      <c r="O60">
        <v>0</v>
      </c>
    </row>
    <row r="61" spans="1:15" x14ac:dyDescent="0.2">
      <c r="A61" s="1" t="str">
        <f>HYPERLINK("http://www.twitter.com/banuakdenizli/status/1603990604668702721", "1603990604668702721")</f>
        <v>1603990604668702721</v>
      </c>
      <c r="B61" t="s">
        <v>15</v>
      </c>
      <c r="C61" s="2">
        <v>44912.242303240739</v>
      </c>
      <c r="D61">
        <v>0</v>
      </c>
      <c r="E61">
        <v>612</v>
      </c>
      <c r="F61" t="s">
        <v>109</v>
      </c>
      <c r="G61" t="s">
        <v>110</v>
      </c>
      <c r="H61" t="str">
        <f>HYPERLINK("https://video.twimg.com/ext_tw_video/1603889519836762114/pu/vid/720x1280/-2QsLYe-QtCniPaF.mp4?tag=12", "https://video.twimg.com/ext_tw_video/1603889519836762114/pu/vid/720x1280/-2QsLYe-QtCniPaF.mp4?tag=12")</f>
        <v>https://video.twimg.com/ext_tw_video/1603889519836762114/pu/vid/720x1280/-2QsLYe-QtCniPaF.mp4?tag=12</v>
      </c>
      <c r="L61">
        <v>0</v>
      </c>
      <c r="M61">
        <v>0</v>
      </c>
      <c r="N61">
        <v>1</v>
      </c>
      <c r="O61">
        <v>0</v>
      </c>
    </row>
    <row r="62" spans="1:15" x14ac:dyDescent="0.2">
      <c r="A62" s="1" t="str">
        <f>HYPERLINK("http://www.twitter.com/banuakdenizli/status/1603979993675096064", "1603979993675096064")</f>
        <v>1603979993675096064</v>
      </c>
      <c r="B62" t="s">
        <v>15</v>
      </c>
      <c r="C62" s="2">
        <v>44912.213020833333</v>
      </c>
      <c r="D62">
        <v>0</v>
      </c>
      <c r="E62">
        <v>243</v>
      </c>
      <c r="F62" t="s">
        <v>19</v>
      </c>
      <c r="G62" t="s">
        <v>111</v>
      </c>
      <c r="H62" t="str">
        <f>HYPERLINK("https://video.twimg.com/ext_tw_video/1603831664924295189/pu/vid/1280x720/tHf4q5xQ0XFxAXHr.mp4?tag=12", "https://video.twimg.com/ext_tw_video/1603831664924295189/pu/vid/1280x720/tHf4q5xQ0XFxAXHr.mp4?tag=12")</f>
        <v>https://video.twimg.com/ext_tw_video/1603831664924295189/pu/vid/1280x720/tHf4q5xQ0XFxAXHr.mp4?tag=12</v>
      </c>
      <c r="L62">
        <v>0</v>
      </c>
      <c r="M62">
        <v>0</v>
      </c>
      <c r="N62">
        <v>1</v>
      </c>
      <c r="O62">
        <v>0</v>
      </c>
    </row>
    <row r="63" spans="1:15" x14ac:dyDescent="0.2">
      <c r="A63" s="1" t="str">
        <f>HYPERLINK("http://www.twitter.com/banuakdenizli/status/1603823810666430472", "1603823810666430472")</f>
        <v>1603823810666430472</v>
      </c>
      <c r="B63" t="s">
        <v>15</v>
      </c>
      <c r="C63" s="2">
        <v>44911.782037037039</v>
      </c>
      <c r="D63">
        <v>0</v>
      </c>
      <c r="E63">
        <v>2</v>
      </c>
      <c r="F63" t="s">
        <v>112</v>
      </c>
      <c r="G63" t="s">
        <v>113</v>
      </c>
      <c r="H63" t="str">
        <f>HYPERLINK("http://pbs.twimg.com/media/FkEIGElXoAEsm7F.jpg", "http://pbs.twimg.com/media/FkEIGElXoAEsm7F.jpg")</f>
        <v>http://pbs.twimg.com/media/FkEIGElXoAEsm7F.jpg</v>
      </c>
      <c r="L63">
        <v>0</v>
      </c>
      <c r="M63">
        <v>0</v>
      </c>
      <c r="N63">
        <v>1</v>
      </c>
      <c r="O63">
        <v>0</v>
      </c>
    </row>
    <row r="64" spans="1:15" x14ac:dyDescent="0.2">
      <c r="A64" s="1" t="str">
        <f>HYPERLINK("http://www.twitter.com/banuakdenizli/status/1603712648897601541", "1603712648897601541")</f>
        <v>1603712648897601541</v>
      </c>
      <c r="B64" t="s">
        <v>15</v>
      </c>
      <c r="C64" s="2">
        <v>44911.475289351853</v>
      </c>
      <c r="D64">
        <v>0</v>
      </c>
      <c r="E64">
        <v>109</v>
      </c>
      <c r="F64" t="s">
        <v>16</v>
      </c>
      <c r="G64" t="s">
        <v>114</v>
      </c>
      <c r="H64" t="str">
        <f>HYPERLINK("http://pbs.twimg.com/media/FkGFapXXkAECKNV.jpg", "http://pbs.twimg.com/media/FkGFapXXkAECKNV.jpg")</f>
        <v>http://pbs.twimg.com/media/FkGFapXXkAECKNV.jpg</v>
      </c>
      <c r="L64">
        <v>0</v>
      </c>
      <c r="M64">
        <v>0</v>
      </c>
      <c r="N64">
        <v>1</v>
      </c>
      <c r="O64">
        <v>0</v>
      </c>
    </row>
    <row r="65" spans="1:15" x14ac:dyDescent="0.2">
      <c r="A65" s="1" t="str">
        <f>HYPERLINK("http://www.twitter.com/banuakdenizli/status/1603397428409167872", "1603397428409167872")</f>
        <v>1603397428409167872</v>
      </c>
      <c r="B65" t="s">
        <v>15</v>
      </c>
      <c r="C65" s="2">
        <v>44910.605451388888</v>
      </c>
      <c r="D65">
        <v>6</v>
      </c>
      <c r="E65">
        <v>1</v>
      </c>
      <c r="G65" t="s">
        <v>115</v>
      </c>
      <c r="L65">
        <v>0</v>
      </c>
      <c r="M65">
        <v>0</v>
      </c>
      <c r="N65">
        <v>1</v>
      </c>
      <c r="O65">
        <v>0</v>
      </c>
    </row>
    <row r="66" spans="1:15" x14ac:dyDescent="0.2">
      <c r="A66" s="1" t="str">
        <f>HYPERLINK("http://www.twitter.com/banuakdenizli/status/1603246665942671360", "1603246665942671360")</f>
        <v>1603246665942671360</v>
      </c>
      <c r="B66" t="s">
        <v>15</v>
      </c>
      <c r="C66" s="2">
        <v>44910.189421296287</v>
      </c>
      <c r="D66">
        <v>1</v>
      </c>
      <c r="E66">
        <v>0</v>
      </c>
      <c r="G66" t="s">
        <v>116</v>
      </c>
      <c r="L66">
        <v>0</v>
      </c>
      <c r="M66">
        <v>0</v>
      </c>
      <c r="N66">
        <v>1</v>
      </c>
      <c r="O66">
        <v>0</v>
      </c>
    </row>
    <row r="67" spans="1:15" x14ac:dyDescent="0.2">
      <c r="A67" s="1" t="str">
        <f>HYPERLINK("http://www.twitter.com/banuakdenizli/status/1603082431451594753", "1603082431451594753")</f>
        <v>1603082431451594753</v>
      </c>
      <c r="B67" t="s">
        <v>15</v>
      </c>
      <c r="C67" s="2">
        <v>44909.736226851863</v>
      </c>
      <c r="D67">
        <v>0</v>
      </c>
      <c r="E67">
        <v>7</v>
      </c>
      <c r="F67" t="s">
        <v>24</v>
      </c>
      <c r="G67" t="s">
        <v>117</v>
      </c>
      <c r="H67" t="str">
        <f>HYPERLINK("http://pbs.twimg.com/media/Fj8uuVFUoAA28IJ.jpg", "http://pbs.twimg.com/media/Fj8uuVFUoAA28IJ.jpg")</f>
        <v>http://pbs.twimg.com/media/Fj8uuVFUoAA28IJ.jpg</v>
      </c>
      <c r="L67">
        <v>0</v>
      </c>
      <c r="M67">
        <v>0</v>
      </c>
      <c r="N67">
        <v>1</v>
      </c>
      <c r="O67">
        <v>0</v>
      </c>
    </row>
    <row r="68" spans="1:15" x14ac:dyDescent="0.2">
      <c r="A68" s="1" t="str">
        <f>HYPERLINK("http://www.twitter.com/banuakdenizli/status/1603013795298902020", "1603013795298902020")</f>
        <v>1603013795298902020</v>
      </c>
      <c r="B68" t="s">
        <v>15</v>
      </c>
      <c r="C68" s="2">
        <v>44909.5468287037</v>
      </c>
      <c r="D68">
        <v>0</v>
      </c>
      <c r="E68">
        <v>6</v>
      </c>
      <c r="F68" t="s">
        <v>118</v>
      </c>
      <c r="G68" t="s">
        <v>119</v>
      </c>
      <c r="H68" t="str">
        <f>HYPERLINK("http://pbs.twimg.com/media/Fj7fId1WYAA2a-R.jpg", "http://pbs.twimg.com/media/Fj7fId1WYAA2a-R.jpg")</f>
        <v>http://pbs.twimg.com/media/Fj7fId1WYAA2a-R.jpg</v>
      </c>
      <c r="L68">
        <v>0</v>
      </c>
      <c r="M68">
        <v>0</v>
      </c>
      <c r="N68">
        <v>1</v>
      </c>
      <c r="O68">
        <v>0</v>
      </c>
    </row>
    <row r="69" spans="1:15" x14ac:dyDescent="0.2">
      <c r="A69" s="1" t="str">
        <f>HYPERLINK("http://www.twitter.com/banuakdenizli/status/1602904291932606464", "1602904291932606464")</f>
        <v>1602904291932606464</v>
      </c>
      <c r="B69" t="s">
        <v>15</v>
      </c>
      <c r="C69" s="2">
        <v>44909.244652777779</v>
      </c>
      <c r="D69">
        <v>3</v>
      </c>
      <c r="E69">
        <v>0</v>
      </c>
      <c r="G69" t="s">
        <v>120</v>
      </c>
      <c r="L69">
        <v>0</v>
      </c>
      <c r="M69">
        <v>0</v>
      </c>
      <c r="N69">
        <v>1</v>
      </c>
      <c r="O69">
        <v>0</v>
      </c>
    </row>
    <row r="70" spans="1:15" x14ac:dyDescent="0.2">
      <c r="A70" s="1" t="str">
        <f>HYPERLINK("http://www.twitter.com/banuakdenizli/status/1602903349266980864", "1602903349266980864")</f>
        <v>1602903349266980864</v>
      </c>
      <c r="B70" t="s">
        <v>15</v>
      </c>
      <c r="C70" s="2">
        <v>44909.242048611108</v>
      </c>
      <c r="D70">
        <v>7</v>
      </c>
      <c r="E70">
        <v>6</v>
      </c>
      <c r="G70" t="s">
        <v>121</v>
      </c>
      <c r="H70" t="str">
        <f>HYPERLINK("http://pbs.twimg.com/media/Fj6oGgrXkAEUbsF.jpg", "http://pbs.twimg.com/media/Fj6oGgrXkAEUbsF.jpg")</f>
        <v>http://pbs.twimg.com/media/Fj6oGgrXkAEUbsF.jpg</v>
      </c>
      <c r="L70">
        <v>0</v>
      </c>
      <c r="M70">
        <v>0</v>
      </c>
      <c r="N70">
        <v>1</v>
      </c>
      <c r="O70">
        <v>0</v>
      </c>
    </row>
    <row r="71" spans="1:15" x14ac:dyDescent="0.2">
      <c r="A71" s="1" t="str">
        <f>HYPERLINK("http://www.twitter.com/banuakdenizli/status/1602771470073344000", "1602771470073344000")</f>
        <v>1602771470073344000</v>
      </c>
      <c r="B71" t="s">
        <v>15</v>
      </c>
      <c r="C71" s="2">
        <v>44908.878136574072</v>
      </c>
      <c r="D71">
        <v>22</v>
      </c>
      <c r="E71">
        <v>8</v>
      </c>
      <c r="G71" t="s">
        <v>122</v>
      </c>
      <c r="L71">
        <v>0</v>
      </c>
      <c r="M71">
        <v>0</v>
      </c>
      <c r="N71">
        <v>1</v>
      </c>
      <c r="O71">
        <v>0</v>
      </c>
    </row>
    <row r="72" spans="1:15" x14ac:dyDescent="0.2">
      <c r="A72" s="1" t="str">
        <f>HYPERLINK("http://www.twitter.com/banuakdenizli/status/1602771217219407878", "1602771217219407878")</f>
        <v>1602771217219407878</v>
      </c>
      <c r="B72" t="s">
        <v>15</v>
      </c>
      <c r="C72" s="2">
        <v>44908.877430555563</v>
      </c>
      <c r="D72">
        <v>0</v>
      </c>
      <c r="E72">
        <v>3257</v>
      </c>
      <c r="F72" t="s">
        <v>28</v>
      </c>
      <c r="G72" t="s">
        <v>123</v>
      </c>
      <c r="H72" t="str">
        <f>HYPERLINK("http://pbs.twimg.com/media/Fj4t8NyWIAE1iiW.jpg", "http://pbs.twimg.com/media/Fj4t8NyWIAE1iiW.jpg")</f>
        <v>http://pbs.twimg.com/media/Fj4t8NyWIAE1iiW.jpg</v>
      </c>
      <c r="L72">
        <v>0</v>
      </c>
      <c r="M72">
        <v>0</v>
      </c>
      <c r="N72">
        <v>1</v>
      </c>
      <c r="O72">
        <v>0</v>
      </c>
    </row>
    <row r="73" spans="1:15" x14ac:dyDescent="0.2">
      <c r="A73" s="1" t="str">
        <f>HYPERLINK("http://www.twitter.com/banuakdenizli/status/1602771174890561538", "1602771174890561538")</f>
        <v>1602771174890561538</v>
      </c>
      <c r="B73" t="s">
        <v>15</v>
      </c>
      <c r="C73" s="2">
        <v>44908.877314814818</v>
      </c>
      <c r="D73">
        <v>0</v>
      </c>
      <c r="E73">
        <v>30739</v>
      </c>
      <c r="F73" t="s">
        <v>28</v>
      </c>
      <c r="G73" t="s">
        <v>124</v>
      </c>
      <c r="H73" t="str">
        <f>HYPERLINK("http://pbs.twimg.com/media/Fj4uBWuWQAApAfh.jpg", "http://pbs.twimg.com/media/Fj4uBWuWQAApAfh.jpg")</f>
        <v>http://pbs.twimg.com/media/Fj4uBWuWQAApAfh.jpg</v>
      </c>
      <c r="I73" t="str">
        <f>HYPERLINK("http://pbs.twimg.com/media/Fj4uBWjWIAIzPpw.jpg", "http://pbs.twimg.com/media/Fj4uBWjWIAIzPpw.jpg")</f>
        <v>http://pbs.twimg.com/media/Fj4uBWjWIAIzPpw.jpg</v>
      </c>
      <c r="L73">
        <v>0</v>
      </c>
      <c r="M73">
        <v>0</v>
      </c>
      <c r="N73">
        <v>1</v>
      </c>
      <c r="O73">
        <v>0</v>
      </c>
    </row>
    <row r="74" spans="1:15" x14ac:dyDescent="0.2">
      <c r="A74" s="1" t="str">
        <f>HYPERLINK("http://www.twitter.com/banuakdenizli/status/1602717406769577984", "1602717406769577984")</f>
        <v>1602717406769577984</v>
      </c>
      <c r="B74" t="s">
        <v>15</v>
      </c>
      <c r="C74" s="2">
        <v>44908.728946759264</v>
      </c>
      <c r="D74">
        <v>23</v>
      </c>
      <c r="E74">
        <v>3</v>
      </c>
      <c r="G74" t="s">
        <v>125</v>
      </c>
      <c r="H74" t="str">
        <f>HYPERLINK("http://pbs.twimg.com/media/Fj3-_NBWQAATHAO.jpg", "http://pbs.twimg.com/media/Fj3-_NBWQAATHAO.jpg")</f>
        <v>http://pbs.twimg.com/media/Fj3-_NBWQAATHAO.jpg</v>
      </c>
      <c r="L74">
        <v>0</v>
      </c>
      <c r="M74">
        <v>0</v>
      </c>
      <c r="N74">
        <v>1</v>
      </c>
      <c r="O74">
        <v>0</v>
      </c>
    </row>
    <row r="75" spans="1:15" x14ac:dyDescent="0.2">
      <c r="A75" s="1" t="str">
        <f>HYPERLINK("http://www.twitter.com/banuakdenizli/status/1602680467655892994", "1602680467655892994")</f>
        <v>1602680467655892994</v>
      </c>
      <c r="B75" t="s">
        <v>15</v>
      </c>
      <c r="C75" s="2">
        <v>44908.627013888887</v>
      </c>
      <c r="D75">
        <v>9</v>
      </c>
      <c r="E75">
        <v>3</v>
      </c>
      <c r="G75" t="s">
        <v>126</v>
      </c>
      <c r="H75" t="str">
        <f>HYPERLINK("http://pbs.twimg.com/media/Fj3dYg-WAAYLqFa.jpg", "http://pbs.twimg.com/media/Fj3dYg-WAAYLqFa.jpg")</f>
        <v>http://pbs.twimg.com/media/Fj3dYg-WAAYLqFa.jpg</v>
      </c>
      <c r="L75">
        <v>0</v>
      </c>
      <c r="M75">
        <v>0</v>
      </c>
      <c r="N75">
        <v>1</v>
      </c>
      <c r="O75">
        <v>0</v>
      </c>
    </row>
    <row r="76" spans="1:15" x14ac:dyDescent="0.2">
      <c r="A76" s="1" t="str">
        <f>HYPERLINK("http://www.twitter.com/banuakdenizli/status/1602611126293987329", "1602611126293987329")</f>
        <v>1602611126293987329</v>
      </c>
      <c r="B76" t="s">
        <v>15</v>
      </c>
      <c r="C76" s="2">
        <v>44908.435671296298</v>
      </c>
      <c r="D76">
        <v>4</v>
      </c>
      <c r="E76">
        <v>0</v>
      </c>
      <c r="G76" t="s">
        <v>127</v>
      </c>
      <c r="L76">
        <v>0.52290000000000003</v>
      </c>
      <c r="M76">
        <v>0</v>
      </c>
      <c r="N76">
        <v>0.78</v>
      </c>
      <c r="O76">
        <v>0.22</v>
      </c>
    </row>
    <row r="77" spans="1:15" x14ac:dyDescent="0.2">
      <c r="A77" s="1" t="str">
        <f>HYPERLINK("http://www.twitter.com/banuakdenizli/status/1602529563459915778", "1602529563459915778")</f>
        <v>1602529563459915778</v>
      </c>
      <c r="B77" t="s">
        <v>15</v>
      </c>
      <c r="C77" s="2">
        <v>44908.210601851853</v>
      </c>
      <c r="D77">
        <v>13</v>
      </c>
      <c r="E77">
        <v>3</v>
      </c>
      <c r="G77" t="s">
        <v>128</v>
      </c>
      <c r="H77" t="str">
        <f>HYPERLINK("http://pbs.twimg.com/media/Fj1UJOcWQAAJAJ-.jpg", "http://pbs.twimg.com/media/Fj1UJOcWQAAJAJ-.jpg")</f>
        <v>http://pbs.twimg.com/media/Fj1UJOcWQAAJAJ-.jpg</v>
      </c>
      <c r="L77">
        <v>0</v>
      </c>
      <c r="M77">
        <v>0</v>
      </c>
      <c r="N77">
        <v>1</v>
      </c>
      <c r="O77">
        <v>0</v>
      </c>
    </row>
    <row r="78" spans="1:15" x14ac:dyDescent="0.2">
      <c r="A78" s="1" t="str">
        <f>HYPERLINK("http://www.twitter.com/banuakdenizli/status/1602528965721296898", "1602528965721296898")</f>
        <v>1602528965721296898</v>
      </c>
      <c r="B78" t="s">
        <v>15</v>
      </c>
      <c r="C78" s="2">
        <v>44908.20894675926</v>
      </c>
      <c r="D78">
        <v>3</v>
      </c>
      <c r="E78">
        <v>1</v>
      </c>
      <c r="G78" t="s">
        <v>129</v>
      </c>
      <c r="L78">
        <v>0</v>
      </c>
      <c r="M78">
        <v>0</v>
      </c>
      <c r="N78">
        <v>1</v>
      </c>
      <c r="O78">
        <v>0</v>
      </c>
    </row>
    <row r="79" spans="1:15" x14ac:dyDescent="0.2">
      <c r="A79" s="1" t="str">
        <f>HYPERLINK("http://www.twitter.com/banuakdenizli/status/1602528328803647488", "1602528328803647488")</f>
        <v>1602528328803647488</v>
      </c>
      <c r="B79" t="s">
        <v>15</v>
      </c>
      <c r="C79" s="2">
        <v>44908.207187499997</v>
      </c>
      <c r="D79">
        <v>0</v>
      </c>
      <c r="E79">
        <v>3409</v>
      </c>
      <c r="F79" t="s">
        <v>22</v>
      </c>
      <c r="G79" t="s">
        <v>130</v>
      </c>
      <c r="L79">
        <v>0</v>
      </c>
      <c r="M79">
        <v>0</v>
      </c>
      <c r="N79">
        <v>1</v>
      </c>
      <c r="O79">
        <v>0</v>
      </c>
    </row>
    <row r="80" spans="1:15" x14ac:dyDescent="0.2">
      <c r="A80" s="1" t="str">
        <f>HYPERLINK("http://www.twitter.com/banuakdenizli/status/1602339983540502529", "1602339983540502529")</f>
        <v>1602339983540502529</v>
      </c>
      <c r="B80" t="s">
        <v>15</v>
      </c>
      <c r="C80" s="2">
        <v>44907.6874537037</v>
      </c>
      <c r="D80">
        <v>0</v>
      </c>
      <c r="E80">
        <v>264</v>
      </c>
      <c r="F80" t="s">
        <v>22</v>
      </c>
      <c r="G80" t="s">
        <v>131</v>
      </c>
      <c r="H80" t="str">
        <f>HYPERLINK("https://video.twimg.com/ext_tw_video/1602339441300971521/pu/vid/540x920/hy1X9WNtXub8nDjU.mp4?tag=12", "https://video.twimg.com/ext_tw_video/1602339441300971521/pu/vid/540x920/hy1X9WNtXub8nDjU.mp4?tag=12")</f>
        <v>https://video.twimg.com/ext_tw_video/1602339441300971521/pu/vid/540x920/hy1X9WNtXub8nDjU.mp4?tag=12</v>
      </c>
      <c r="L80">
        <v>0</v>
      </c>
      <c r="M80">
        <v>0</v>
      </c>
      <c r="N80">
        <v>1</v>
      </c>
      <c r="O80">
        <v>0</v>
      </c>
    </row>
    <row r="81" spans="1:15" x14ac:dyDescent="0.2">
      <c r="A81" s="1" t="str">
        <f>HYPERLINK("http://www.twitter.com/banuakdenizli/status/1602338983979147265", "1602338983979147265")</f>
        <v>1602338983979147265</v>
      </c>
      <c r="B81" t="s">
        <v>15</v>
      </c>
      <c r="C81" s="2">
        <v>44907.684699074067</v>
      </c>
      <c r="D81">
        <v>1</v>
      </c>
      <c r="E81">
        <v>0</v>
      </c>
      <c r="G81" t="s">
        <v>132</v>
      </c>
      <c r="L81">
        <v>0</v>
      </c>
      <c r="M81">
        <v>0</v>
      </c>
      <c r="N81">
        <v>1</v>
      </c>
      <c r="O81">
        <v>0</v>
      </c>
    </row>
    <row r="82" spans="1:15" x14ac:dyDescent="0.2">
      <c r="A82" s="1" t="str">
        <f>HYPERLINK("http://www.twitter.com/banuakdenizli/status/1602333861551259649", "1602333861551259649")</f>
        <v>1602333861551259649</v>
      </c>
      <c r="B82" t="s">
        <v>15</v>
      </c>
      <c r="C82" s="2">
        <v>44907.670567129629</v>
      </c>
      <c r="D82">
        <v>24</v>
      </c>
      <c r="E82">
        <v>3</v>
      </c>
      <c r="G82" t="s">
        <v>133</v>
      </c>
      <c r="H82" t="str">
        <f>HYPERLINK("http://pbs.twimg.com/media/FjyiJ26XgAEo6Eu.jpg", "http://pbs.twimg.com/media/FjyiJ26XgAEo6Eu.jpg")</f>
        <v>http://pbs.twimg.com/media/FjyiJ26XgAEo6Eu.jpg</v>
      </c>
      <c r="L82">
        <v>0</v>
      </c>
      <c r="M82">
        <v>0</v>
      </c>
      <c r="N82">
        <v>1</v>
      </c>
      <c r="O82">
        <v>0</v>
      </c>
    </row>
    <row r="83" spans="1:15" x14ac:dyDescent="0.2">
      <c r="A83" s="1" t="str">
        <f>HYPERLINK("http://www.twitter.com/banuakdenizli/status/1602282003742728192", "1602282003742728192")</f>
        <v>1602282003742728192</v>
      </c>
      <c r="B83" t="s">
        <v>15</v>
      </c>
      <c r="C83" s="2">
        <v>44907.527465277781</v>
      </c>
      <c r="D83">
        <v>0</v>
      </c>
      <c r="E83">
        <v>1</v>
      </c>
      <c r="F83" t="s">
        <v>134</v>
      </c>
      <c r="G83" t="s">
        <v>135</v>
      </c>
      <c r="H83" t="str">
        <f>HYPERLINK("http://pbs.twimg.com/media/FjxrUlzXEAM1XL0.jpg", "http://pbs.twimg.com/media/FjxrUlzXEAM1XL0.jpg")</f>
        <v>http://pbs.twimg.com/media/FjxrUlzXEAM1XL0.jpg</v>
      </c>
      <c r="L83">
        <v>0</v>
      </c>
      <c r="M83">
        <v>0</v>
      </c>
      <c r="N83">
        <v>1</v>
      </c>
      <c r="O83">
        <v>0</v>
      </c>
    </row>
    <row r="84" spans="1:15" x14ac:dyDescent="0.2">
      <c r="A84" s="1" t="str">
        <f>HYPERLINK("http://www.twitter.com/banuakdenizli/status/1601940847020625920", "1601940847020625920")</f>
        <v>1601940847020625920</v>
      </c>
      <c r="B84" t="s">
        <v>15</v>
      </c>
      <c r="C84" s="2">
        <v>44906.586053240739</v>
      </c>
      <c r="D84">
        <v>5</v>
      </c>
      <c r="E84">
        <v>3</v>
      </c>
      <c r="G84" t="s">
        <v>136</v>
      </c>
      <c r="H84" t="str">
        <f>HYPERLINK("http://pbs.twimg.com/media/Fjs8s0jXwAIxGTY.jpg", "http://pbs.twimg.com/media/Fjs8s0jXwAIxGTY.jpg")</f>
        <v>http://pbs.twimg.com/media/Fjs8s0jXwAIxGTY.jpg</v>
      </c>
      <c r="L84">
        <v>0</v>
      </c>
      <c r="M84">
        <v>0</v>
      </c>
      <c r="N84">
        <v>1</v>
      </c>
      <c r="O84">
        <v>0</v>
      </c>
    </row>
    <row r="85" spans="1:15" x14ac:dyDescent="0.2">
      <c r="A85" s="1" t="str">
        <f>HYPERLINK("http://www.twitter.com/banuakdenizli/status/1601601860355252225", "1601601860355252225")</f>
        <v>1601601860355252225</v>
      </c>
      <c r="B85" t="s">
        <v>15</v>
      </c>
      <c r="C85" s="2">
        <v>44905.650625000002</v>
      </c>
      <c r="D85">
        <v>0</v>
      </c>
      <c r="E85">
        <v>3</v>
      </c>
      <c r="F85" t="s">
        <v>21</v>
      </c>
      <c r="G85" t="s">
        <v>137</v>
      </c>
      <c r="L85">
        <v>0</v>
      </c>
      <c r="M85">
        <v>0</v>
      </c>
      <c r="N85">
        <v>1</v>
      </c>
      <c r="O85">
        <v>0</v>
      </c>
    </row>
    <row r="86" spans="1:15" x14ac:dyDescent="0.2">
      <c r="A86" s="1" t="str">
        <f>HYPERLINK("http://www.twitter.com/banuakdenizli/status/1601585753330356230", "1601585753330356230")</f>
        <v>1601585753330356230</v>
      </c>
      <c r="B86" t="s">
        <v>15</v>
      </c>
      <c r="C86" s="2">
        <v>44905.606180555558</v>
      </c>
      <c r="D86">
        <v>1</v>
      </c>
      <c r="E86">
        <v>0</v>
      </c>
      <c r="G86" t="s">
        <v>138</v>
      </c>
      <c r="L86">
        <v>0</v>
      </c>
      <c r="M86">
        <v>0</v>
      </c>
      <c r="N86">
        <v>1</v>
      </c>
      <c r="O86">
        <v>0</v>
      </c>
    </row>
    <row r="87" spans="1:15" x14ac:dyDescent="0.2">
      <c r="A87" s="1" t="str">
        <f>HYPERLINK("http://www.twitter.com/banuakdenizli/status/1601561414661197827", "1601561414661197827")</f>
        <v>1601561414661197827</v>
      </c>
      <c r="B87" t="s">
        <v>15</v>
      </c>
      <c r="C87" s="2">
        <v>44905.5390162037</v>
      </c>
      <c r="D87">
        <v>45</v>
      </c>
      <c r="E87">
        <v>21</v>
      </c>
      <c r="G87" t="s">
        <v>139</v>
      </c>
      <c r="L87">
        <v>0</v>
      </c>
      <c r="M87">
        <v>0</v>
      </c>
      <c r="N87">
        <v>1</v>
      </c>
      <c r="O87">
        <v>0</v>
      </c>
    </row>
    <row r="88" spans="1:15" x14ac:dyDescent="0.2">
      <c r="A88" s="1" t="str">
        <f>HYPERLINK("http://www.twitter.com/banuakdenizli/status/1601443180989161472", "1601443180989161472")</f>
        <v>1601443180989161472</v>
      </c>
      <c r="B88" t="s">
        <v>15</v>
      </c>
      <c r="C88" s="2">
        <v>44905.212754629632</v>
      </c>
      <c r="D88">
        <v>4</v>
      </c>
      <c r="E88">
        <v>1</v>
      </c>
      <c r="G88" t="s">
        <v>140</v>
      </c>
      <c r="H88" t="str">
        <f>HYPERLINK("https://video.twimg.com/ext_tw_video/1601443112118894592/pu/vid/848x480/42RptPw2nIRDtwNs.mp4?tag=12", "https://video.twimg.com/ext_tw_video/1601443112118894592/pu/vid/848x480/42RptPw2nIRDtwNs.mp4?tag=12")</f>
        <v>https://video.twimg.com/ext_tw_video/1601443112118894592/pu/vid/848x480/42RptPw2nIRDtwNs.mp4?tag=12</v>
      </c>
      <c r="L88">
        <v>0</v>
      </c>
      <c r="M88">
        <v>0</v>
      </c>
      <c r="N88">
        <v>1</v>
      </c>
      <c r="O88">
        <v>0</v>
      </c>
    </row>
    <row r="89" spans="1:15" x14ac:dyDescent="0.2">
      <c r="A89" s="1" t="str">
        <f>HYPERLINK("http://www.twitter.com/banuakdenizli/status/1601436410640490496", "1601436410640490496")</f>
        <v>1601436410640490496</v>
      </c>
      <c r="B89" t="s">
        <v>15</v>
      </c>
      <c r="C89" s="2">
        <v>44905.194074074083</v>
      </c>
      <c r="D89">
        <v>2</v>
      </c>
      <c r="E89">
        <v>0</v>
      </c>
      <c r="G89" t="s">
        <v>141</v>
      </c>
      <c r="L89">
        <v>0.75</v>
      </c>
      <c r="M89">
        <v>0.05</v>
      </c>
      <c r="N89">
        <v>0.78300000000000003</v>
      </c>
      <c r="O89">
        <v>0.16700000000000001</v>
      </c>
    </row>
    <row r="90" spans="1:15" x14ac:dyDescent="0.2">
      <c r="A90" s="1" t="str">
        <f>HYPERLINK("http://www.twitter.com/banuakdenizli/status/1601433523969478656", "1601433523969478656")</f>
        <v>1601433523969478656</v>
      </c>
      <c r="B90" t="s">
        <v>15</v>
      </c>
      <c r="C90" s="2">
        <v>44905.186099537037</v>
      </c>
      <c r="D90">
        <v>0</v>
      </c>
      <c r="E90">
        <v>1008</v>
      </c>
      <c r="F90" t="s">
        <v>22</v>
      </c>
      <c r="G90" t="s">
        <v>142</v>
      </c>
      <c r="H90" t="str">
        <f>HYPERLINK("http://pbs.twimg.com/media/FjkjXJBXkAArukz.jpg", "http://pbs.twimg.com/media/FjkjXJBXkAArukz.jpg")</f>
        <v>http://pbs.twimg.com/media/FjkjXJBXkAArukz.jpg</v>
      </c>
      <c r="L90">
        <v>0</v>
      </c>
      <c r="M90">
        <v>0</v>
      </c>
      <c r="N90">
        <v>1</v>
      </c>
      <c r="O90">
        <v>0</v>
      </c>
    </row>
    <row r="91" spans="1:15" x14ac:dyDescent="0.2">
      <c r="A91" s="1" t="str">
        <f>HYPERLINK("http://www.twitter.com/banuakdenizli/status/1601432694709055488", "1601432694709055488")</f>
        <v>1601432694709055488</v>
      </c>
      <c r="B91" t="s">
        <v>15</v>
      </c>
      <c r="C91" s="2">
        <v>44905.183819444443</v>
      </c>
      <c r="D91">
        <v>0</v>
      </c>
      <c r="E91">
        <v>64</v>
      </c>
      <c r="F91" t="s">
        <v>24</v>
      </c>
      <c r="G91" t="s">
        <v>143</v>
      </c>
      <c r="H91" t="str">
        <f>HYPERLINK("http://pbs.twimg.com/media/FjkWAnTVUAEnIMa.jpg", "http://pbs.twimg.com/media/FjkWAnTVUAEnIMa.jpg")</f>
        <v>http://pbs.twimg.com/media/FjkWAnTVUAEnIMa.jpg</v>
      </c>
      <c r="L91">
        <v>0</v>
      </c>
      <c r="M91">
        <v>0</v>
      </c>
      <c r="N91">
        <v>1</v>
      </c>
      <c r="O91">
        <v>0</v>
      </c>
    </row>
    <row r="92" spans="1:15" x14ac:dyDescent="0.2">
      <c r="A92" s="1" t="str">
        <f>HYPERLINK("http://www.twitter.com/banuakdenizli/status/1601426719290044417", "1601426719290044417")</f>
        <v>1601426719290044417</v>
      </c>
      <c r="B92" t="s">
        <v>15</v>
      </c>
      <c r="C92" s="2">
        <v>44905.167326388888</v>
      </c>
      <c r="D92">
        <v>0</v>
      </c>
      <c r="E92">
        <v>21991</v>
      </c>
      <c r="F92" t="s">
        <v>28</v>
      </c>
      <c r="G92" t="s">
        <v>144</v>
      </c>
      <c r="H92" t="str">
        <f>HYPERLINK("http://pbs.twimg.com/media/FjkVmcHWIAAynGM.jpg", "http://pbs.twimg.com/media/FjkVmcHWIAAynGM.jpg")</f>
        <v>http://pbs.twimg.com/media/FjkVmcHWIAAynGM.jpg</v>
      </c>
      <c r="L92">
        <v>0</v>
      </c>
      <c r="M92">
        <v>0</v>
      </c>
      <c r="N92">
        <v>1</v>
      </c>
      <c r="O92">
        <v>0</v>
      </c>
    </row>
    <row r="93" spans="1:15" x14ac:dyDescent="0.2">
      <c r="A93" s="1" t="str">
        <f>HYPERLINK("http://www.twitter.com/banuakdenizli/status/1601425058207268865", "1601425058207268865")</f>
        <v>1601425058207268865</v>
      </c>
      <c r="B93" t="s">
        <v>15</v>
      </c>
      <c r="C93" s="2">
        <v>44905.162743055553</v>
      </c>
      <c r="D93">
        <v>6</v>
      </c>
      <c r="E93">
        <v>0</v>
      </c>
      <c r="G93" t="s">
        <v>145</v>
      </c>
      <c r="H93" t="str">
        <f>HYPERLINK("http://pbs.twimg.com/media/Fjlnmo2WQAA-P2m.jpg", "http://pbs.twimg.com/media/Fjlnmo2WQAA-P2m.jpg")</f>
        <v>http://pbs.twimg.com/media/Fjlnmo2WQAA-P2m.jpg</v>
      </c>
      <c r="L93">
        <v>0</v>
      </c>
      <c r="M93">
        <v>0</v>
      </c>
      <c r="N93">
        <v>1</v>
      </c>
      <c r="O93">
        <v>0</v>
      </c>
    </row>
    <row r="94" spans="1:15" x14ac:dyDescent="0.2">
      <c r="A94" s="1" t="str">
        <f>HYPERLINK("http://www.twitter.com/banuakdenizli/status/1601272784642281473", "1601272784642281473")</f>
        <v>1601272784642281473</v>
      </c>
      <c r="B94" t="s">
        <v>15</v>
      </c>
      <c r="C94" s="2">
        <v>44904.742546296293</v>
      </c>
      <c r="D94">
        <v>42</v>
      </c>
      <c r="E94">
        <v>3</v>
      </c>
      <c r="G94" t="s">
        <v>146</v>
      </c>
      <c r="H94" t="str">
        <f>HYPERLINK("http://pbs.twimg.com/media/FjjdHG0XEAcOyfD.jpg", "http://pbs.twimg.com/media/FjjdHG0XEAcOyfD.jpg")</f>
        <v>http://pbs.twimg.com/media/FjjdHG0XEAcOyfD.jpg</v>
      </c>
      <c r="L94">
        <v>0</v>
      </c>
      <c r="M94">
        <v>0</v>
      </c>
      <c r="N94">
        <v>1</v>
      </c>
      <c r="O94">
        <v>0</v>
      </c>
    </row>
    <row r="95" spans="1:15" x14ac:dyDescent="0.2">
      <c r="A95" s="1" t="str">
        <f>HYPERLINK("http://www.twitter.com/banuakdenizli/status/1601200213502623749", "1601200213502623749")</f>
        <v>1601200213502623749</v>
      </c>
      <c r="B95" t="s">
        <v>15</v>
      </c>
      <c r="C95" s="2">
        <v>44904.542291666658</v>
      </c>
      <c r="D95">
        <v>3</v>
      </c>
      <c r="E95">
        <v>2</v>
      </c>
      <c r="G95" t="s">
        <v>147</v>
      </c>
      <c r="H95" t="str">
        <f>HYPERLINK("http://pbs.twimg.com/media/FjibG8jWIAEnp9Y.jpg", "http://pbs.twimg.com/media/FjibG8jWIAEnp9Y.jpg")</f>
        <v>http://pbs.twimg.com/media/FjibG8jWIAEnp9Y.jpg</v>
      </c>
      <c r="L95">
        <v>0</v>
      </c>
      <c r="M95">
        <v>0</v>
      </c>
      <c r="N95">
        <v>1</v>
      </c>
      <c r="O95">
        <v>0</v>
      </c>
    </row>
    <row r="96" spans="1:15" x14ac:dyDescent="0.2">
      <c r="A96" s="1" t="str">
        <f>HYPERLINK("http://www.twitter.com/banuakdenizli/status/1601069888449437697", "1601069888449437697")</f>
        <v>1601069888449437697</v>
      </c>
      <c r="B96" t="s">
        <v>15</v>
      </c>
      <c r="C96" s="2">
        <v>44904.182662037027</v>
      </c>
      <c r="D96">
        <v>1</v>
      </c>
      <c r="E96">
        <v>0</v>
      </c>
      <c r="G96" t="s">
        <v>148</v>
      </c>
      <c r="L96">
        <v>0</v>
      </c>
      <c r="M96">
        <v>0</v>
      </c>
      <c r="N96">
        <v>1</v>
      </c>
      <c r="O96">
        <v>0</v>
      </c>
    </row>
    <row r="97" spans="1:15" x14ac:dyDescent="0.2">
      <c r="A97" s="1" t="str">
        <f>HYPERLINK("http://www.twitter.com/banuakdenizli/status/1600898126810054656", "1600898126810054656")</f>
        <v>1600898126810054656</v>
      </c>
      <c r="B97" t="s">
        <v>15</v>
      </c>
      <c r="C97" s="2">
        <v>44903.708692129629</v>
      </c>
      <c r="D97">
        <v>0</v>
      </c>
      <c r="E97">
        <v>19</v>
      </c>
      <c r="F97" t="s">
        <v>24</v>
      </c>
      <c r="G97" t="s">
        <v>149</v>
      </c>
      <c r="H97" t="str">
        <f>HYPERLINK("https://video.twimg.com/ext_tw_video/1600893483178496004/pu/vid/720x1280/TGiBmEoQeBx8v5K_.mp4?tag=12", "https://video.twimg.com/ext_tw_video/1600893483178496004/pu/vid/720x1280/TGiBmEoQeBx8v5K_.mp4?tag=12")</f>
        <v>https://video.twimg.com/ext_tw_video/1600893483178496004/pu/vid/720x1280/TGiBmEoQeBx8v5K_.mp4?tag=12</v>
      </c>
      <c r="L97">
        <v>0</v>
      </c>
      <c r="M97">
        <v>0</v>
      </c>
      <c r="N97">
        <v>1</v>
      </c>
      <c r="O97">
        <v>0</v>
      </c>
    </row>
    <row r="98" spans="1:15" x14ac:dyDescent="0.2">
      <c r="A98" s="1" t="str">
        <f>HYPERLINK("http://www.twitter.com/banuakdenizli/status/1600709541205004288", "1600709541205004288")</f>
        <v>1600709541205004288</v>
      </c>
      <c r="B98" t="s">
        <v>15</v>
      </c>
      <c r="C98" s="2">
        <v>44903.188298611109</v>
      </c>
      <c r="D98">
        <v>2</v>
      </c>
      <c r="E98">
        <v>0</v>
      </c>
      <c r="G98" t="s">
        <v>150</v>
      </c>
      <c r="L98">
        <v>0</v>
      </c>
      <c r="M98">
        <v>0</v>
      </c>
      <c r="N98">
        <v>1</v>
      </c>
      <c r="O98">
        <v>0</v>
      </c>
    </row>
    <row r="99" spans="1:15" x14ac:dyDescent="0.2">
      <c r="A99" s="1" t="str">
        <f>HYPERLINK("http://www.twitter.com/banuakdenizli/status/1600098781399228417", "1600098781399228417")</f>
        <v>1600098781399228417</v>
      </c>
      <c r="B99" t="s">
        <v>15</v>
      </c>
      <c r="C99" s="2">
        <v>44901.502916666657</v>
      </c>
      <c r="D99">
        <v>0</v>
      </c>
      <c r="E99">
        <v>0</v>
      </c>
      <c r="G99" t="s">
        <v>151</v>
      </c>
      <c r="L99">
        <v>-0.29599999999999999</v>
      </c>
      <c r="M99">
        <v>0.128</v>
      </c>
      <c r="N99">
        <v>0.872</v>
      </c>
      <c r="O99">
        <v>0</v>
      </c>
    </row>
    <row r="100" spans="1:15" x14ac:dyDescent="0.2">
      <c r="A100" s="1" t="str">
        <f>HYPERLINK("http://www.twitter.com/banuakdenizli/status/1600060832137682944", "1600060832137682944")</f>
        <v>1600060832137682944</v>
      </c>
      <c r="B100" t="s">
        <v>15</v>
      </c>
      <c r="C100" s="2">
        <v>44901.398194444453</v>
      </c>
      <c r="D100">
        <v>1</v>
      </c>
      <c r="E100">
        <v>2</v>
      </c>
      <c r="G100" t="s">
        <v>152</v>
      </c>
      <c r="L100">
        <v>0</v>
      </c>
      <c r="M100">
        <v>0</v>
      </c>
      <c r="N100">
        <v>1</v>
      </c>
      <c r="O100">
        <v>0</v>
      </c>
    </row>
    <row r="101" spans="1:15" x14ac:dyDescent="0.2">
      <c r="A101" s="1" t="str">
        <f>HYPERLINK("http://www.twitter.com/banuakdenizli/status/1600060662499057664", "1600060662499057664")</f>
        <v>1600060662499057664</v>
      </c>
      <c r="B101" t="s">
        <v>15</v>
      </c>
      <c r="C101" s="2">
        <v>44901.397731481477</v>
      </c>
      <c r="D101">
        <v>0</v>
      </c>
      <c r="E101">
        <v>1</v>
      </c>
      <c r="G101" t="s">
        <v>153</v>
      </c>
      <c r="L101">
        <v>0</v>
      </c>
      <c r="M101">
        <v>0</v>
      </c>
      <c r="N101">
        <v>1</v>
      </c>
      <c r="O101">
        <v>0</v>
      </c>
    </row>
    <row r="102" spans="1:15" x14ac:dyDescent="0.2">
      <c r="A102" s="1" t="str">
        <f>HYPERLINK("http://www.twitter.com/banuakdenizli/status/1600060476250996736", "1600060476250996736")</f>
        <v>1600060476250996736</v>
      </c>
      <c r="B102" t="s">
        <v>15</v>
      </c>
      <c r="C102" s="2">
        <v>44901.397210648152</v>
      </c>
      <c r="D102">
        <v>9</v>
      </c>
      <c r="E102">
        <v>10</v>
      </c>
      <c r="G102" t="s">
        <v>154</v>
      </c>
      <c r="H102" t="str">
        <f>HYPERLINK("http://pbs.twimg.com/media/FjSOfyWWYAET5Wn.jpg", "http://pbs.twimg.com/media/FjSOfyWWYAET5Wn.jpg")</f>
        <v>http://pbs.twimg.com/media/FjSOfyWWYAET5Wn.jpg</v>
      </c>
      <c r="L102">
        <v>0</v>
      </c>
      <c r="M102">
        <v>0</v>
      </c>
      <c r="N102">
        <v>1</v>
      </c>
      <c r="O102">
        <v>0</v>
      </c>
    </row>
    <row r="103" spans="1:15" x14ac:dyDescent="0.2">
      <c r="A103" s="1" t="str">
        <f>HYPERLINK("http://www.twitter.com/banuakdenizli/status/1599730499110391808", "1599730499110391808")</f>
        <v>1599730499110391808</v>
      </c>
      <c r="B103" t="s">
        <v>15</v>
      </c>
      <c r="C103" s="2">
        <v>44900.486655092587</v>
      </c>
      <c r="D103">
        <v>1</v>
      </c>
      <c r="E103">
        <v>0</v>
      </c>
      <c r="G103" t="s">
        <v>155</v>
      </c>
      <c r="L103">
        <v>-0.35949999999999999</v>
      </c>
      <c r="M103">
        <v>5.8999999999999997E-2</v>
      </c>
      <c r="N103">
        <v>0.94099999999999995</v>
      </c>
      <c r="O103">
        <v>0</v>
      </c>
    </row>
    <row r="104" spans="1:15" x14ac:dyDescent="0.2">
      <c r="A104" s="1" t="str">
        <f>HYPERLINK("http://www.twitter.com/banuakdenizli/status/1599652359382405120", "1599652359382405120")</f>
        <v>1599652359382405120</v>
      </c>
      <c r="B104" t="s">
        <v>15</v>
      </c>
      <c r="C104" s="2">
        <v>44900.27103009259</v>
      </c>
      <c r="D104">
        <v>9</v>
      </c>
      <c r="E104">
        <v>0</v>
      </c>
      <c r="G104" t="s">
        <v>156</v>
      </c>
      <c r="H104" t="str">
        <f>HYPERLINK("http://pbs.twimg.com/media/FjMbV8QXgAAyF5O.jpg", "http://pbs.twimg.com/media/FjMbV8QXgAAyF5O.jpg")</f>
        <v>http://pbs.twimg.com/media/FjMbV8QXgAAyF5O.jpg</v>
      </c>
      <c r="L104">
        <v>0</v>
      </c>
      <c r="M104">
        <v>0</v>
      </c>
      <c r="N104">
        <v>1</v>
      </c>
      <c r="O104">
        <v>0</v>
      </c>
    </row>
    <row r="105" spans="1:15" x14ac:dyDescent="0.2">
      <c r="A105" s="1" t="str">
        <f>HYPERLINK("http://www.twitter.com/banuakdenizli/status/1599652098370854913", "1599652098370854913")</f>
        <v>1599652098370854913</v>
      </c>
      <c r="B105" t="s">
        <v>15</v>
      </c>
      <c r="C105" s="2">
        <v>44900.270312499997</v>
      </c>
      <c r="D105">
        <v>3</v>
      </c>
      <c r="E105">
        <v>0</v>
      </c>
      <c r="G105" t="s">
        <v>157</v>
      </c>
      <c r="H105" t="str">
        <f>HYPERLINK("https://video.twimg.com/ext_tw_video/1599651611747426304/pu/vid/848x480/yKux5rsUcXTH0gFw.mp4?tag=12", "https://video.twimg.com/ext_tw_video/1599651611747426304/pu/vid/848x480/yKux5rsUcXTH0gFw.mp4?tag=12")</f>
        <v>https://video.twimg.com/ext_tw_video/1599651611747426304/pu/vid/848x480/yKux5rsUcXTH0gFw.mp4?tag=12</v>
      </c>
      <c r="L105">
        <v>0</v>
      </c>
      <c r="M105">
        <v>0</v>
      </c>
      <c r="N105">
        <v>1</v>
      </c>
      <c r="O105">
        <v>0</v>
      </c>
    </row>
    <row r="106" spans="1:15" x14ac:dyDescent="0.2">
      <c r="A106" s="1" t="str">
        <f>HYPERLINK("http://www.twitter.com/banuakdenizli/status/1599436377422123008", "1599436377422123008")</f>
        <v>1599436377422123008</v>
      </c>
      <c r="B106" t="s">
        <v>15</v>
      </c>
      <c r="C106" s="2">
        <v>44899.675034722219</v>
      </c>
      <c r="D106">
        <v>0</v>
      </c>
      <c r="E106">
        <v>6</v>
      </c>
      <c r="F106" t="s">
        <v>158</v>
      </c>
      <c r="G106" t="s">
        <v>159</v>
      </c>
      <c r="L106">
        <v>0</v>
      </c>
      <c r="M106">
        <v>0</v>
      </c>
      <c r="N106">
        <v>1</v>
      </c>
      <c r="O106">
        <v>0</v>
      </c>
    </row>
    <row r="107" spans="1:15" x14ac:dyDescent="0.2">
      <c r="A107" s="1" t="str">
        <f>HYPERLINK("http://www.twitter.com/banuakdenizli/status/1599436347928109057", "1599436347928109057")</f>
        <v>1599436347928109057</v>
      </c>
      <c r="B107" t="s">
        <v>15</v>
      </c>
      <c r="C107" s="2">
        <v>44899.674953703703</v>
      </c>
      <c r="D107">
        <v>0</v>
      </c>
      <c r="E107">
        <v>6</v>
      </c>
      <c r="F107" t="s">
        <v>18</v>
      </c>
      <c r="G107" t="s">
        <v>160</v>
      </c>
      <c r="L107">
        <v>0</v>
      </c>
      <c r="M107">
        <v>0</v>
      </c>
      <c r="N107">
        <v>1</v>
      </c>
      <c r="O107">
        <v>0</v>
      </c>
    </row>
    <row r="108" spans="1:15" x14ac:dyDescent="0.2">
      <c r="A108" s="1" t="str">
        <f>HYPERLINK("http://www.twitter.com/banuakdenizli/status/1599268801467494400", "1599268801467494400")</f>
        <v>1599268801467494400</v>
      </c>
      <c r="B108" t="s">
        <v>15</v>
      </c>
      <c r="C108" s="2">
        <v>44899.212604166663</v>
      </c>
      <c r="D108">
        <v>0</v>
      </c>
      <c r="E108">
        <v>52</v>
      </c>
      <c r="F108" t="s">
        <v>24</v>
      </c>
      <c r="G108" t="s">
        <v>161</v>
      </c>
      <c r="H108" t="str">
        <f>HYPERLINK("http://pbs.twimg.com/media/FjFS8EgUcAAI8kT.jpg", "http://pbs.twimg.com/media/FjFS8EgUcAAI8kT.jpg")</f>
        <v>http://pbs.twimg.com/media/FjFS8EgUcAAI8kT.jpg</v>
      </c>
      <c r="L108">
        <v>0</v>
      </c>
      <c r="M108">
        <v>0</v>
      </c>
      <c r="N108">
        <v>1</v>
      </c>
      <c r="O108">
        <v>0</v>
      </c>
    </row>
    <row r="109" spans="1:15" x14ac:dyDescent="0.2">
      <c r="A109" s="1" t="str">
        <f>HYPERLINK("http://www.twitter.com/banuakdenizli/status/1599145917910700033", "1599145917910700033")</f>
        <v>1599145917910700033</v>
      </c>
      <c r="B109" t="s">
        <v>15</v>
      </c>
      <c r="C109" s="2">
        <v>44898.873518518521</v>
      </c>
      <c r="D109">
        <v>0</v>
      </c>
      <c r="E109">
        <v>2890</v>
      </c>
      <c r="F109" t="s">
        <v>28</v>
      </c>
      <c r="G109" t="s">
        <v>162</v>
      </c>
      <c r="H109" t="str">
        <f>HYPERLINK("http://pbs.twimg.com/media/FjFOdNAWAAQO9Xn.jpg", "http://pbs.twimg.com/media/FjFOdNAWAAQO9Xn.jpg")</f>
        <v>http://pbs.twimg.com/media/FjFOdNAWAAQO9Xn.jpg</v>
      </c>
      <c r="L109">
        <v>0</v>
      </c>
      <c r="M109">
        <v>0</v>
      </c>
      <c r="N109">
        <v>1</v>
      </c>
      <c r="O109">
        <v>0</v>
      </c>
    </row>
    <row r="110" spans="1:15" x14ac:dyDescent="0.2">
      <c r="A110" s="1" t="str">
        <f>HYPERLINK("http://www.twitter.com/banuakdenizli/status/1599145890958409729", "1599145890958409729")</f>
        <v>1599145890958409729</v>
      </c>
      <c r="B110" t="s">
        <v>15</v>
      </c>
      <c r="C110" s="2">
        <v>44898.873437499999</v>
      </c>
      <c r="D110">
        <v>0</v>
      </c>
      <c r="E110">
        <v>23</v>
      </c>
      <c r="F110" t="s">
        <v>19</v>
      </c>
      <c r="G110" t="s">
        <v>163</v>
      </c>
      <c r="H110" t="str">
        <f>HYPERLINK("http://pbs.twimg.com/media/FjEpJwoWQAES4uo.jpg", "http://pbs.twimg.com/media/FjEpJwoWQAES4uo.jpg")</f>
        <v>http://pbs.twimg.com/media/FjEpJwoWQAES4uo.jpg</v>
      </c>
      <c r="L110">
        <v>0</v>
      </c>
      <c r="M110">
        <v>0</v>
      </c>
      <c r="N110">
        <v>1</v>
      </c>
      <c r="O110">
        <v>0</v>
      </c>
    </row>
    <row r="111" spans="1:15" x14ac:dyDescent="0.2">
      <c r="A111" s="1" t="str">
        <f>HYPERLINK("http://www.twitter.com/banuakdenizli/status/1599145798989598721", "1599145798989598721")</f>
        <v>1599145798989598721</v>
      </c>
      <c r="B111" t="s">
        <v>15</v>
      </c>
      <c r="C111" s="2">
        <v>44898.873182870368</v>
      </c>
      <c r="D111">
        <v>0</v>
      </c>
      <c r="E111">
        <v>1511</v>
      </c>
      <c r="F111" t="s">
        <v>28</v>
      </c>
      <c r="G111" t="s">
        <v>164</v>
      </c>
      <c r="H111" t="str">
        <f>HYPERLINK("http://pbs.twimg.com/media/FjFAIZkXkAIlwqT.jpg", "http://pbs.twimg.com/media/FjFAIZkXkAIlwqT.jpg")</f>
        <v>http://pbs.twimg.com/media/FjFAIZkXkAIlwqT.jpg</v>
      </c>
      <c r="L111">
        <v>0</v>
      </c>
      <c r="M111">
        <v>0</v>
      </c>
      <c r="N111">
        <v>1</v>
      </c>
      <c r="O111">
        <v>0</v>
      </c>
    </row>
    <row r="112" spans="1:15" x14ac:dyDescent="0.2">
      <c r="A112" s="1" t="str">
        <f>HYPERLINK("http://www.twitter.com/banuakdenizli/status/1599145696958984192", "1599145696958984192")</f>
        <v>1599145696958984192</v>
      </c>
      <c r="B112" t="s">
        <v>15</v>
      </c>
      <c r="C112" s="2">
        <v>44898.87290509259</v>
      </c>
      <c r="D112">
        <v>0</v>
      </c>
      <c r="E112">
        <v>52</v>
      </c>
      <c r="F112" t="s">
        <v>24</v>
      </c>
      <c r="G112" t="s">
        <v>165</v>
      </c>
      <c r="H112" t="str">
        <f>HYPERLINK("http://pbs.twimg.com/media/FjFNxR9VsAAqrnT.jpg", "http://pbs.twimg.com/media/FjFNxR9VsAAqrnT.jpg")</f>
        <v>http://pbs.twimg.com/media/FjFNxR9VsAAqrnT.jpg</v>
      </c>
      <c r="L112">
        <v>0</v>
      </c>
      <c r="M112">
        <v>0</v>
      </c>
      <c r="N112">
        <v>1</v>
      </c>
      <c r="O112">
        <v>0</v>
      </c>
    </row>
    <row r="113" spans="1:15" x14ac:dyDescent="0.2">
      <c r="A113" s="1" t="str">
        <f>HYPERLINK("http://www.twitter.com/banuakdenizli/status/1599145667875594240", "1599145667875594240")</f>
        <v>1599145667875594240</v>
      </c>
      <c r="B113" t="s">
        <v>15</v>
      </c>
      <c r="C113" s="2">
        <v>44898.872824074067</v>
      </c>
      <c r="D113">
        <v>0</v>
      </c>
      <c r="E113">
        <v>1874</v>
      </c>
      <c r="F113" t="s">
        <v>22</v>
      </c>
      <c r="G113" t="s">
        <v>166</v>
      </c>
      <c r="L113">
        <v>0</v>
      </c>
      <c r="M113">
        <v>0</v>
      </c>
      <c r="N113">
        <v>1</v>
      </c>
      <c r="O113">
        <v>0</v>
      </c>
    </row>
    <row r="114" spans="1:15" x14ac:dyDescent="0.2">
      <c r="A114" s="1" t="str">
        <f>HYPERLINK("http://www.twitter.com/banuakdenizli/status/1599129036466270209", "1599129036466270209")</f>
        <v>1599129036466270209</v>
      </c>
      <c r="B114" t="s">
        <v>15</v>
      </c>
      <c r="C114" s="2">
        <v>44898.826932870368</v>
      </c>
      <c r="D114">
        <v>0</v>
      </c>
      <c r="E114">
        <v>281</v>
      </c>
      <c r="F114" t="s">
        <v>23</v>
      </c>
      <c r="G114" t="s">
        <v>167</v>
      </c>
      <c r="H114" t="str">
        <f>HYPERLINK("http://pbs.twimg.com/media/FjE1_HSWIAAdQTU.jpg", "http://pbs.twimg.com/media/FjE1_HSWIAAdQTU.jpg")</f>
        <v>http://pbs.twimg.com/media/FjE1_HSWIAAdQTU.jpg</v>
      </c>
      <c r="L114">
        <v>0</v>
      </c>
      <c r="M114">
        <v>0</v>
      </c>
      <c r="N114">
        <v>1</v>
      </c>
      <c r="O114">
        <v>0</v>
      </c>
    </row>
    <row r="115" spans="1:15" x14ac:dyDescent="0.2">
      <c r="A115" s="1" t="str">
        <f>HYPERLINK("http://www.twitter.com/banuakdenizli/status/1599107742425567232", "1599107742425567232")</f>
        <v>1599107742425567232</v>
      </c>
      <c r="B115" t="s">
        <v>15</v>
      </c>
      <c r="C115" s="2">
        <v>44898.768171296288</v>
      </c>
      <c r="D115">
        <v>3</v>
      </c>
      <c r="E115">
        <v>0</v>
      </c>
      <c r="G115" t="s">
        <v>168</v>
      </c>
      <c r="L115">
        <v>0</v>
      </c>
      <c r="M115">
        <v>0</v>
      </c>
      <c r="N115">
        <v>1</v>
      </c>
      <c r="O115">
        <v>0</v>
      </c>
    </row>
    <row r="116" spans="1:15" x14ac:dyDescent="0.2">
      <c r="A116" s="1" t="str">
        <f>HYPERLINK("http://www.twitter.com/banuakdenizli/status/1599104303062732801", "1599104303062732801")</f>
        <v>1599104303062732801</v>
      </c>
      <c r="B116" t="s">
        <v>15</v>
      </c>
      <c r="C116" s="2">
        <v>44898.758680555547</v>
      </c>
      <c r="D116">
        <v>32</v>
      </c>
      <c r="E116">
        <v>5</v>
      </c>
      <c r="G116" t="s">
        <v>169</v>
      </c>
      <c r="H116" t="str">
        <f>HYPERLINK("http://pbs.twimg.com/media/FjEo41XWYAEEMxV.jpg", "http://pbs.twimg.com/media/FjEo41XWYAEEMxV.jpg")</f>
        <v>http://pbs.twimg.com/media/FjEo41XWYAEEMxV.jpg</v>
      </c>
      <c r="L116">
        <v>0</v>
      </c>
      <c r="M116">
        <v>0</v>
      </c>
      <c r="N116">
        <v>1</v>
      </c>
      <c r="O116">
        <v>0</v>
      </c>
    </row>
    <row r="117" spans="1:15" x14ac:dyDescent="0.2">
      <c r="A117" s="1" t="str">
        <f>HYPERLINK("http://www.twitter.com/banuakdenizli/status/1599041434140540928", "1599041434140540928")</f>
        <v>1599041434140540928</v>
      </c>
      <c r="B117" t="s">
        <v>15</v>
      </c>
      <c r="C117" s="2">
        <v>44898.585196759261</v>
      </c>
      <c r="D117">
        <v>9</v>
      </c>
      <c r="E117">
        <v>3</v>
      </c>
      <c r="G117" t="s">
        <v>170</v>
      </c>
      <c r="H117" t="str">
        <f>HYPERLINK("http://pbs.twimg.com/media/FjDvtaCXoAAlWhQ.jpg", "http://pbs.twimg.com/media/FjDvtaCXoAAlWhQ.jpg")</f>
        <v>http://pbs.twimg.com/media/FjDvtaCXoAAlWhQ.jpg</v>
      </c>
      <c r="L117">
        <v>0</v>
      </c>
      <c r="M117">
        <v>0</v>
      </c>
      <c r="N117">
        <v>1</v>
      </c>
      <c r="O117">
        <v>0</v>
      </c>
    </row>
    <row r="118" spans="1:15" x14ac:dyDescent="0.2">
      <c r="A118" s="1" t="str">
        <f>HYPERLINK("http://www.twitter.com/banuakdenizli/status/1598917816270262272", "1598917816270262272")</f>
        <v>1598917816270262272</v>
      </c>
      <c r="B118" t="s">
        <v>15</v>
      </c>
      <c r="C118" s="2">
        <v>44898.244074074071</v>
      </c>
      <c r="D118">
        <v>1</v>
      </c>
      <c r="E118">
        <v>1</v>
      </c>
      <c r="G118" t="s">
        <v>171</v>
      </c>
      <c r="L118">
        <v>0</v>
      </c>
      <c r="M118">
        <v>0</v>
      </c>
      <c r="N118">
        <v>1</v>
      </c>
      <c r="O118">
        <v>0</v>
      </c>
    </row>
    <row r="119" spans="1:15" x14ac:dyDescent="0.2">
      <c r="A119" s="1" t="str">
        <f>HYPERLINK("http://www.twitter.com/banuakdenizli/status/1598761966117404672", "1598761966117404672")</f>
        <v>1598761966117404672</v>
      </c>
      <c r="B119" t="s">
        <v>15</v>
      </c>
      <c r="C119" s="2">
        <v>44897.814004629632</v>
      </c>
      <c r="D119">
        <v>0</v>
      </c>
      <c r="E119">
        <v>9</v>
      </c>
      <c r="F119" t="s">
        <v>24</v>
      </c>
      <c r="G119" t="s">
        <v>172</v>
      </c>
      <c r="H119" t="str">
        <f>HYPERLINK("http://pbs.twimg.com/media/Fi_kK9cUAAAn2RQ.jpg", "http://pbs.twimg.com/media/Fi_kK9cUAAAn2RQ.jpg")</f>
        <v>http://pbs.twimg.com/media/Fi_kK9cUAAAn2RQ.jpg</v>
      </c>
      <c r="L119">
        <v>-0.59830000000000005</v>
      </c>
      <c r="M119">
        <v>0.28000000000000003</v>
      </c>
      <c r="N119">
        <v>0.72</v>
      </c>
      <c r="O119">
        <v>0</v>
      </c>
    </row>
    <row r="120" spans="1:15" x14ac:dyDescent="0.2">
      <c r="A120" s="1" t="str">
        <f>HYPERLINK("http://www.twitter.com/banuakdenizli/status/1598691367164813313", "1598691367164813313")</f>
        <v>1598691367164813313</v>
      </c>
      <c r="B120" t="s">
        <v>15</v>
      </c>
      <c r="C120" s="2">
        <v>44897.619189814817</v>
      </c>
      <c r="D120">
        <v>1</v>
      </c>
      <c r="E120">
        <v>1</v>
      </c>
      <c r="G120" t="s">
        <v>173</v>
      </c>
      <c r="L120">
        <v>0</v>
      </c>
      <c r="M120">
        <v>0</v>
      </c>
      <c r="N120">
        <v>1</v>
      </c>
      <c r="O120">
        <v>0</v>
      </c>
    </row>
    <row r="121" spans="1:15" x14ac:dyDescent="0.2">
      <c r="A121" s="1" t="str">
        <f>HYPERLINK("http://www.twitter.com/banuakdenizli/status/1598691301934870528", "1598691301934870528")</f>
        <v>1598691301934870528</v>
      </c>
      <c r="B121" t="s">
        <v>15</v>
      </c>
      <c r="C121" s="2">
        <v>44897.619016203702</v>
      </c>
      <c r="D121">
        <v>1</v>
      </c>
      <c r="E121">
        <v>0</v>
      </c>
      <c r="G121" t="s">
        <v>174</v>
      </c>
      <c r="L121">
        <v>0</v>
      </c>
      <c r="M121">
        <v>0</v>
      </c>
      <c r="N121">
        <v>1</v>
      </c>
      <c r="O121">
        <v>0</v>
      </c>
    </row>
    <row r="122" spans="1:15" x14ac:dyDescent="0.2">
      <c r="A122" s="1" t="str">
        <f>HYPERLINK("http://www.twitter.com/banuakdenizli/status/1598684886658781184", "1598684886658781184")</f>
        <v>1598684886658781184</v>
      </c>
      <c r="B122" t="s">
        <v>15</v>
      </c>
      <c r="C122" s="2">
        <v>44897.601307870369</v>
      </c>
      <c r="D122">
        <v>10</v>
      </c>
      <c r="E122">
        <v>0</v>
      </c>
      <c r="G122" t="s">
        <v>175</v>
      </c>
      <c r="L122">
        <v>0</v>
      </c>
      <c r="M122">
        <v>0</v>
      </c>
      <c r="N122">
        <v>1</v>
      </c>
      <c r="O122">
        <v>0</v>
      </c>
    </row>
    <row r="123" spans="1:15" x14ac:dyDescent="0.2">
      <c r="A123" s="1" t="str">
        <f>HYPERLINK("http://www.twitter.com/banuakdenizli/status/1598389890718334984", "1598389890718334984")</f>
        <v>1598389890718334984</v>
      </c>
      <c r="B123" t="s">
        <v>15</v>
      </c>
      <c r="C123" s="2">
        <v>44896.787280092591</v>
      </c>
      <c r="D123">
        <v>55</v>
      </c>
      <c r="E123">
        <v>11</v>
      </c>
      <c r="G123" t="s">
        <v>176</v>
      </c>
      <c r="H123" t="str">
        <f>HYPERLINK("http://pbs.twimg.com/media/Fi6fInkWYAAmNIc.jpg", "http://pbs.twimg.com/media/Fi6fInkWYAAmNIc.jpg")</f>
        <v>http://pbs.twimg.com/media/Fi6fInkWYAAmNIc.jpg</v>
      </c>
      <c r="L123">
        <v>0</v>
      </c>
      <c r="M123">
        <v>0</v>
      </c>
      <c r="N123">
        <v>1</v>
      </c>
      <c r="O123">
        <v>0</v>
      </c>
    </row>
    <row r="124" spans="1:15" x14ac:dyDescent="0.2">
      <c r="A124" s="1" t="str">
        <f>HYPERLINK("http://www.twitter.com/banuakdenizli/status/1598389135429042179", "1598389135429042179")</f>
        <v>1598389135429042179</v>
      </c>
      <c r="B124" t="s">
        <v>15</v>
      </c>
      <c r="C124" s="2">
        <v>44896.785196759258</v>
      </c>
      <c r="D124">
        <v>0</v>
      </c>
      <c r="E124">
        <v>6</v>
      </c>
      <c r="F124" t="s">
        <v>177</v>
      </c>
      <c r="G124" t="s">
        <v>178</v>
      </c>
      <c r="H124" t="str">
        <f>HYPERLINK("http://pbs.twimg.com/media/Fi6dZgwXgA0PIIQ.jpg", "http://pbs.twimg.com/media/Fi6dZgwXgA0PIIQ.jpg")</f>
        <v>http://pbs.twimg.com/media/Fi6dZgwXgA0PIIQ.jpg</v>
      </c>
      <c r="L124">
        <v>0</v>
      </c>
      <c r="M124">
        <v>0</v>
      </c>
      <c r="N124">
        <v>1</v>
      </c>
      <c r="O124">
        <v>0</v>
      </c>
    </row>
    <row r="125" spans="1:15" x14ac:dyDescent="0.2">
      <c r="A125" s="1" t="str">
        <f>HYPERLINK("http://www.twitter.com/banuakdenizli/status/1598386106986364942", "1598386106986364942")</f>
        <v>1598386106986364942</v>
      </c>
      <c r="B125" t="s">
        <v>15</v>
      </c>
      <c r="C125" s="2">
        <v>44896.77684027778</v>
      </c>
      <c r="D125">
        <v>2</v>
      </c>
      <c r="E125">
        <v>1</v>
      </c>
      <c r="G125" t="s">
        <v>179</v>
      </c>
      <c r="H125" t="str">
        <f>HYPERLINK("http://pbs.twimg.com/media/Fi6brv6XoAACoKp.jpg", "http://pbs.twimg.com/media/Fi6brv6XoAACoKp.jpg")</f>
        <v>http://pbs.twimg.com/media/Fi6brv6XoAACoKp.jpg</v>
      </c>
      <c r="I125" t="str">
        <f>HYPERLINK("http://pbs.twimg.com/media/Fi6br-eWYAEYQNy.jpg", "http://pbs.twimg.com/media/Fi6br-eWYAEYQNy.jpg")</f>
        <v>http://pbs.twimg.com/media/Fi6br-eWYAEYQNy.jpg</v>
      </c>
      <c r="J125" t="str">
        <f>HYPERLINK("http://pbs.twimg.com/media/Fi6bsWUXgAQns9I.jpg", "http://pbs.twimg.com/media/Fi6bsWUXgAQns9I.jpg")</f>
        <v>http://pbs.twimg.com/media/Fi6bsWUXgAQns9I.jpg</v>
      </c>
      <c r="L125">
        <v>0</v>
      </c>
      <c r="M125">
        <v>0</v>
      </c>
      <c r="N125">
        <v>1</v>
      </c>
      <c r="O125">
        <v>0</v>
      </c>
    </row>
    <row r="126" spans="1:15" x14ac:dyDescent="0.2">
      <c r="A126" s="1" t="str">
        <f>HYPERLINK("http://www.twitter.com/banuakdenizli/status/1598360150930345986", "1598360150930345986")</f>
        <v>1598360150930345986</v>
      </c>
      <c r="B126" t="s">
        <v>15</v>
      </c>
      <c r="C126" s="2">
        <v>44896.705208333333</v>
      </c>
      <c r="D126">
        <v>3</v>
      </c>
      <c r="E126">
        <v>1</v>
      </c>
      <c r="G126" t="s">
        <v>180</v>
      </c>
      <c r="H126" t="str">
        <f>HYPERLINK("https://video.twimg.com/ext_tw_video/1598360068143169544/pu/vid/848x480/p3cT8-dQjSR6Cx7M.mp4?tag=12", "https://video.twimg.com/ext_tw_video/1598360068143169544/pu/vid/848x480/p3cT8-dQjSR6Cx7M.mp4?tag=12")</f>
        <v>https://video.twimg.com/ext_tw_video/1598360068143169544/pu/vid/848x480/p3cT8-dQjSR6Cx7M.mp4?tag=12</v>
      </c>
      <c r="L126">
        <v>0</v>
      </c>
      <c r="M126">
        <v>0</v>
      </c>
      <c r="N126">
        <v>1</v>
      </c>
      <c r="O126">
        <v>0</v>
      </c>
    </row>
    <row r="127" spans="1:15" x14ac:dyDescent="0.2">
      <c r="A127" s="1" t="str">
        <f>HYPERLINK("http://www.twitter.com/banuakdenizli/status/1598309404029378562", "1598309404029378562")</f>
        <v>1598309404029378562</v>
      </c>
      <c r="B127" t="s">
        <v>15</v>
      </c>
      <c r="C127" s="2">
        <v>44896.56517361111</v>
      </c>
      <c r="D127">
        <v>0</v>
      </c>
      <c r="E127">
        <v>0</v>
      </c>
      <c r="G127" t="s">
        <v>181</v>
      </c>
      <c r="L127">
        <v>0.52290000000000003</v>
      </c>
      <c r="M127">
        <v>0</v>
      </c>
      <c r="N127">
        <v>0.59699999999999998</v>
      </c>
      <c r="O127">
        <v>0.40300000000000002</v>
      </c>
    </row>
    <row r="128" spans="1:15" x14ac:dyDescent="0.2">
      <c r="A128" s="1" t="str">
        <f>HYPERLINK("http://www.twitter.com/banuakdenizli/status/1598309134499303424", "1598309134499303424")</f>
        <v>1598309134499303424</v>
      </c>
      <c r="B128" t="s">
        <v>15</v>
      </c>
      <c r="C128" s="2">
        <v>44896.564432870371</v>
      </c>
      <c r="D128">
        <v>0</v>
      </c>
      <c r="E128">
        <v>19</v>
      </c>
      <c r="F128" t="s">
        <v>182</v>
      </c>
      <c r="G128" t="s">
        <v>183</v>
      </c>
      <c r="H128" t="str">
        <f>HYPERLINK("http://pbs.twimg.com/media/Fi1-iL6XgA8eqyF.jpg", "http://pbs.twimg.com/media/Fi1-iL6XgA8eqyF.jpg")</f>
        <v>http://pbs.twimg.com/media/Fi1-iL6XgA8eqyF.jpg</v>
      </c>
      <c r="L128">
        <v>0</v>
      </c>
      <c r="M128">
        <v>0</v>
      </c>
      <c r="N128">
        <v>1</v>
      </c>
      <c r="O128">
        <v>0</v>
      </c>
    </row>
    <row r="129" spans="1:15" x14ac:dyDescent="0.2">
      <c r="A129" s="1" t="str">
        <f>HYPERLINK("http://www.twitter.com/banuakdenizli/status/1598208044504342528", "1598208044504342528")</f>
        <v>1598208044504342528</v>
      </c>
      <c r="B129" t="s">
        <v>15</v>
      </c>
      <c r="C129" s="2">
        <v>44896.285474537042</v>
      </c>
      <c r="D129">
        <v>0</v>
      </c>
      <c r="E129">
        <v>152</v>
      </c>
      <c r="F129" t="s">
        <v>24</v>
      </c>
      <c r="G129" t="s">
        <v>184</v>
      </c>
      <c r="H129" t="str">
        <f>HYPERLINK("http://pbs.twimg.com/media/Fi2FGmaX0BMHzT1.jpg", "http://pbs.twimg.com/media/Fi2FGmaX0BMHzT1.jpg")</f>
        <v>http://pbs.twimg.com/media/Fi2FGmaX0BMHzT1.jpg</v>
      </c>
      <c r="L129">
        <v>0</v>
      </c>
      <c r="M129">
        <v>0</v>
      </c>
      <c r="N129">
        <v>1</v>
      </c>
      <c r="O129">
        <v>0</v>
      </c>
    </row>
    <row r="130" spans="1:15" x14ac:dyDescent="0.2">
      <c r="A130" s="1" t="str">
        <f>HYPERLINK("http://www.twitter.com/banuakdenizli/status/1598072924409565184", "1598072924409565184")</f>
        <v>1598072924409565184</v>
      </c>
      <c r="B130" t="s">
        <v>15</v>
      </c>
      <c r="C130" s="2">
        <v>44895.912615740737</v>
      </c>
      <c r="D130">
        <v>0</v>
      </c>
      <c r="E130">
        <v>34</v>
      </c>
      <c r="F130" t="s">
        <v>24</v>
      </c>
      <c r="G130" t="s">
        <v>185</v>
      </c>
      <c r="L130">
        <v>0</v>
      </c>
      <c r="M130">
        <v>0</v>
      </c>
      <c r="N130">
        <v>1</v>
      </c>
      <c r="O130">
        <v>0</v>
      </c>
    </row>
    <row r="131" spans="1:15" x14ac:dyDescent="0.2">
      <c r="A131" s="1" t="str">
        <f>HYPERLINK("http://www.twitter.com/banuakdenizli/status/1598070232299732993", "1598070232299732993")</f>
        <v>1598070232299732993</v>
      </c>
      <c r="B131" t="s">
        <v>15</v>
      </c>
      <c r="C131" s="2">
        <v>44895.905185185176</v>
      </c>
      <c r="D131">
        <v>0</v>
      </c>
      <c r="E131">
        <v>45</v>
      </c>
      <c r="F131" t="s">
        <v>24</v>
      </c>
      <c r="G131" t="s">
        <v>186</v>
      </c>
      <c r="L131">
        <v>0</v>
      </c>
      <c r="M131">
        <v>0</v>
      </c>
      <c r="N131">
        <v>1</v>
      </c>
      <c r="O131">
        <v>0</v>
      </c>
    </row>
    <row r="132" spans="1:15" x14ac:dyDescent="0.2">
      <c r="A132" s="1" t="str">
        <f>HYPERLINK("http://www.twitter.com/banuakdenizli/status/1598070138850668544", "1598070138850668544")</f>
        <v>1598070138850668544</v>
      </c>
      <c r="B132" t="s">
        <v>15</v>
      </c>
      <c r="C132" s="2">
        <v>44895.904930555553</v>
      </c>
      <c r="D132">
        <v>6</v>
      </c>
      <c r="E132">
        <v>1</v>
      </c>
      <c r="G132" t="s">
        <v>187</v>
      </c>
      <c r="H132" t="str">
        <f>HYPERLINK("http://pbs.twimg.com/media/Fi18UlaXgAMzTlz.jpg", "http://pbs.twimg.com/media/Fi18UlaXgAMzTlz.jpg")</f>
        <v>http://pbs.twimg.com/media/Fi18UlaXgAMzTlz.jpg</v>
      </c>
      <c r="L132">
        <v>0</v>
      </c>
      <c r="M132">
        <v>0</v>
      </c>
      <c r="N132">
        <v>1</v>
      </c>
      <c r="O132">
        <v>0</v>
      </c>
    </row>
    <row r="133" spans="1:15" x14ac:dyDescent="0.2">
      <c r="A133" s="1" t="str">
        <f>HYPERLINK("http://www.twitter.com/banuakdenizli/status/1598059510622720001", "1598059510622720001")</f>
        <v>1598059510622720001</v>
      </c>
      <c r="B133" t="s">
        <v>15</v>
      </c>
      <c r="C133" s="2">
        <v>44895.875601851847</v>
      </c>
      <c r="D133">
        <v>0</v>
      </c>
      <c r="E133">
        <v>2264</v>
      </c>
      <c r="F133" t="s">
        <v>22</v>
      </c>
      <c r="G133" t="s">
        <v>188</v>
      </c>
      <c r="H133" t="str">
        <f>HYPERLINK("http://pbs.twimg.com/media/Fi1xeBWWIAY7kyC.jpg", "http://pbs.twimg.com/media/Fi1xeBWWIAY7kyC.jpg")</f>
        <v>http://pbs.twimg.com/media/Fi1xeBWWIAY7kyC.jpg</v>
      </c>
      <c r="L133">
        <v>0</v>
      </c>
      <c r="M133">
        <v>0</v>
      </c>
      <c r="N133">
        <v>1</v>
      </c>
      <c r="O133">
        <v>0</v>
      </c>
    </row>
    <row r="134" spans="1:15" x14ac:dyDescent="0.2">
      <c r="A134" s="1" t="str">
        <f>HYPERLINK("http://www.twitter.com/banuakdenizli/status/1598059465281970176", "1598059465281970176")</f>
        <v>1598059465281970176</v>
      </c>
      <c r="B134" t="s">
        <v>15</v>
      </c>
      <c r="C134" s="2">
        <v>44895.875474537039</v>
      </c>
      <c r="D134">
        <v>0</v>
      </c>
      <c r="E134">
        <v>2877</v>
      </c>
      <c r="F134" t="s">
        <v>28</v>
      </c>
      <c r="G134" t="s">
        <v>189</v>
      </c>
      <c r="H134" t="str">
        <f>HYPERLINK("http://pbs.twimg.com/media/Fi1w7SUXgAIl1tI.jpg", "http://pbs.twimg.com/media/Fi1w7SUXgAIl1tI.jpg")</f>
        <v>http://pbs.twimg.com/media/Fi1w7SUXgAIl1tI.jpg</v>
      </c>
      <c r="L134">
        <v>0</v>
      </c>
      <c r="M134">
        <v>0</v>
      </c>
      <c r="N134">
        <v>1</v>
      </c>
      <c r="O134">
        <v>0</v>
      </c>
    </row>
    <row r="135" spans="1:15" x14ac:dyDescent="0.2">
      <c r="A135" s="1" t="str">
        <f>HYPERLINK("http://www.twitter.com/banuakdenizli/status/1598020973533745153", "1598020973533745153")</f>
        <v>1598020973533745153</v>
      </c>
      <c r="B135" t="s">
        <v>15</v>
      </c>
      <c r="C135" s="2">
        <v>44895.769259259258</v>
      </c>
      <c r="D135">
        <v>0</v>
      </c>
      <c r="E135">
        <v>75</v>
      </c>
      <c r="F135" t="s">
        <v>24</v>
      </c>
      <c r="G135" t="s">
        <v>190</v>
      </c>
      <c r="H135" t="str">
        <f>HYPERLINK("https://video.twimg.com/ext_tw_video/1597922994965413889/pu/vid/720x1280/0jUij-OlmFKD1sUw.mp4?tag=12", "https://video.twimg.com/ext_tw_video/1597922994965413889/pu/vid/720x1280/0jUij-OlmFKD1sUw.mp4?tag=12")</f>
        <v>https://video.twimg.com/ext_tw_video/1597922994965413889/pu/vid/720x1280/0jUij-OlmFKD1sUw.mp4?tag=12</v>
      </c>
      <c r="L135">
        <v>-0.38179999999999997</v>
      </c>
      <c r="M135">
        <v>0.16800000000000001</v>
      </c>
      <c r="N135">
        <v>0.76300000000000001</v>
      </c>
      <c r="O135">
        <v>6.9000000000000006E-2</v>
      </c>
    </row>
    <row r="136" spans="1:15" x14ac:dyDescent="0.2">
      <c r="A136" s="1" t="str">
        <f>HYPERLINK("http://www.twitter.com/banuakdenizli/status/1598020915597410304", "1598020915597410304")</f>
        <v>1598020915597410304</v>
      </c>
      <c r="B136" t="s">
        <v>15</v>
      </c>
      <c r="C136" s="2">
        <v>44895.769097222219</v>
      </c>
      <c r="D136">
        <v>0</v>
      </c>
      <c r="E136">
        <v>21</v>
      </c>
      <c r="F136" t="s">
        <v>23</v>
      </c>
      <c r="G136" t="s">
        <v>191</v>
      </c>
      <c r="H136" t="str">
        <f>HYPERLINK("https://video.twimg.com/ext_tw_video/1598014824759394304/pu/vid/720x1280/JG-D8z3-v6TJqKD-.mp4?tag=12", "https://video.twimg.com/ext_tw_video/1598014824759394304/pu/vid/720x1280/JG-D8z3-v6TJqKD-.mp4?tag=12")</f>
        <v>https://video.twimg.com/ext_tw_video/1598014824759394304/pu/vid/720x1280/JG-D8z3-v6TJqKD-.mp4?tag=12</v>
      </c>
      <c r="L136">
        <v>0.59940000000000004</v>
      </c>
      <c r="M136">
        <v>0</v>
      </c>
      <c r="N136">
        <v>0.71899999999999997</v>
      </c>
      <c r="O136">
        <v>0.28100000000000003</v>
      </c>
    </row>
    <row r="137" spans="1:15" x14ac:dyDescent="0.2">
      <c r="A137" s="1" t="str">
        <f>HYPERLINK("http://www.twitter.com/banuakdenizli/status/1598020757111869442", "1598020757111869442")</f>
        <v>1598020757111869442</v>
      </c>
      <c r="B137" t="s">
        <v>15</v>
      </c>
      <c r="C137" s="2">
        <v>44895.768657407411</v>
      </c>
      <c r="D137">
        <v>0</v>
      </c>
      <c r="E137">
        <v>6</v>
      </c>
      <c r="F137" t="s">
        <v>192</v>
      </c>
      <c r="G137" t="s">
        <v>193</v>
      </c>
      <c r="H137" t="str">
        <f>HYPERLINK("https://video.twimg.com/amplify_video/1597985835433037825/vid/1316x720/di5YbGnwVZ89TV0z.mp4?tag=16", "https://video.twimg.com/amplify_video/1597985835433037825/vid/1316x720/di5YbGnwVZ89TV0z.mp4?tag=16")</f>
        <v>https://video.twimg.com/amplify_video/1597985835433037825/vid/1316x720/di5YbGnwVZ89TV0z.mp4?tag=16</v>
      </c>
      <c r="L137">
        <v>0</v>
      </c>
      <c r="M137">
        <v>0</v>
      </c>
      <c r="N137">
        <v>1</v>
      </c>
      <c r="O137">
        <v>0</v>
      </c>
    </row>
    <row r="138" spans="1:15" x14ac:dyDescent="0.2">
      <c r="A138" s="1" t="str">
        <f>HYPERLINK("http://www.twitter.com/banuakdenizli/status/1598020658243698689", "1598020658243698689")</f>
        <v>1598020658243698689</v>
      </c>
      <c r="B138" t="s">
        <v>15</v>
      </c>
      <c r="C138" s="2">
        <v>44895.768391203703</v>
      </c>
      <c r="D138">
        <v>0</v>
      </c>
      <c r="E138">
        <v>0</v>
      </c>
      <c r="G138" t="s">
        <v>194</v>
      </c>
      <c r="L138">
        <v>0</v>
      </c>
      <c r="M138">
        <v>0</v>
      </c>
      <c r="N138">
        <v>1</v>
      </c>
      <c r="O138">
        <v>0</v>
      </c>
    </row>
    <row r="139" spans="1:15" x14ac:dyDescent="0.2">
      <c r="A139" s="1" t="str">
        <f>HYPERLINK("http://www.twitter.com/banuakdenizli/status/1598020466190348288", "1598020466190348288")</f>
        <v>1598020466190348288</v>
      </c>
      <c r="B139" t="s">
        <v>15</v>
      </c>
      <c r="C139" s="2">
        <v>44895.767858796287</v>
      </c>
      <c r="D139">
        <v>0</v>
      </c>
      <c r="E139">
        <v>96</v>
      </c>
      <c r="F139" t="s">
        <v>22</v>
      </c>
      <c r="G139" t="s">
        <v>195</v>
      </c>
      <c r="H139" t="str">
        <f>HYPERLINK("http://pbs.twimg.com/media/Fi1NrSZWACAXaFY.jpg", "http://pbs.twimg.com/media/Fi1NrSZWACAXaFY.jpg")</f>
        <v>http://pbs.twimg.com/media/Fi1NrSZWACAXaFY.jpg</v>
      </c>
      <c r="L139">
        <v>0</v>
      </c>
      <c r="M139">
        <v>0</v>
      </c>
      <c r="N139">
        <v>1</v>
      </c>
      <c r="O139">
        <v>0</v>
      </c>
    </row>
    <row r="140" spans="1:15" x14ac:dyDescent="0.2">
      <c r="A140" s="1" t="str">
        <f>HYPERLINK("http://www.twitter.com/banuakdenizli/status/1598013306593497088", "1598013306593497088")</f>
        <v>1598013306593497088</v>
      </c>
      <c r="B140" t="s">
        <v>15</v>
      </c>
      <c r="C140" s="2">
        <v>44895.748101851852</v>
      </c>
      <c r="D140">
        <v>9</v>
      </c>
      <c r="E140">
        <v>4</v>
      </c>
      <c r="G140" t="s">
        <v>196</v>
      </c>
      <c r="H140" t="str">
        <f>HYPERLINK("http://pbs.twimg.com/media/Fi1IoeoWABIb4QO.jpg", "http://pbs.twimg.com/media/Fi1IoeoWABIb4QO.jpg")</f>
        <v>http://pbs.twimg.com/media/Fi1IoeoWABIb4QO.jpg</v>
      </c>
      <c r="L140">
        <v>0</v>
      </c>
      <c r="M140">
        <v>0</v>
      </c>
      <c r="N140">
        <v>1</v>
      </c>
      <c r="O140">
        <v>0</v>
      </c>
    </row>
    <row r="141" spans="1:15" x14ac:dyDescent="0.2">
      <c r="A141" s="1" t="str">
        <f>HYPERLINK("http://www.twitter.com/banuakdenizli/status/1598000219110899715", "1598000219110899715")</f>
        <v>1598000219110899715</v>
      </c>
      <c r="B141" t="s">
        <v>15</v>
      </c>
      <c r="C141" s="2">
        <v>44895.71199074074</v>
      </c>
      <c r="D141">
        <v>0</v>
      </c>
      <c r="E141">
        <v>18</v>
      </c>
      <c r="F141" t="s">
        <v>24</v>
      </c>
      <c r="G141" t="s">
        <v>197</v>
      </c>
      <c r="H141" t="str">
        <f>HYPERLINK("https://video.twimg.com/ext_tw_video/1597996952397938693/pu/vid/720x1280/TUXfQ5GaAdEEmbkU.mp4?tag=12", "https://video.twimg.com/ext_tw_video/1597996952397938693/pu/vid/720x1280/TUXfQ5GaAdEEmbkU.mp4?tag=12")</f>
        <v>https://video.twimg.com/ext_tw_video/1597996952397938693/pu/vid/720x1280/TUXfQ5GaAdEEmbkU.mp4?tag=12</v>
      </c>
      <c r="L141">
        <v>0</v>
      </c>
      <c r="M141">
        <v>0</v>
      </c>
      <c r="N141">
        <v>1</v>
      </c>
      <c r="O141">
        <v>0</v>
      </c>
    </row>
    <row r="142" spans="1:15" x14ac:dyDescent="0.2">
      <c r="A142" s="1" t="str">
        <f>HYPERLINK("http://www.twitter.com/banuakdenizli/status/1597996989693952000", "1597996989693952000")</f>
        <v>1597996989693952000</v>
      </c>
      <c r="B142" t="s">
        <v>15</v>
      </c>
      <c r="C142" s="2">
        <v>44895.7030787037</v>
      </c>
      <c r="D142">
        <v>5</v>
      </c>
      <c r="E142">
        <v>1</v>
      </c>
      <c r="G142" t="s">
        <v>198</v>
      </c>
      <c r="H142" t="str">
        <f>HYPERLINK("http://pbs.twimg.com/media/Fi05ysEWQAE6HCl.jpg", "http://pbs.twimg.com/media/Fi05ysEWQAE6HCl.jpg")</f>
        <v>http://pbs.twimg.com/media/Fi05ysEWQAE6HCl.jpg</v>
      </c>
      <c r="L142">
        <v>0</v>
      </c>
      <c r="M142">
        <v>0</v>
      </c>
      <c r="N142">
        <v>1</v>
      </c>
      <c r="O142">
        <v>0</v>
      </c>
    </row>
    <row r="143" spans="1:15" x14ac:dyDescent="0.2">
      <c r="A143" s="1" t="str">
        <f>HYPERLINK("http://www.twitter.com/banuakdenizli/status/1597995256456572930", "1597995256456572930")</f>
        <v>1597995256456572930</v>
      </c>
      <c r="B143" t="s">
        <v>15</v>
      </c>
      <c r="C143" s="2">
        <v>44895.698298611111</v>
      </c>
      <c r="D143">
        <v>0</v>
      </c>
      <c r="E143">
        <v>179</v>
      </c>
      <c r="F143" t="s">
        <v>42</v>
      </c>
      <c r="G143" t="s">
        <v>199</v>
      </c>
      <c r="H143" t="str">
        <f>HYPERLINK("http://pbs.twimg.com/media/FiztRKeXoAMyTpC.jpg", "http://pbs.twimg.com/media/FiztRKeXoAMyTpC.jpg")</f>
        <v>http://pbs.twimg.com/media/FiztRKeXoAMyTpC.jpg</v>
      </c>
      <c r="L143">
        <v>0.1027</v>
      </c>
      <c r="M143">
        <v>0</v>
      </c>
      <c r="N143">
        <v>0.96199999999999997</v>
      </c>
      <c r="O143">
        <v>3.7999999999999999E-2</v>
      </c>
    </row>
    <row r="144" spans="1:15" x14ac:dyDescent="0.2">
      <c r="A144" s="1" t="str">
        <f>HYPERLINK("http://www.twitter.com/banuakdenizli/status/1597995229864693763", "1597995229864693763")</f>
        <v>1597995229864693763</v>
      </c>
      <c r="B144" t="s">
        <v>15</v>
      </c>
      <c r="C144" s="2">
        <v>44895.698217592602</v>
      </c>
      <c r="D144">
        <v>0</v>
      </c>
      <c r="E144">
        <v>34</v>
      </c>
      <c r="F144" t="s">
        <v>16</v>
      </c>
      <c r="G144" t="s">
        <v>200</v>
      </c>
      <c r="H144" t="str">
        <f>HYPERLINK("http://pbs.twimg.com/media/FizzBa4X0AAgei4.jpg", "http://pbs.twimg.com/media/FizzBa4X0AAgei4.jpg")</f>
        <v>http://pbs.twimg.com/media/FizzBa4X0AAgei4.jpg</v>
      </c>
      <c r="I144" t="str">
        <f>HYPERLINK("http://pbs.twimg.com/media/FizzBayXkAENDw5.jpg", "http://pbs.twimg.com/media/FizzBayXkAENDw5.jpg")</f>
        <v>http://pbs.twimg.com/media/FizzBayXkAENDw5.jpg</v>
      </c>
      <c r="J144" t="str">
        <f>HYPERLINK("http://pbs.twimg.com/media/FizzBawXoAAeXaL.jpg", "http://pbs.twimg.com/media/FizzBawXoAAeXaL.jpg")</f>
        <v>http://pbs.twimg.com/media/FizzBawXoAAeXaL.jpg</v>
      </c>
      <c r="L144">
        <v>0</v>
      </c>
      <c r="M144">
        <v>0</v>
      </c>
      <c r="N144">
        <v>1</v>
      </c>
      <c r="O144">
        <v>0</v>
      </c>
    </row>
    <row r="145" spans="1:15" x14ac:dyDescent="0.2">
      <c r="A145" s="1" t="str">
        <f>HYPERLINK("http://www.twitter.com/banuakdenizli/status/1597994777945190400", "1597994777945190400")</f>
        <v>1597994777945190400</v>
      </c>
      <c r="B145" t="s">
        <v>15</v>
      </c>
      <c r="C145" s="2">
        <v>44895.696979166663</v>
      </c>
      <c r="D145">
        <v>0</v>
      </c>
      <c r="E145">
        <v>1</v>
      </c>
      <c r="F145" t="s">
        <v>201</v>
      </c>
      <c r="G145" t="s">
        <v>202</v>
      </c>
      <c r="H145" t="str">
        <f>HYPERLINK("http://pbs.twimg.com/media/Fi0W81JXwAI6S_S.jpg", "http://pbs.twimg.com/media/Fi0W81JXwAI6S_S.jpg")</f>
        <v>http://pbs.twimg.com/media/Fi0W81JXwAI6S_S.jpg</v>
      </c>
      <c r="L145">
        <v>0</v>
      </c>
      <c r="M145">
        <v>0</v>
      </c>
      <c r="N145">
        <v>1</v>
      </c>
      <c r="O145">
        <v>0</v>
      </c>
    </row>
    <row r="146" spans="1:15" x14ac:dyDescent="0.2">
      <c r="A146" s="1" t="str">
        <f>HYPERLINK("http://www.twitter.com/banuakdenizli/status/1597853376753999872", "1597853376753999872")</f>
        <v>1597853376753999872</v>
      </c>
      <c r="B146" t="s">
        <v>15</v>
      </c>
      <c r="C146" s="2">
        <v>44895.30678240741</v>
      </c>
      <c r="D146">
        <v>0</v>
      </c>
      <c r="E146">
        <v>42</v>
      </c>
      <c r="F146" t="s">
        <v>22</v>
      </c>
      <c r="G146" t="s">
        <v>203</v>
      </c>
      <c r="L146">
        <v>-0.41839999999999999</v>
      </c>
      <c r="M146">
        <v>0.112</v>
      </c>
      <c r="N146">
        <v>0.88800000000000001</v>
      </c>
      <c r="O146">
        <v>0</v>
      </c>
    </row>
    <row r="147" spans="1:15" x14ac:dyDescent="0.2">
      <c r="A147" s="1" t="str">
        <f>HYPERLINK("http://www.twitter.com/banuakdenizli/status/1597853075892338688", "1597853075892338688")</f>
        <v>1597853075892338688</v>
      </c>
      <c r="B147" t="s">
        <v>15</v>
      </c>
      <c r="C147" s="2">
        <v>44895.305949074071</v>
      </c>
      <c r="D147">
        <v>3</v>
      </c>
      <c r="E147">
        <v>0</v>
      </c>
      <c r="G147" t="s">
        <v>204</v>
      </c>
      <c r="H147" t="str">
        <f>HYPERLINK("http://pbs.twimg.com/media/Fiy25WWXgAEnNVR.jpg", "http://pbs.twimg.com/media/Fiy25WWXgAEnNVR.jpg")</f>
        <v>http://pbs.twimg.com/media/Fiy25WWXgAEnNVR.jpg</v>
      </c>
      <c r="I147" t="str">
        <f>HYPERLINK("http://pbs.twimg.com/media/Fiy25p4X0AYcfVv.jpg", "http://pbs.twimg.com/media/Fiy25p4X0AYcfVv.jpg")</f>
        <v>http://pbs.twimg.com/media/Fiy25p4X0AYcfVv.jpg</v>
      </c>
      <c r="J147" t="str">
        <f>HYPERLINK("http://pbs.twimg.com/media/Fiy252-WQAAxc9_.jpg", "http://pbs.twimg.com/media/Fiy252-WQAAxc9_.jpg")</f>
        <v>http://pbs.twimg.com/media/Fiy252-WQAAxc9_.jpg</v>
      </c>
      <c r="L147">
        <v>0</v>
      </c>
      <c r="M147">
        <v>0</v>
      </c>
      <c r="N147">
        <v>1</v>
      </c>
      <c r="O147">
        <v>0</v>
      </c>
    </row>
    <row r="148" spans="1:15" x14ac:dyDescent="0.2">
      <c r="A148" s="1" t="str">
        <f>HYPERLINK("http://www.twitter.com/banuakdenizli/status/1597850935753334784", "1597850935753334784")</f>
        <v>1597850935753334784</v>
      </c>
      <c r="B148" t="s">
        <v>15</v>
      </c>
      <c r="C148" s="2">
        <v>44895.300046296303</v>
      </c>
      <c r="D148">
        <v>1</v>
      </c>
      <c r="E148">
        <v>0</v>
      </c>
      <c r="G148" t="s">
        <v>205</v>
      </c>
      <c r="L148">
        <v>0</v>
      </c>
      <c r="M148">
        <v>0</v>
      </c>
      <c r="N148">
        <v>1</v>
      </c>
      <c r="O148">
        <v>0</v>
      </c>
    </row>
    <row r="149" spans="1:15" x14ac:dyDescent="0.2">
      <c r="A149" s="1" t="str">
        <f>HYPERLINK("http://www.twitter.com/banuakdenizli/status/1597673696814329856", "1597673696814329856")</f>
        <v>1597673696814329856</v>
      </c>
      <c r="B149" t="s">
        <v>15</v>
      </c>
      <c r="C149" s="2">
        <v>44894.810960648138</v>
      </c>
      <c r="D149">
        <v>0</v>
      </c>
      <c r="E149">
        <v>1</v>
      </c>
      <c r="F149" t="s">
        <v>177</v>
      </c>
      <c r="G149" t="s">
        <v>206</v>
      </c>
      <c r="L149">
        <v>0</v>
      </c>
      <c r="M149">
        <v>0</v>
      </c>
      <c r="N149">
        <v>1</v>
      </c>
      <c r="O149">
        <v>0</v>
      </c>
    </row>
    <row r="150" spans="1:15" x14ac:dyDescent="0.2">
      <c r="A150" s="1" t="str">
        <f>HYPERLINK("http://www.twitter.com/banuakdenizli/status/1597452953094606850", "1597452953094606850")</f>
        <v>1597452953094606850</v>
      </c>
      <c r="B150" t="s">
        <v>15</v>
      </c>
      <c r="C150" s="2">
        <v>44894.201817129629</v>
      </c>
      <c r="D150">
        <v>16</v>
      </c>
      <c r="E150">
        <v>0</v>
      </c>
      <c r="G150" t="s">
        <v>207</v>
      </c>
      <c r="H150" t="str">
        <f>HYPERLINK("http://pbs.twimg.com/media/FitK_rQWIAEVWgW.jpg", "http://pbs.twimg.com/media/FitK_rQWIAEVWgW.jpg")</f>
        <v>http://pbs.twimg.com/media/FitK_rQWIAEVWgW.jpg</v>
      </c>
      <c r="L150">
        <v>0</v>
      </c>
      <c r="M150">
        <v>0</v>
      </c>
      <c r="N150">
        <v>1</v>
      </c>
      <c r="O150">
        <v>0</v>
      </c>
    </row>
    <row r="151" spans="1:15" x14ac:dyDescent="0.2">
      <c r="A151" s="1" t="str">
        <f>HYPERLINK("http://www.twitter.com/banuakdenizli/status/1596875380681764866", "1596875380681764866")</f>
        <v>1596875380681764866</v>
      </c>
      <c r="B151" t="s">
        <v>15</v>
      </c>
      <c r="C151" s="2">
        <v>44892.608020833337</v>
      </c>
      <c r="D151">
        <v>2</v>
      </c>
      <c r="E151">
        <v>1</v>
      </c>
      <c r="G151" t="s">
        <v>208</v>
      </c>
      <c r="L151">
        <v>-0.52669999999999995</v>
      </c>
      <c r="M151">
        <v>9.0999999999999998E-2</v>
      </c>
      <c r="N151">
        <v>0.90900000000000003</v>
      </c>
      <c r="O151">
        <v>0</v>
      </c>
    </row>
    <row r="152" spans="1:15" x14ac:dyDescent="0.2">
      <c r="A152" s="1" t="str">
        <f>HYPERLINK("http://www.twitter.com/banuakdenizli/status/1596874621332004864", "1596874621332004864")</f>
        <v>1596874621332004864</v>
      </c>
      <c r="B152" t="s">
        <v>15</v>
      </c>
      <c r="C152" s="2">
        <v>44892.605925925927</v>
      </c>
      <c r="D152">
        <v>0</v>
      </c>
      <c r="E152">
        <v>4</v>
      </c>
      <c r="F152" t="s">
        <v>209</v>
      </c>
      <c r="G152" t="s">
        <v>210</v>
      </c>
      <c r="H152" t="str">
        <f>HYPERLINK("http://pbs.twimg.com/media/Fik6ssxXkAIf9MZ.jpg", "http://pbs.twimg.com/media/Fik6ssxXkAIf9MZ.jpg")</f>
        <v>http://pbs.twimg.com/media/Fik6ssxXkAIf9MZ.jpg</v>
      </c>
      <c r="L152">
        <v>0</v>
      </c>
      <c r="M152">
        <v>0</v>
      </c>
      <c r="N152">
        <v>1</v>
      </c>
      <c r="O152">
        <v>0</v>
      </c>
    </row>
    <row r="153" spans="1:15" x14ac:dyDescent="0.2">
      <c r="A153" s="1" t="str">
        <f>HYPERLINK("http://www.twitter.com/banuakdenizli/status/1596869142300483585", "1596869142300483585")</f>
        <v>1596869142300483585</v>
      </c>
      <c r="B153" t="s">
        <v>15</v>
      </c>
      <c r="C153" s="2">
        <v>44892.590810185182</v>
      </c>
      <c r="D153">
        <v>4</v>
      </c>
      <c r="E153">
        <v>3</v>
      </c>
      <c r="G153" t="s">
        <v>211</v>
      </c>
      <c r="H153" t="str">
        <f>HYPERLINK("http://pbs.twimg.com/media/Fik4AvXXwAExAQy.jpg", "http://pbs.twimg.com/media/Fik4AvXXwAExAQy.jpg")</f>
        <v>http://pbs.twimg.com/media/Fik4AvXXwAExAQy.jpg</v>
      </c>
      <c r="L153">
        <v>0</v>
      </c>
      <c r="M153">
        <v>0</v>
      </c>
      <c r="N153">
        <v>1</v>
      </c>
      <c r="O153">
        <v>0</v>
      </c>
    </row>
    <row r="154" spans="1:15" x14ac:dyDescent="0.2">
      <c r="A154" s="1" t="str">
        <f>HYPERLINK("http://www.twitter.com/banuakdenizli/status/1596868410427641856", "1596868410427641856")</f>
        <v>1596868410427641856</v>
      </c>
      <c r="B154" t="s">
        <v>15</v>
      </c>
      <c r="C154" s="2">
        <v>44892.588796296302</v>
      </c>
      <c r="D154">
        <v>4</v>
      </c>
      <c r="E154">
        <v>1</v>
      </c>
      <c r="G154" t="s">
        <v>212</v>
      </c>
      <c r="H154" t="str">
        <f>HYPERLINK("http://pbs.twimg.com/media/Fik3V51XgAEEqdD.jpg", "http://pbs.twimg.com/media/Fik3V51XgAEEqdD.jpg")</f>
        <v>http://pbs.twimg.com/media/Fik3V51XgAEEqdD.jpg</v>
      </c>
      <c r="L154">
        <v>0</v>
      </c>
      <c r="M154">
        <v>0</v>
      </c>
      <c r="N154">
        <v>1</v>
      </c>
      <c r="O154">
        <v>0</v>
      </c>
    </row>
    <row r="155" spans="1:15" x14ac:dyDescent="0.2">
      <c r="A155" s="1" t="str">
        <f>HYPERLINK("http://www.twitter.com/banuakdenizli/status/1596867574649667584", "1596867574649667584")</f>
        <v>1596867574649667584</v>
      </c>
      <c r="B155" t="s">
        <v>15</v>
      </c>
      <c r="C155" s="2">
        <v>44892.586481481478</v>
      </c>
      <c r="D155">
        <v>6</v>
      </c>
      <c r="E155">
        <v>3</v>
      </c>
      <c r="G155" t="s">
        <v>213</v>
      </c>
      <c r="H155" t="str">
        <f>HYPERLINK("http://pbs.twimg.com/media/Fik2ljvXgAEPhU0.jpg", "http://pbs.twimg.com/media/Fik2ljvXgAEPhU0.jpg")</f>
        <v>http://pbs.twimg.com/media/Fik2ljvXgAEPhU0.jpg</v>
      </c>
      <c r="L155">
        <v>-0.38179999999999997</v>
      </c>
      <c r="M155">
        <v>0.11</v>
      </c>
      <c r="N155">
        <v>0.89</v>
      </c>
      <c r="O155">
        <v>0</v>
      </c>
    </row>
    <row r="156" spans="1:15" x14ac:dyDescent="0.2">
      <c r="A156" s="1" t="str">
        <f>HYPERLINK("http://www.twitter.com/banuakdenizli/status/1596866945256951810", "1596866945256951810")</f>
        <v>1596866945256951810</v>
      </c>
      <c r="B156" t="s">
        <v>15</v>
      </c>
      <c r="C156" s="2">
        <v>44892.584745370368</v>
      </c>
      <c r="D156">
        <v>5</v>
      </c>
      <c r="E156">
        <v>4</v>
      </c>
      <c r="G156" t="s">
        <v>214</v>
      </c>
      <c r="H156" t="str">
        <f>HYPERLINK("http://pbs.twimg.com/media/Fik1_JtXEAEq0gw.jpg", "http://pbs.twimg.com/media/Fik1_JtXEAEq0gw.jpg")</f>
        <v>http://pbs.twimg.com/media/Fik1_JtXEAEq0gw.jpg</v>
      </c>
      <c r="I156" t="str">
        <f>HYPERLINK("http://pbs.twimg.com/media/Fik2ABHWIAAD-h6.jpg", "http://pbs.twimg.com/media/Fik2ABHWIAAD-h6.jpg")</f>
        <v>http://pbs.twimg.com/media/Fik2ABHWIAAD-h6.jpg</v>
      </c>
      <c r="J156" t="str">
        <f>HYPERLINK("http://pbs.twimg.com/media/Fik2A_RXgAEFqUr.jpg", "http://pbs.twimg.com/media/Fik2A_RXgAEFqUr.jpg")</f>
        <v>http://pbs.twimg.com/media/Fik2A_RXgAEFqUr.jpg</v>
      </c>
      <c r="L156">
        <v>0.59040000000000004</v>
      </c>
      <c r="M156">
        <v>0</v>
      </c>
      <c r="N156">
        <v>0.85699999999999998</v>
      </c>
      <c r="O156">
        <v>0.14299999999999999</v>
      </c>
    </row>
    <row r="157" spans="1:15" x14ac:dyDescent="0.2">
      <c r="A157" s="1" t="str">
        <f>HYPERLINK("http://www.twitter.com/banuakdenizli/status/1596866938029846529", "1596866938029846529")</f>
        <v>1596866938029846529</v>
      </c>
      <c r="B157" t="s">
        <v>15</v>
      </c>
      <c r="C157" s="2">
        <v>44892.584733796299</v>
      </c>
      <c r="D157">
        <v>0</v>
      </c>
      <c r="E157">
        <v>59</v>
      </c>
      <c r="F157" t="s">
        <v>24</v>
      </c>
      <c r="G157" t="s">
        <v>215</v>
      </c>
      <c r="H157" t="str">
        <f>HYPERLINK("http://pbs.twimg.com/media/Fiksv9nXEAAB5rT.jpg", "http://pbs.twimg.com/media/Fiksv9nXEAAB5rT.jpg")</f>
        <v>http://pbs.twimg.com/media/Fiksv9nXEAAB5rT.jpg</v>
      </c>
      <c r="L157">
        <v>0</v>
      </c>
      <c r="M157">
        <v>0</v>
      </c>
      <c r="N157">
        <v>1</v>
      </c>
      <c r="O157">
        <v>0</v>
      </c>
    </row>
    <row r="158" spans="1:15" x14ac:dyDescent="0.2">
      <c r="A158" s="1" t="str">
        <f>HYPERLINK("http://www.twitter.com/banuakdenizli/status/1596795008492806144", "1596795008492806144")</f>
        <v>1596795008492806144</v>
      </c>
      <c r="B158" t="s">
        <v>15</v>
      </c>
      <c r="C158" s="2">
        <v>44892.386238425926</v>
      </c>
      <c r="D158">
        <v>6</v>
      </c>
      <c r="E158">
        <v>2</v>
      </c>
      <c r="G158" t="s">
        <v>216</v>
      </c>
      <c r="H158" t="str">
        <f>HYPERLINK("http://pbs.twimg.com/media/Fij0lfvXEAAmIwp.jpg", "http://pbs.twimg.com/media/Fij0lfvXEAAmIwp.jpg")</f>
        <v>http://pbs.twimg.com/media/Fij0lfvXEAAmIwp.jpg</v>
      </c>
      <c r="L158">
        <v>0</v>
      </c>
      <c r="M158">
        <v>0</v>
      </c>
      <c r="N158">
        <v>1</v>
      </c>
      <c r="O158">
        <v>0</v>
      </c>
    </row>
    <row r="159" spans="1:15" x14ac:dyDescent="0.2">
      <c r="A159" s="1" t="str">
        <f>HYPERLINK("http://www.twitter.com/banuakdenizli/status/1596781764395298818", "1596781764395298818")</f>
        <v>1596781764395298818</v>
      </c>
      <c r="B159" t="s">
        <v>15</v>
      </c>
      <c r="C159" s="2">
        <v>44892.349699074082</v>
      </c>
      <c r="D159">
        <v>5</v>
      </c>
      <c r="E159">
        <v>2</v>
      </c>
      <c r="G159" t="s">
        <v>217</v>
      </c>
      <c r="H159" t="str">
        <f>HYPERLINK("http://pbs.twimg.com/media/Fijoit3XEAExutB.jpg", "http://pbs.twimg.com/media/Fijoit3XEAExutB.jpg")</f>
        <v>http://pbs.twimg.com/media/Fijoit3XEAExutB.jpg</v>
      </c>
      <c r="L159">
        <v>0</v>
      </c>
      <c r="M159">
        <v>0</v>
      </c>
      <c r="N159">
        <v>1</v>
      </c>
      <c r="O159">
        <v>0</v>
      </c>
    </row>
    <row r="160" spans="1:15" x14ac:dyDescent="0.2">
      <c r="A160" s="1" t="str">
        <f>HYPERLINK("http://www.twitter.com/banuakdenizli/status/1596776740906467330", "1596776740906467330")</f>
        <v>1596776740906467330</v>
      </c>
      <c r="B160" t="s">
        <v>15</v>
      </c>
      <c r="C160" s="2">
        <v>44892.335833333331</v>
      </c>
      <c r="D160">
        <v>19</v>
      </c>
      <c r="E160">
        <v>4</v>
      </c>
      <c r="G160" t="s">
        <v>218</v>
      </c>
      <c r="H160" t="str">
        <f>HYPERLINK("http://pbs.twimg.com/media/Fijj83KWIAY3A5I.jpg", "http://pbs.twimg.com/media/Fijj83KWIAY3A5I.jpg")</f>
        <v>http://pbs.twimg.com/media/Fijj83KWIAY3A5I.jpg</v>
      </c>
      <c r="I160" t="str">
        <f>HYPERLINK("http://pbs.twimg.com/media/Fijj9nmXwAIp0lT.jpg", "http://pbs.twimg.com/media/Fijj9nmXwAIp0lT.jpg")</f>
        <v>http://pbs.twimg.com/media/Fijj9nmXwAIp0lT.jpg</v>
      </c>
      <c r="J160" t="str">
        <f>HYPERLINK("http://pbs.twimg.com/media/Fijj-T-WQAEZ5RW.jpg", "http://pbs.twimg.com/media/Fijj-T-WQAEZ5RW.jpg")</f>
        <v>http://pbs.twimg.com/media/Fijj-T-WQAEZ5RW.jpg</v>
      </c>
      <c r="L160">
        <v>0</v>
      </c>
      <c r="M160">
        <v>0</v>
      </c>
      <c r="N160">
        <v>1</v>
      </c>
      <c r="O160">
        <v>0</v>
      </c>
    </row>
    <row r="161" spans="1:15" x14ac:dyDescent="0.2">
      <c r="A161" s="1" t="str">
        <f>HYPERLINK("http://www.twitter.com/banuakdenizli/status/1596771958829748224", "1596771958829748224")</f>
        <v>1596771958829748224</v>
      </c>
      <c r="B161" t="s">
        <v>15</v>
      </c>
      <c r="C161" s="2">
        <v>44892.322638888887</v>
      </c>
      <c r="D161">
        <v>2</v>
      </c>
      <c r="E161">
        <v>1</v>
      </c>
      <c r="G161" t="s">
        <v>219</v>
      </c>
      <c r="H161" t="str">
        <f>HYPERLINK("https://video.twimg.com/ext_tw_video/1596771856836694017/pu/vid/848x480/zHO7sucdhKk0j9mv.mp4?tag=12", "https://video.twimg.com/ext_tw_video/1596771856836694017/pu/vid/848x480/zHO7sucdhKk0j9mv.mp4?tag=12")</f>
        <v>https://video.twimg.com/ext_tw_video/1596771856836694017/pu/vid/848x480/zHO7sucdhKk0j9mv.mp4?tag=12</v>
      </c>
      <c r="L161">
        <v>0</v>
      </c>
      <c r="M161">
        <v>0</v>
      </c>
      <c r="N161">
        <v>1</v>
      </c>
      <c r="O161">
        <v>0</v>
      </c>
    </row>
    <row r="162" spans="1:15" x14ac:dyDescent="0.2">
      <c r="A162" s="1" t="str">
        <f>HYPERLINK("http://www.twitter.com/banuakdenizli/status/1596639698541477888", "1596639698541477888")</f>
        <v>1596639698541477888</v>
      </c>
      <c r="B162" t="s">
        <v>15</v>
      </c>
      <c r="C162" s="2">
        <v>44891.957662037043</v>
      </c>
      <c r="D162">
        <v>0</v>
      </c>
      <c r="E162">
        <v>527</v>
      </c>
      <c r="F162" t="s">
        <v>22</v>
      </c>
      <c r="G162" t="s">
        <v>220</v>
      </c>
      <c r="L162">
        <v>0</v>
      </c>
      <c r="M162">
        <v>0</v>
      </c>
      <c r="N162">
        <v>1</v>
      </c>
      <c r="O162">
        <v>0</v>
      </c>
    </row>
    <row r="163" spans="1:15" x14ac:dyDescent="0.2">
      <c r="A163" s="1" t="str">
        <f>HYPERLINK("http://www.twitter.com/banuakdenizli/status/1596639418965962752", "1596639418965962752")</f>
        <v>1596639418965962752</v>
      </c>
      <c r="B163" t="s">
        <v>15</v>
      </c>
      <c r="C163" s="2">
        <v>44891.95689814815</v>
      </c>
      <c r="D163">
        <v>0</v>
      </c>
      <c r="E163">
        <v>49</v>
      </c>
      <c r="F163" t="s">
        <v>24</v>
      </c>
      <c r="G163" t="s">
        <v>221</v>
      </c>
      <c r="H163" t="str">
        <f>HYPERLINK("http://pbs.twimg.com/media/FihTvLYXEAAqab3.jpg", "http://pbs.twimg.com/media/FihTvLYXEAAqab3.jpg")</f>
        <v>http://pbs.twimg.com/media/FihTvLYXEAAqab3.jpg</v>
      </c>
      <c r="I163" t="str">
        <f>HYPERLINK("http://pbs.twimg.com/media/FihTvLWXgAAOPMm.jpg", "http://pbs.twimg.com/media/FihTvLWXgAAOPMm.jpg")</f>
        <v>http://pbs.twimg.com/media/FihTvLWXgAAOPMm.jpg</v>
      </c>
      <c r="J163" t="str">
        <f>HYPERLINK("http://pbs.twimg.com/media/FihTvLdX0AAj5j7.jpg", "http://pbs.twimg.com/media/FihTvLdX0AAj5j7.jpg")</f>
        <v>http://pbs.twimg.com/media/FihTvLdX0AAj5j7.jpg</v>
      </c>
      <c r="K163" t="str">
        <f>HYPERLINK("http://pbs.twimg.com/media/FihTvLXXEAIv3oA.jpg", "http://pbs.twimg.com/media/FihTvLXXEAIv3oA.jpg")</f>
        <v>http://pbs.twimg.com/media/FihTvLXXEAIv3oA.jpg</v>
      </c>
      <c r="L163">
        <v>0</v>
      </c>
      <c r="M163">
        <v>0</v>
      </c>
      <c r="N163">
        <v>1</v>
      </c>
      <c r="O163">
        <v>0</v>
      </c>
    </row>
    <row r="164" spans="1:15" x14ac:dyDescent="0.2">
      <c r="A164" s="1" t="str">
        <f>HYPERLINK("http://www.twitter.com/banuakdenizli/status/1596630685225189378", "1596630685225189378")</f>
        <v>1596630685225189378</v>
      </c>
      <c r="B164" t="s">
        <v>15</v>
      </c>
      <c r="C164" s="2">
        <v>44891.932789351849</v>
      </c>
      <c r="D164">
        <v>24</v>
      </c>
      <c r="E164">
        <v>4</v>
      </c>
      <c r="G164" t="s">
        <v>222</v>
      </c>
      <c r="H164" t="str">
        <f>HYPERLINK("http://pbs.twimg.com/media/FihfJZqXkAIlJzC.jpg", "http://pbs.twimg.com/media/FihfJZqXkAIlJzC.jpg")</f>
        <v>http://pbs.twimg.com/media/FihfJZqXkAIlJzC.jpg</v>
      </c>
      <c r="L164">
        <v>0</v>
      </c>
      <c r="M164">
        <v>0</v>
      </c>
      <c r="N164">
        <v>1</v>
      </c>
      <c r="O164">
        <v>0</v>
      </c>
    </row>
    <row r="165" spans="1:15" x14ac:dyDescent="0.2">
      <c r="A165" s="1" t="str">
        <f>HYPERLINK("http://www.twitter.com/banuakdenizli/status/1596628337690116097", "1596628337690116097")</f>
        <v>1596628337690116097</v>
      </c>
      <c r="B165" t="s">
        <v>15</v>
      </c>
      <c r="C165" s="2">
        <v>44891.926319444443</v>
      </c>
      <c r="D165">
        <v>0</v>
      </c>
      <c r="E165">
        <v>670</v>
      </c>
      <c r="F165" t="s">
        <v>22</v>
      </c>
      <c r="G165" t="s">
        <v>223</v>
      </c>
      <c r="H165" t="str">
        <f>HYPERLINK("http://pbs.twimg.com/media/FihcxSQXgAIQbsW.jpg", "http://pbs.twimg.com/media/FihcxSQXgAIQbsW.jpg")</f>
        <v>http://pbs.twimg.com/media/FihcxSQXgAIQbsW.jpg</v>
      </c>
      <c r="L165">
        <v>0</v>
      </c>
      <c r="M165">
        <v>0</v>
      </c>
      <c r="N165">
        <v>1</v>
      </c>
      <c r="O165">
        <v>0</v>
      </c>
    </row>
    <row r="166" spans="1:15" x14ac:dyDescent="0.2">
      <c r="A166" s="1" t="str">
        <f>HYPERLINK("http://www.twitter.com/banuakdenizli/status/1596620335356731392", "1596620335356731392")</f>
        <v>1596620335356731392</v>
      </c>
      <c r="B166" t="s">
        <v>15</v>
      </c>
      <c r="C166" s="2">
        <v>44891.904236111113</v>
      </c>
      <c r="D166">
        <v>0</v>
      </c>
      <c r="E166">
        <v>4</v>
      </c>
      <c r="F166" t="s">
        <v>224</v>
      </c>
      <c r="G166" t="s">
        <v>225</v>
      </c>
      <c r="L166">
        <v>0</v>
      </c>
      <c r="M166">
        <v>0</v>
      </c>
      <c r="N166">
        <v>1</v>
      </c>
      <c r="O166">
        <v>0</v>
      </c>
    </row>
    <row r="167" spans="1:15" x14ac:dyDescent="0.2">
      <c r="A167" s="1" t="str">
        <f>HYPERLINK("http://www.twitter.com/banuakdenizli/status/1596620246034546689", "1596620246034546689")</f>
        <v>1596620246034546689</v>
      </c>
      <c r="B167" t="s">
        <v>15</v>
      </c>
      <c r="C167" s="2">
        <v>44891.903993055559</v>
      </c>
      <c r="D167">
        <v>0</v>
      </c>
      <c r="E167">
        <v>155</v>
      </c>
      <c r="F167" t="s">
        <v>226</v>
      </c>
      <c r="G167" t="s">
        <v>227</v>
      </c>
      <c r="H167" t="str">
        <f>HYPERLINK("http://pbs.twimg.com/media/FihSOXoXwAEWP1E.jpg", "http://pbs.twimg.com/media/FihSOXoXwAEWP1E.jpg")</f>
        <v>http://pbs.twimg.com/media/FihSOXoXwAEWP1E.jpg</v>
      </c>
      <c r="L167">
        <v>0.34</v>
      </c>
      <c r="M167">
        <v>0</v>
      </c>
      <c r="N167">
        <v>0.93899999999999995</v>
      </c>
      <c r="O167">
        <v>6.0999999999999999E-2</v>
      </c>
    </row>
    <row r="168" spans="1:15" x14ac:dyDescent="0.2">
      <c r="A168" s="1" t="str">
        <f>HYPERLINK("http://www.twitter.com/banuakdenizli/status/1596616502626557952", "1596616502626557952")</f>
        <v>1596616502626557952</v>
      </c>
      <c r="B168" t="s">
        <v>15</v>
      </c>
      <c r="C168" s="2">
        <v>44891.893657407411</v>
      </c>
      <c r="D168">
        <v>0</v>
      </c>
      <c r="E168">
        <v>3</v>
      </c>
      <c r="F168" t="s">
        <v>228</v>
      </c>
      <c r="G168" t="s">
        <v>229</v>
      </c>
      <c r="L168">
        <v>0</v>
      </c>
      <c r="M168">
        <v>0</v>
      </c>
      <c r="N168">
        <v>1</v>
      </c>
      <c r="O168">
        <v>0</v>
      </c>
    </row>
    <row r="169" spans="1:15" x14ac:dyDescent="0.2">
      <c r="A169" s="1" t="str">
        <f>HYPERLINK("http://www.twitter.com/banuakdenizli/status/1596615868846309382", "1596615868846309382")</f>
        <v>1596615868846309382</v>
      </c>
      <c r="B169" t="s">
        <v>15</v>
      </c>
      <c r="C169" s="2">
        <v>44891.891909722217</v>
      </c>
      <c r="D169">
        <v>0</v>
      </c>
      <c r="E169">
        <v>3564</v>
      </c>
      <c r="F169" t="s">
        <v>28</v>
      </c>
      <c r="G169" t="s">
        <v>230</v>
      </c>
      <c r="H169" t="str">
        <f>HYPERLINK("http://pbs.twimg.com/media/FihLcwzX0A0d4il.jpg", "http://pbs.twimg.com/media/FihLcwzX0A0d4il.jpg")</f>
        <v>http://pbs.twimg.com/media/FihLcwzX0A0d4il.jpg</v>
      </c>
      <c r="L169">
        <v>0</v>
      </c>
      <c r="M169">
        <v>0</v>
      </c>
      <c r="N169">
        <v>1</v>
      </c>
      <c r="O169">
        <v>0</v>
      </c>
    </row>
    <row r="170" spans="1:15" x14ac:dyDescent="0.2">
      <c r="A170" s="1" t="str">
        <f>HYPERLINK("http://www.twitter.com/banuakdenizli/status/1596615842409877505", "1596615842409877505")</f>
        <v>1596615842409877505</v>
      </c>
      <c r="B170" t="s">
        <v>15</v>
      </c>
      <c r="C170" s="2">
        <v>44891.891840277778</v>
      </c>
      <c r="D170">
        <v>0</v>
      </c>
      <c r="E170">
        <v>7060</v>
      </c>
      <c r="F170" t="s">
        <v>22</v>
      </c>
      <c r="G170" t="s">
        <v>231</v>
      </c>
      <c r="H170" t="str">
        <f>HYPERLINK("http://pbs.twimg.com/media/FihKAbNXoAAOkNa.jpg", "http://pbs.twimg.com/media/FihKAbNXoAAOkNa.jpg")</f>
        <v>http://pbs.twimg.com/media/FihKAbNXoAAOkNa.jpg</v>
      </c>
      <c r="L170">
        <v>0</v>
      </c>
      <c r="M170">
        <v>0</v>
      </c>
      <c r="N170">
        <v>1</v>
      </c>
      <c r="O170">
        <v>0</v>
      </c>
    </row>
    <row r="171" spans="1:15" x14ac:dyDescent="0.2">
      <c r="A171" s="1" t="str">
        <f>HYPERLINK("http://www.twitter.com/banuakdenizli/status/1596615823422259200", "1596615823422259200")</f>
        <v>1596615823422259200</v>
      </c>
      <c r="B171" t="s">
        <v>15</v>
      </c>
      <c r="C171" s="2">
        <v>44891.891782407409</v>
      </c>
      <c r="D171">
        <v>0</v>
      </c>
      <c r="E171">
        <v>101</v>
      </c>
      <c r="F171" t="s">
        <v>24</v>
      </c>
      <c r="G171" t="s">
        <v>232</v>
      </c>
      <c r="H171" t="str">
        <f>HYPERLINK("http://pbs.twimg.com/media/FihKfaaWYAIs3cu.jpg", "http://pbs.twimg.com/media/FihKfaaWYAIs3cu.jpg")</f>
        <v>http://pbs.twimg.com/media/FihKfaaWYAIs3cu.jpg</v>
      </c>
      <c r="L171">
        <v>0</v>
      </c>
      <c r="M171">
        <v>0</v>
      </c>
      <c r="N171">
        <v>1</v>
      </c>
      <c r="O171">
        <v>0</v>
      </c>
    </row>
    <row r="172" spans="1:15" x14ac:dyDescent="0.2">
      <c r="A172" s="1" t="str">
        <f>HYPERLINK("http://www.twitter.com/banuakdenizli/status/1596615704945774592", "1596615704945774592")</f>
        <v>1596615704945774592</v>
      </c>
      <c r="B172" t="s">
        <v>15</v>
      </c>
      <c r="C172" s="2">
        <v>44891.891458333332</v>
      </c>
      <c r="D172">
        <v>0</v>
      </c>
      <c r="E172">
        <v>5091</v>
      </c>
      <c r="F172" t="s">
        <v>22</v>
      </c>
      <c r="G172" t="s">
        <v>233</v>
      </c>
      <c r="L172">
        <v>0</v>
      </c>
      <c r="M172">
        <v>0</v>
      </c>
      <c r="N172">
        <v>1</v>
      </c>
      <c r="O172">
        <v>0</v>
      </c>
    </row>
    <row r="173" spans="1:15" x14ac:dyDescent="0.2">
      <c r="A173" s="1" t="str">
        <f>HYPERLINK("http://www.twitter.com/banuakdenizli/status/1596615673186328576", "1596615673186328576")</f>
        <v>1596615673186328576</v>
      </c>
      <c r="B173" t="s">
        <v>15</v>
      </c>
      <c r="C173" s="2">
        <v>44891.891365740739</v>
      </c>
      <c r="D173">
        <v>0</v>
      </c>
      <c r="E173">
        <v>3406</v>
      </c>
      <c r="F173" t="s">
        <v>28</v>
      </c>
      <c r="G173" t="s">
        <v>234</v>
      </c>
      <c r="H173" t="str">
        <f>HYPERLINK("http://pbs.twimg.com/media/FihPVb9WYAAQfQR.jpg", "http://pbs.twimg.com/media/FihPVb9WYAAQfQR.jpg")</f>
        <v>http://pbs.twimg.com/media/FihPVb9WYAAQfQR.jpg</v>
      </c>
      <c r="L173">
        <v>0</v>
      </c>
      <c r="M173">
        <v>0</v>
      </c>
      <c r="N173">
        <v>1</v>
      </c>
      <c r="O173">
        <v>0</v>
      </c>
    </row>
    <row r="174" spans="1:15" x14ac:dyDescent="0.2">
      <c r="A174" s="1" t="str">
        <f>HYPERLINK("http://www.twitter.com/banuakdenizli/status/1596615636553179139", "1596615636553179139")</f>
        <v>1596615636553179139</v>
      </c>
      <c r="B174" t="s">
        <v>15</v>
      </c>
      <c r="C174" s="2">
        <v>44891.891273148147</v>
      </c>
      <c r="D174">
        <v>0</v>
      </c>
      <c r="E174">
        <v>167</v>
      </c>
      <c r="F174" t="s">
        <v>24</v>
      </c>
      <c r="G174" t="s">
        <v>235</v>
      </c>
      <c r="H174" t="str">
        <f>HYPERLINK("http://pbs.twimg.com/media/FihQdkwXwAAto_a.jpg", "http://pbs.twimg.com/media/FihQdkwXwAAto_a.jpg")</f>
        <v>http://pbs.twimg.com/media/FihQdkwXwAAto_a.jpg</v>
      </c>
      <c r="L174">
        <v>0</v>
      </c>
      <c r="M174">
        <v>0</v>
      </c>
      <c r="N174">
        <v>1</v>
      </c>
      <c r="O174">
        <v>0</v>
      </c>
    </row>
    <row r="175" spans="1:15" x14ac:dyDescent="0.2">
      <c r="A175" s="1" t="str">
        <f>HYPERLINK("http://www.twitter.com/banuakdenizli/status/1596615485470171136", "1596615485470171136")</f>
        <v>1596615485470171136</v>
      </c>
      <c r="B175" t="s">
        <v>15</v>
      </c>
      <c r="C175" s="2">
        <v>44891.890856481477</v>
      </c>
      <c r="D175">
        <v>10</v>
      </c>
      <c r="E175">
        <v>0</v>
      </c>
      <c r="G175" t="s">
        <v>236</v>
      </c>
      <c r="L175">
        <v>0</v>
      </c>
      <c r="M175">
        <v>0</v>
      </c>
      <c r="N175">
        <v>1</v>
      </c>
      <c r="O175">
        <v>0</v>
      </c>
    </row>
    <row r="176" spans="1:15" x14ac:dyDescent="0.2">
      <c r="A176" s="1" t="str">
        <f>HYPERLINK("http://www.twitter.com/banuakdenizli/status/1596613958911524865", "1596613958911524865")</f>
        <v>1596613958911524865</v>
      </c>
      <c r="B176" t="s">
        <v>15</v>
      </c>
      <c r="C176" s="2">
        <v>44891.886643518519</v>
      </c>
      <c r="D176">
        <v>0</v>
      </c>
      <c r="E176">
        <v>75</v>
      </c>
      <c r="F176" t="s">
        <v>33</v>
      </c>
      <c r="G176" t="s">
        <v>237</v>
      </c>
      <c r="H176" t="str">
        <f>HYPERLINK("https://video.twimg.com/amplify_video/1596607018575372289/vid/1280x720/ENLQhsAZqBFg5l1p.mp4?tag=14", "https://video.twimg.com/amplify_video/1596607018575372289/vid/1280x720/ENLQhsAZqBFg5l1p.mp4?tag=14")</f>
        <v>https://video.twimg.com/amplify_video/1596607018575372289/vid/1280x720/ENLQhsAZqBFg5l1p.mp4?tag=14</v>
      </c>
      <c r="L176">
        <v>0.40189999999999998</v>
      </c>
      <c r="M176">
        <v>0</v>
      </c>
      <c r="N176">
        <v>0.876</v>
      </c>
      <c r="O176">
        <v>0.124</v>
      </c>
    </row>
    <row r="177" spans="1:15" x14ac:dyDescent="0.2">
      <c r="A177" s="1" t="str">
        <f>HYPERLINK("http://www.twitter.com/banuakdenizli/status/1596613930234875904", "1596613930234875904")</f>
        <v>1596613930234875904</v>
      </c>
      <c r="B177" t="s">
        <v>15</v>
      </c>
      <c r="C177" s="2">
        <v>44891.886562500003</v>
      </c>
      <c r="D177">
        <v>0</v>
      </c>
      <c r="E177">
        <v>962</v>
      </c>
      <c r="F177" t="s">
        <v>28</v>
      </c>
      <c r="G177" t="s">
        <v>238</v>
      </c>
      <c r="H177" t="str">
        <f>HYPERLINK("http://pbs.twimg.com/amplify_video_thumb/1596607280602312704/img/4J5wk8SB7FukM_lZ.jpg", "http://pbs.twimg.com/amplify_video_thumb/1596607280602312704/img/4J5wk8SB7FukM_lZ.jpg")</f>
        <v>http://pbs.twimg.com/amplify_video_thumb/1596607280602312704/img/4J5wk8SB7FukM_lZ.jpg</v>
      </c>
      <c r="L177">
        <v>0</v>
      </c>
      <c r="M177">
        <v>0</v>
      </c>
      <c r="N177">
        <v>1</v>
      </c>
      <c r="O177">
        <v>0</v>
      </c>
    </row>
    <row r="178" spans="1:15" x14ac:dyDescent="0.2">
      <c r="A178" s="1" t="str">
        <f>HYPERLINK("http://www.twitter.com/banuakdenizli/status/1596612216840912896", "1596612216840912896")</f>
        <v>1596612216840912896</v>
      </c>
      <c r="B178" t="s">
        <v>15</v>
      </c>
      <c r="C178" s="2">
        <v>44891.881828703707</v>
      </c>
      <c r="D178">
        <v>6</v>
      </c>
      <c r="E178">
        <v>2</v>
      </c>
      <c r="G178" t="s">
        <v>239</v>
      </c>
      <c r="H178" t="str">
        <f>HYPERLINK("http://pbs.twimg.com/media/FihOWXzXkAAG8VY.jpg", "http://pbs.twimg.com/media/FihOWXzXkAAG8VY.jpg")</f>
        <v>http://pbs.twimg.com/media/FihOWXzXkAAG8VY.jpg</v>
      </c>
      <c r="L178">
        <v>0</v>
      </c>
      <c r="M178">
        <v>0</v>
      </c>
      <c r="N178">
        <v>1</v>
      </c>
      <c r="O178">
        <v>0</v>
      </c>
    </row>
    <row r="179" spans="1:15" x14ac:dyDescent="0.2">
      <c r="A179" s="1" t="str">
        <f>HYPERLINK("http://www.twitter.com/banuakdenizli/status/1596570225310404608", "1596570225310404608")</f>
        <v>1596570225310404608</v>
      </c>
      <c r="B179" t="s">
        <v>15</v>
      </c>
      <c r="C179" s="2">
        <v>44891.765960648147</v>
      </c>
      <c r="D179">
        <v>0</v>
      </c>
      <c r="E179">
        <v>8</v>
      </c>
      <c r="F179" t="s">
        <v>192</v>
      </c>
      <c r="G179" t="s">
        <v>240</v>
      </c>
      <c r="H179" t="str">
        <f>HYPERLINK("https://video.twimg.com/amplify_video/1596569113169641473/vid/1280x720/1XSBEtpYMb9ikVfl.mp4?tag=14", "https://video.twimg.com/amplify_video/1596569113169641473/vid/1280x720/1XSBEtpYMb9ikVfl.mp4?tag=14")</f>
        <v>https://video.twimg.com/amplify_video/1596569113169641473/vid/1280x720/1XSBEtpYMb9ikVfl.mp4?tag=14</v>
      </c>
      <c r="L179">
        <v>0</v>
      </c>
      <c r="M179">
        <v>0</v>
      </c>
      <c r="N179">
        <v>1</v>
      </c>
      <c r="O179">
        <v>0</v>
      </c>
    </row>
    <row r="180" spans="1:15" x14ac:dyDescent="0.2">
      <c r="A180" s="1" t="str">
        <f>HYPERLINK("http://www.twitter.com/banuakdenizli/status/1596563024000999425", "1596563024000999425")</f>
        <v>1596563024000999425</v>
      </c>
      <c r="B180" t="s">
        <v>15</v>
      </c>
      <c r="C180" s="2">
        <v>44891.746087962973</v>
      </c>
      <c r="D180">
        <v>0</v>
      </c>
      <c r="E180">
        <v>210</v>
      </c>
      <c r="F180" t="s">
        <v>24</v>
      </c>
      <c r="G180" t="s">
        <v>241</v>
      </c>
      <c r="H180" t="str">
        <f>HYPERLINK("http://pbs.twimg.com/media/FigWDstWYAcKMCD.jpg", "http://pbs.twimg.com/media/FigWDstWYAcKMCD.jpg")</f>
        <v>http://pbs.twimg.com/media/FigWDstWYAcKMCD.jpg</v>
      </c>
      <c r="I180" t="str">
        <f>HYPERLINK("http://pbs.twimg.com/media/FigWDsvXoAEU09b.jpg", "http://pbs.twimg.com/media/FigWDsvXoAEU09b.jpg")</f>
        <v>http://pbs.twimg.com/media/FigWDsvXoAEU09b.jpg</v>
      </c>
      <c r="J180" t="str">
        <f>HYPERLINK("http://pbs.twimg.com/media/FigWDsqWQAAvT8P.jpg", "http://pbs.twimg.com/media/FigWDsqWQAAvT8P.jpg")</f>
        <v>http://pbs.twimg.com/media/FigWDsqWQAAvT8P.jpg</v>
      </c>
      <c r="K180" t="str">
        <f>HYPERLINK("http://pbs.twimg.com/media/FigWDsuXkAUNmAD.jpg", "http://pbs.twimg.com/media/FigWDsuXkAUNmAD.jpg")</f>
        <v>http://pbs.twimg.com/media/FigWDsuXkAUNmAD.jpg</v>
      </c>
      <c r="L180">
        <v>0</v>
      </c>
      <c r="M180">
        <v>0</v>
      </c>
      <c r="N180">
        <v>1</v>
      </c>
      <c r="O180">
        <v>0</v>
      </c>
    </row>
    <row r="181" spans="1:15" x14ac:dyDescent="0.2">
      <c r="A181" s="1" t="str">
        <f>HYPERLINK("http://www.twitter.com/banuakdenizli/status/1596562987426381827", "1596562987426381827")</f>
        <v>1596562987426381827</v>
      </c>
      <c r="B181" t="s">
        <v>15</v>
      </c>
      <c r="C181" s="2">
        <v>44891.745983796303</v>
      </c>
      <c r="D181">
        <v>0</v>
      </c>
      <c r="E181">
        <v>58</v>
      </c>
      <c r="F181" t="s">
        <v>28</v>
      </c>
      <c r="G181" t="s">
        <v>242</v>
      </c>
      <c r="H181" t="str">
        <f>HYPERLINK("http://pbs.twimg.com/media/FiB38StXEAkGdOW.jpg", "http://pbs.twimg.com/media/FiB38StXEAkGdOW.jpg")</f>
        <v>http://pbs.twimg.com/media/FiB38StXEAkGdOW.jpg</v>
      </c>
      <c r="L181">
        <v>0</v>
      </c>
      <c r="M181">
        <v>0</v>
      </c>
      <c r="N181">
        <v>1</v>
      </c>
      <c r="O181">
        <v>0</v>
      </c>
    </row>
    <row r="182" spans="1:15" x14ac:dyDescent="0.2">
      <c r="A182" s="1" t="str">
        <f>HYPERLINK("http://www.twitter.com/banuakdenizli/status/1596562721969143808", "1596562721969143808")</f>
        <v>1596562721969143808</v>
      </c>
      <c r="B182" t="s">
        <v>15</v>
      </c>
      <c r="C182" s="2">
        <v>44891.745254629634</v>
      </c>
      <c r="D182">
        <v>0</v>
      </c>
      <c r="E182">
        <v>38</v>
      </c>
      <c r="F182" t="s">
        <v>24</v>
      </c>
      <c r="G182" t="s">
        <v>243</v>
      </c>
      <c r="H182" t="str">
        <f>HYPERLINK("https://video.twimg.com/ext_tw_video/1596551589325684736/pu/vid/720x1280/oIVHIP0tG0pvT6I1.mp4?tag=12", "https://video.twimg.com/ext_tw_video/1596551589325684736/pu/vid/720x1280/oIVHIP0tG0pvT6I1.mp4?tag=12")</f>
        <v>https://video.twimg.com/ext_tw_video/1596551589325684736/pu/vid/720x1280/oIVHIP0tG0pvT6I1.mp4?tag=12</v>
      </c>
      <c r="L182">
        <v>0.47670000000000001</v>
      </c>
      <c r="M182">
        <v>0</v>
      </c>
      <c r="N182">
        <v>0.84599999999999997</v>
      </c>
      <c r="O182">
        <v>0.154</v>
      </c>
    </row>
    <row r="183" spans="1:15" x14ac:dyDescent="0.2">
      <c r="A183" s="1" t="str">
        <f>HYPERLINK("http://www.twitter.com/banuakdenizli/status/1596550636367224834", "1596550636367224834")</f>
        <v>1596550636367224834</v>
      </c>
      <c r="B183" t="s">
        <v>15</v>
      </c>
      <c r="C183" s="2">
        <v>44891.711898148147</v>
      </c>
      <c r="D183">
        <v>0</v>
      </c>
      <c r="E183">
        <v>0</v>
      </c>
      <c r="G183" t="s">
        <v>244</v>
      </c>
      <c r="H183" t="str">
        <f>HYPERLINK("http://pbs.twimg.com/media/FigWV56X0AIQu_d.jpg", "http://pbs.twimg.com/media/FigWV56X0AIQu_d.jpg")</f>
        <v>http://pbs.twimg.com/media/FigWV56X0AIQu_d.jpg</v>
      </c>
      <c r="L183">
        <v>-0.29599999999999999</v>
      </c>
      <c r="M183">
        <v>0.128</v>
      </c>
      <c r="N183">
        <v>0.872</v>
      </c>
      <c r="O183">
        <v>0</v>
      </c>
    </row>
    <row r="184" spans="1:15" x14ac:dyDescent="0.2">
      <c r="A184" s="1" t="str">
        <f>HYPERLINK("http://www.twitter.com/banuakdenizli/status/1596410893499174913", "1596410893499174913")</f>
        <v>1596410893499174913</v>
      </c>
      <c r="B184" t="s">
        <v>15</v>
      </c>
      <c r="C184" s="2">
        <v>44891.326284722221</v>
      </c>
      <c r="D184">
        <v>0</v>
      </c>
      <c r="E184">
        <v>1</v>
      </c>
      <c r="F184" t="s">
        <v>245</v>
      </c>
      <c r="G184" t="s">
        <v>246</v>
      </c>
      <c r="H184" t="str">
        <f>HYPERLINK("http://pbs.twimg.com/media/FieB0eyWAAAMKlo.jpg", "http://pbs.twimg.com/media/FieB0eyWAAAMKlo.jpg")</f>
        <v>http://pbs.twimg.com/media/FieB0eyWAAAMKlo.jpg</v>
      </c>
      <c r="L184">
        <v>0.75790000000000002</v>
      </c>
      <c r="M184">
        <v>0</v>
      </c>
      <c r="N184">
        <v>0.79400000000000004</v>
      </c>
      <c r="O184">
        <v>0.20599999999999999</v>
      </c>
    </row>
    <row r="185" spans="1:15" x14ac:dyDescent="0.2">
      <c r="A185" s="1" t="str">
        <f>HYPERLINK("http://www.twitter.com/banuakdenizli/status/1596410746795352064", "1596410746795352064")</f>
        <v>1596410746795352064</v>
      </c>
      <c r="B185" t="s">
        <v>15</v>
      </c>
      <c r="C185" s="2">
        <v>44891.325879629629</v>
      </c>
      <c r="D185">
        <v>0</v>
      </c>
      <c r="E185">
        <v>4</v>
      </c>
      <c r="F185" t="s">
        <v>245</v>
      </c>
      <c r="G185" t="s">
        <v>247</v>
      </c>
      <c r="H185" t="str">
        <f>HYPERLINK("http://pbs.twimg.com/media/FiJvprzWQAACEUh.jpg", "http://pbs.twimg.com/media/FiJvprzWQAACEUh.jpg")</f>
        <v>http://pbs.twimg.com/media/FiJvprzWQAACEUh.jpg</v>
      </c>
      <c r="L185">
        <v>0.20230000000000001</v>
      </c>
      <c r="M185">
        <v>0</v>
      </c>
      <c r="N185">
        <v>0.79500000000000004</v>
      </c>
      <c r="O185">
        <v>0.20499999999999999</v>
      </c>
    </row>
    <row r="186" spans="1:15" x14ac:dyDescent="0.2">
      <c r="A186" s="1" t="str">
        <f>HYPERLINK("http://www.twitter.com/banuakdenizli/status/1596376315350769664", "1596376315350769664")</f>
        <v>1596376315350769664</v>
      </c>
      <c r="B186" t="s">
        <v>15</v>
      </c>
      <c r="C186" s="2">
        <v>44891.230868055558</v>
      </c>
      <c r="D186">
        <v>20</v>
      </c>
      <c r="E186">
        <v>5</v>
      </c>
      <c r="G186" t="s">
        <v>248</v>
      </c>
      <c r="L186">
        <v>0</v>
      </c>
      <c r="M186">
        <v>0</v>
      </c>
      <c r="N186">
        <v>1</v>
      </c>
      <c r="O186">
        <v>0</v>
      </c>
    </row>
    <row r="187" spans="1:15" x14ac:dyDescent="0.2">
      <c r="A187" s="1" t="str">
        <f>HYPERLINK("http://www.twitter.com/banuakdenizli/status/1596375906112925696", "1596375906112925696")</f>
        <v>1596375906112925696</v>
      </c>
      <c r="B187" t="s">
        <v>15</v>
      </c>
      <c r="C187" s="2">
        <v>44891.229733796303</v>
      </c>
      <c r="D187">
        <v>15</v>
      </c>
      <c r="E187">
        <v>3</v>
      </c>
      <c r="G187" t="s">
        <v>249</v>
      </c>
      <c r="L187">
        <v>0</v>
      </c>
      <c r="M187">
        <v>0</v>
      </c>
      <c r="N187">
        <v>1</v>
      </c>
      <c r="O187">
        <v>0</v>
      </c>
    </row>
    <row r="188" spans="1:15" x14ac:dyDescent="0.2">
      <c r="A188" s="1" t="str">
        <f>HYPERLINK("http://www.twitter.com/banuakdenizli/status/1596375547290226691", "1596375547290226691")</f>
        <v>1596375547290226691</v>
      </c>
      <c r="B188" t="s">
        <v>15</v>
      </c>
      <c r="C188" s="2">
        <v>44891.228750000002</v>
      </c>
      <c r="D188">
        <v>46</v>
      </c>
      <c r="E188">
        <v>9</v>
      </c>
      <c r="G188" t="s">
        <v>250</v>
      </c>
      <c r="L188">
        <v>0</v>
      </c>
      <c r="M188">
        <v>0</v>
      </c>
      <c r="N188">
        <v>1</v>
      </c>
      <c r="O188">
        <v>0</v>
      </c>
    </row>
    <row r="189" spans="1:15" x14ac:dyDescent="0.2">
      <c r="A189" s="1" t="str">
        <f>HYPERLINK("http://www.twitter.com/banuakdenizli/status/1596219555516391426", "1596219555516391426")</f>
        <v>1596219555516391426</v>
      </c>
      <c r="B189" t="s">
        <v>15</v>
      </c>
      <c r="C189" s="2">
        <v>44890.798298611109</v>
      </c>
      <c r="D189">
        <v>1</v>
      </c>
      <c r="E189">
        <v>0</v>
      </c>
      <c r="G189" t="s">
        <v>251</v>
      </c>
      <c r="H189" t="str">
        <f>HYPERLINK("https://video.twimg.com/ext_tw_video/1596219477275906048/pu/vid/848x480/XJ762p6aRyHwV3pH.mp4?tag=12", "https://video.twimg.com/ext_tw_video/1596219477275906048/pu/vid/848x480/XJ762p6aRyHwV3pH.mp4?tag=12")</f>
        <v>https://video.twimg.com/ext_tw_video/1596219477275906048/pu/vid/848x480/XJ762p6aRyHwV3pH.mp4?tag=12</v>
      </c>
      <c r="L189">
        <v>0</v>
      </c>
      <c r="M189">
        <v>0</v>
      </c>
      <c r="N189">
        <v>1</v>
      </c>
      <c r="O189">
        <v>0</v>
      </c>
    </row>
    <row r="190" spans="1:15" x14ac:dyDescent="0.2">
      <c r="A190" s="1" t="str">
        <f>HYPERLINK("http://www.twitter.com/banuakdenizli/status/1596206668282761216", "1596206668282761216")</f>
        <v>1596206668282761216</v>
      </c>
      <c r="B190" t="s">
        <v>15</v>
      </c>
      <c r="C190" s="2">
        <v>44890.762731481482</v>
      </c>
      <c r="D190">
        <v>8</v>
      </c>
      <c r="E190">
        <v>3</v>
      </c>
      <c r="G190" t="s">
        <v>252</v>
      </c>
      <c r="L190">
        <v>0</v>
      </c>
      <c r="M190">
        <v>0</v>
      </c>
      <c r="N190">
        <v>1</v>
      </c>
      <c r="O190">
        <v>0</v>
      </c>
    </row>
    <row r="191" spans="1:15" x14ac:dyDescent="0.2">
      <c r="A191" s="1" t="str">
        <f>HYPERLINK("http://www.twitter.com/banuakdenizli/status/1596176439140835338", "1596176439140835338")</f>
        <v>1596176439140835338</v>
      </c>
      <c r="B191" t="s">
        <v>15</v>
      </c>
      <c r="C191" s="2">
        <v>44890.67931712963</v>
      </c>
      <c r="D191">
        <v>7</v>
      </c>
      <c r="E191">
        <v>3</v>
      </c>
      <c r="G191" t="s">
        <v>253</v>
      </c>
      <c r="H191" t="str">
        <f>HYPERLINK("http://pbs.twimg.com/media/FibCAVYXkAYHxZb.jpg", "http://pbs.twimg.com/media/FibCAVYXkAYHxZb.jpg")</f>
        <v>http://pbs.twimg.com/media/FibCAVYXkAYHxZb.jpg</v>
      </c>
      <c r="L191">
        <v>-0.43890000000000001</v>
      </c>
      <c r="M191">
        <v>7.8E-2</v>
      </c>
      <c r="N191">
        <v>0.92200000000000004</v>
      </c>
      <c r="O191">
        <v>0</v>
      </c>
    </row>
    <row r="192" spans="1:15" x14ac:dyDescent="0.2">
      <c r="A192" s="1" t="str">
        <f>HYPERLINK("http://www.twitter.com/banuakdenizli/status/1596097838211280896", "1596097838211280896")</f>
        <v>1596097838211280896</v>
      </c>
      <c r="B192" t="s">
        <v>15</v>
      </c>
      <c r="C192" s="2">
        <v>44890.462418981479</v>
      </c>
      <c r="D192">
        <v>0</v>
      </c>
      <c r="E192">
        <v>5</v>
      </c>
      <c r="F192" t="s">
        <v>254</v>
      </c>
      <c r="G192" t="s">
        <v>255</v>
      </c>
      <c r="H192" t="str">
        <f>HYPERLINK("http://pbs.twimg.com/media/FiZuU56XEAUYrbj.jpg", "http://pbs.twimg.com/media/FiZuU56XEAUYrbj.jpg")</f>
        <v>http://pbs.twimg.com/media/FiZuU56XEAUYrbj.jpg</v>
      </c>
      <c r="L192">
        <v>0</v>
      </c>
      <c r="M192">
        <v>0</v>
      </c>
      <c r="N192">
        <v>1</v>
      </c>
      <c r="O192">
        <v>0</v>
      </c>
    </row>
    <row r="193" spans="1:15" x14ac:dyDescent="0.2">
      <c r="A193" s="1" t="str">
        <f>HYPERLINK("http://www.twitter.com/banuakdenizli/status/1595796604526772226", "1595796604526772226")</f>
        <v>1595796604526772226</v>
      </c>
      <c r="B193" t="s">
        <v>15</v>
      </c>
      <c r="C193" s="2">
        <v>44889.631168981483</v>
      </c>
      <c r="D193">
        <v>0</v>
      </c>
      <c r="E193">
        <v>2</v>
      </c>
      <c r="F193" t="s">
        <v>256</v>
      </c>
      <c r="G193" t="s">
        <v>257</v>
      </c>
      <c r="H193" t="str">
        <f>HYPERLINK("http://pbs.twimg.com/media/FiVnbguX0AAaLgz.jpg", "http://pbs.twimg.com/media/FiVnbguX0AAaLgz.jpg")</f>
        <v>http://pbs.twimg.com/media/FiVnbguX0AAaLgz.jpg</v>
      </c>
      <c r="L193">
        <v>0</v>
      </c>
      <c r="M193">
        <v>0</v>
      </c>
      <c r="N193">
        <v>1</v>
      </c>
      <c r="O193">
        <v>0</v>
      </c>
    </row>
    <row r="194" spans="1:15" x14ac:dyDescent="0.2">
      <c r="A194" s="1" t="str">
        <f>HYPERLINK("http://www.twitter.com/banuakdenizli/status/1595789143413604352", "1595789143413604352")</f>
        <v>1595789143413604352</v>
      </c>
      <c r="B194" t="s">
        <v>15</v>
      </c>
      <c r="C194" s="2">
        <v>44889.610578703701</v>
      </c>
      <c r="D194">
        <v>3</v>
      </c>
      <c r="E194">
        <v>2</v>
      </c>
      <c r="G194" t="s">
        <v>258</v>
      </c>
      <c r="H194" t="str">
        <f>HYPERLINK("http://pbs.twimg.com/media/FiVhwxfXwAQaW5B.jpg", "http://pbs.twimg.com/media/FiVhwxfXwAQaW5B.jpg")</f>
        <v>http://pbs.twimg.com/media/FiVhwxfXwAQaW5B.jpg</v>
      </c>
      <c r="L194">
        <v>0</v>
      </c>
      <c r="M194">
        <v>0</v>
      </c>
      <c r="N194">
        <v>1</v>
      </c>
      <c r="O194">
        <v>0</v>
      </c>
    </row>
    <row r="195" spans="1:15" x14ac:dyDescent="0.2">
      <c r="A195" s="1" t="str">
        <f>HYPERLINK("http://www.twitter.com/banuakdenizli/status/1595788062180925442", "1595788062180925442")</f>
        <v>1595788062180925442</v>
      </c>
      <c r="B195" t="s">
        <v>15</v>
      </c>
      <c r="C195" s="2">
        <v>44889.607592592591</v>
      </c>
      <c r="D195">
        <v>0</v>
      </c>
      <c r="E195">
        <v>4110</v>
      </c>
      <c r="F195" t="s">
        <v>27</v>
      </c>
      <c r="G195" t="s">
        <v>259</v>
      </c>
      <c r="H195" t="str">
        <f>HYPERLINK("http://pbs.twimg.com/media/FiVdsc2WAAMc536.jpg", "http://pbs.twimg.com/media/FiVdsc2WAAMc536.jpg")</f>
        <v>http://pbs.twimg.com/media/FiVdsc2WAAMc536.jpg</v>
      </c>
      <c r="I195" t="str">
        <f>HYPERLINK("http://pbs.twimg.com/media/FiVdsu2X0AMvMTA.jpg", "http://pbs.twimg.com/media/FiVdsu2X0AMvMTA.jpg")</f>
        <v>http://pbs.twimg.com/media/FiVdsu2X0AMvMTA.jpg</v>
      </c>
      <c r="L195">
        <v>-0.29599999999999999</v>
      </c>
      <c r="M195">
        <v>0.26800000000000002</v>
      </c>
      <c r="N195">
        <v>0.73199999999999998</v>
      </c>
      <c r="O195">
        <v>0</v>
      </c>
    </row>
    <row r="196" spans="1:15" x14ac:dyDescent="0.2">
      <c r="A196" s="1" t="str">
        <f>HYPERLINK("http://www.twitter.com/banuakdenizli/status/1595787867036549123", "1595787867036549123")</f>
        <v>1595787867036549123</v>
      </c>
      <c r="B196" t="s">
        <v>15</v>
      </c>
      <c r="C196" s="2">
        <v>44889.607060185182</v>
      </c>
      <c r="D196">
        <v>12</v>
      </c>
      <c r="E196">
        <v>3</v>
      </c>
      <c r="G196" t="s">
        <v>260</v>
      </c>
      <c r="H196" t="str">
        <f>HYPERLINK("http://pbs.twimg.com/media/FiVglSzXgAAdi2V.jpg", "http://pbs.twimg.com/media/FiVglSzXgAAdi2V.jpg")</f>
        <v>http://pbs.twimg.com/media/FiVglSzXgAAdi2V.jpg</v>
      </c>
      <c r="I196" t="str">
        <f>HYPERLINK("http://pbs.twimg.com/media/FiVgmBfWQAAY86v.jpg", "http://pbs.twimg.com/media/FiVgmBfWQAAY86v.jpg")</f>
        <v>http://pbs.twimg.com/media/FiVgmBfWQAAY86v.jpg</v>
      </c>
      <c r="J196" t="str">
        <f>HYPERLINK("http://pbs.twimg.com/media/FiVgmr_WIAA4Vae.jpg", "http://pbs.twimg.com/media/FiVgmr_WIAA4Vae.jpg")</f>
        <v>http://pbs.twimg.com/media/FiVgmr_WIAA4Vae.jpg</v>
      </c>
      <c r="L196">
        <v>0</v>
      </c>
      <c r="M196">
        <v>0</v>
      </c>
      <c r="N196">
        <v>1</v>
      </c>
      <c r="O196">
        <v>0</v>
      </c>
    </row>
    <row r="197" spans="1:15" x14ac:dyDescent="0.2">
      <c r="A197" s="1" t="str">
        <f>HYPERLINK("http://www.twitter.com/banuakdenizli/status/1595509524089212948", "1595509524089212948")</f>
        <v>1595509524089212948</v>
      </c>
      <c r="B197" t="s">
        <v>15</v>
      </c>
      <c r="C197" s="2">
        <v>44888.83898148148</v>
      </c>
      <c r="D197">
        <v>1</v>
      </c>
      <c r="E197">
        <v>1</v>
      </c>
      <c r="G197" t="s">
        <v>261</v>
      </c>
      <c r="H197" t="str">
        <f>HYPERLINK("https://video.twimg.com/ext_tw_video/1595509475141685269/pu/vid/480x848/L15i9g7A_UjRH1Hi.mp4?tag=12", "https://video.twimg.com/ext_tw_video/1595509475141685269/pu/vid/480x848/L15i9g7A_UjRH1Hi.mp4?tag=12")</f>
        <v>https://video.twimg.com/ext_tw_video/1595509475141685269/pu/vid/480x848/L15i9g7A_UjRH1Hi.mp4?tag=12</v>
      </c>
      <c r="L197">
        <v>0</v>
      </c>
      <c r="M197">
        <v>0</v>
      </c>
      <c r="N197">
        <v>1</v>
      </c>
      <c r="O197">
        <v>0</v>
      </c>
    </row>
    <row r="198" spans="1:15" x14ac:dyDescent="0.2">
      <c r="A198" s="1" t="str">
        <f>HYPERLINK("http://www.twitter.com/banuakdenizli/status/1595508228464513049", "1595508228464513049")</f>
        <v>1595508228464513049</v>
      </c>
      <c r="B198" t="s">
        <v>15</v>
      </c>
      <c r="C198" s="2">
        <v>44888.835405092592</v>
      </c>
      <c r="D198">
        <v>5</v>
      </c>
      <c r="E198">
        <v>4</v>
      </c>
      <c r="G198" t="s">
        <v>262</v>
      </c>
      <c r="H198" t="str">
        <f>HYPERLINK("https://video.twimg.com/ext_tw_video/1595508182230638592/pu/vid/480x784/omWBn4EfyOhqvVyz.mp4?tag=12", "https://video.twimg.com/ext_tw_video/1595508182230638592/pu/vid/480x784/omWBn4EfyOhqvVyz.mp4?tag=12")</f>
        <v>https://video.twimg.com/ext_tw_video/1595508182230638592/pu/vid/480x784/omWBn4EfyOhqvVyz.mp4?tag=12</v>
      </c>
      <c r="L198">
        <v>0</v>
      </c>
      <c r="M198">
        <v>0</v>
      </c>
      <c r="N198">
        <v>1</v>
      </c>
      <c r="O198">
        <v>0</v>
      </c>
    </row>
    <row r="199" spans="1:15" x14ac:dyDescent="0.2">
      <c r="A199" s="1" t="str">
        <f>HYPERLINK("http://www.twitter.com/banuakdenizli/status/1595499200975970305", "1595499200975970305")</f>
        <v>1595499200975970305</v>
      </c>
      <c r="B199" t="s">
        <v>15</v>
      </c>
      <c r="C199" s="2">
        <v>44888.810497685183</v>
      </c>
      <c r="D199">
        <v>12</v>
      </c>
      <c r="E199">
        <v>2</v>
      </c>
      <c r="G199" t="s">
        <v>263</v>
      </c>
      <c r="H199" t="str">
        <f>HYPERLINK("http://pbs.twimg.com/media/FiRaETCXEA8kjhZ.jpg", "http://pbs.twimg.com/media/FiRaETCXEA8kjhZ.jpg")</f>
        <v>http://pbs.twimg.com/media/FiRaETCXEA8kjhZ.jpg</v>
      </c>
      <c r="L199">
        <v>0</v>
      </c>
      <c r="M199">
        <v>0</v>
      </c>
      <c r="N199">
        <v>1</v>
      </c>
      <c r="O199">
        <v>0</v>
      </c>
    </row>
    <row r="200" spans="1:15" x14ac:dyDescent="0.2">
      <c r="A200" s="1" t="str">
        <f>HYPERLINK("http://www.twitter.com/banuakdenizli/status/1595484357145378836", "1595484357145378836")</f>
        <v>1595484357145378836</v>
      </c>
      <c r="B200" t="s">
        <v>15</v>
      </c>
      <c r="C200" s="2">
        <v>44888.769537037027</v>
      </c>
      <c r="D200">
        <v>0</v>
      </c>
      <c r="E200">
        <v>72</v>
      </c>
      <c r="F200" t="s">
        <v>42</v>
      </c>
      <c r="G200" t="s">
        <v>264</v>
      </c>
      <c r="H200" t="str">
        <f>HYPERLINK("http://pbs.twimg.com/media/FiMemT2WAAAyxmb.jpg", "http://pbs.twimg.com/media/FiMemT2WAAAyxmb.jpg")</f>
        <v>http://pbs.twimg.com/media/FiMemT2WAAAyxmb.jpg</v>
      </c>
      <c r="I200" t="str">
        <f>HYPERLINK("http://pbs.twimg.com/media/FiMemTvWAAI89kt.jpg", "http://pbs.twimg.com/media/FiMemTvWAAI89kt.jpg")</f>
        <v>http://pbs.twimg.com/media/FiMemTvWAAI89kt.jpg</v>
      </c>
      <c r="J200" t="str">
        <f>HYPERLINK("http://pbs.twimg.com/media/FiMemTyWIAAY8Dq.jpg", "http://pbs.twimg.com/media/FiMemTyWIAAY8Dq.jpg")</f>
        <v>http://pbs.twimg.com/media/FiMemTyWIAAY8Dq.jpg</v>
      </c>
      <c r="K200" t="str">
        <f>HYPERLINK("http://pbs.twimg.com/media/FiMemT0XwAAzsKy.jpg", "http://pbs.twimg.com/media/FiMemT0XwAAzsKy.jpg")</f>
        <v>http://pbs.twimg.com/media/FiMemT0XwAAzsKy.jpg</v>
      </c>
      <c r="L200">
        <v>0</v>
      </c>
      <c r="M200">
        <v>0</v>
      </c>
      <c r="N200">
        <v>1</v>
      </c>
      <c r="O200">
        <v>0</v>
      </c>
    </row>
    <row r="201" spans="1:15" x14ac:dyDescent="0.2">
      <c r="A201" s="1" t="str">
        <f>HYPERLINK("http://www.twitter.com/banuakdenizli/status/1595484258101264384", "1595484258101264384")</f>
        <v>1595484258101264384</v>
      </c>
      <c r="B201" t="s">
        <v>15</v>
      </c>
      <c r="C201" s="2">
        <v>44888.769259259258</v>
      </c>
      <c r="D201">
        <v>0</v>
      </c>
      <c r="E201">
        <v>5</v>
      </c>
      <c r="F201" t="s">
        <v>265</v>
      </c>
      <c r="G201" t="s">
        <v>266</v>
      </c>
      <c r="H201" t="str">
        <f>HYPERLINK("https://video.twimg.com/ext_tw_video/1595349009522106368/pu/vid/720x900/wrXbMGnm7nsXtrvX.mp4?tag=12", "https://video.twimg.com/ext_tw_video/1595349009522106368/pu/vid/720x900/wrXbMGnm7nsXtrvX.mp4?tag=12")</f>
        <v>https://video.twimg.com/ext_tw_video/1595349009522106368/pu/vid/720x900/wrXbMGnm7nsXtrvX.mp4?tag=12</v>
      </c>
      <c r="L201">
        <v>0.63600000000000001</v>
      </c>
      <c r="M201">
        <v>0</v>
      </c>
      <c r="N201">
        <v>0.89800000000000002</v>
      </c>
      <c r="O201">
        <v>0.10199999999999999</v>
      </c>
    </row>
    <row r="202" spans="1:15" x14ac:dyDescent="0.2">
      <c r="A202" s="1" t="str">
        <f>HYPERLINK("http://www.twitter.com/banuakdenizli/status/1595353120158404608", "1595353120158404608")</f>
        <v>1595353120158404608</v>
      </c>
      <c r="B202" t="s">
        <v>15</v>
      </c>
      <c r="C202" s="2">
        <v>44888.407384259262</v>
      </c>
      <c r="D202">
        <v>5</v>
      </c>
      <c r="E202">
        <v>2</v>
      </c>
      <c r="G202" t="s">
        <v>267</v>
      </c>
      <c r="H202" t="str">
        <f>HYPERLINK("http://pbs.twimg.com/media/FiPVLBxXwAAvRGj.jpg", "http://pbs.twimg.com/media/FiPVLBxXwAAvRGj.jpg")</f>
        <v>http://pbs.twimg.com/media/FiPVLBxXwAAvRGj.jpg</v>
      </c>
      <c r="I202" t="str">
        <f>HYPERLINK("http://pbs.twimg.com/media/FiPVL8gWIAIIW85.jpg", "http://pbs.twimg.com/media/FiPVL8gWIAIIW85.jpg")</f>
        <v>http://pbs.twimg.com/media/FiPVL8gWIAIIW85.jpg</v>
      </c>
      <c r="J202" t="str">
        <f>HYPERLINK("http://pbs.twimg.com/media/FiPVMwYWYAAS1SC.jpg", "http://pbs.twimg.com/media/FiPVMwYWYAAS1SC.jpg")</f>
        <v>http://pbs.twimg.com/media/FiPVMwYWYAAS1SC.jpg</v>
      </c>
      <c r="L202">
        <v>0</v>
      </c>
      <c r="M202">
        <v>0</v>
      </c>
      <c r="N202">
        <v>1</v>
      </c>
      <c r="O202">
        <v>0</v>
      </c>
    </row>
    <row r="203" spans="1:15" x14ac:dyDescent="0.2">
      <c r="A203" s="1" t="str">
        <f>HYPERLINK("http://www.twitter.com/banuakdenizli/status/1595268524733353992", "1595268524733353992")</f>
        <v>1595268524733353992</v>
      </c>
      <c r="B203" t="s">
        <v>15</v>
      </c>
      <c r="C203" s="2">
        <v>44888.173946759263</v>
      </c>
      <c r="D203">
        <v>0</v>
      </c>
      <c r="E203">
        <v>74</v>
      </c>
      <c r="F203" t="s">
        <v>24</v>
      </c>
      <c r="G203" t="s">
        <v>268</v>
      </c>
      <c r="H203" t="str">
        <f>HYPERLINK("http://pbs.twimg.com/media/FiMYy-zXwBMrXZ1.jpg", "http://pbs.twimg.com/media/FiMYy-zXwBMrXZ1.jpg")</f>
        <v>http://pbs.twimg.com/media/FiMYy-zXwBMrXZ1.jpg</v>
      </c>
      <c r="I203" t="str">
        <f>HYPERLINK("http://pbs.twimg.com/media/FiMYy-oXoAAEI8v.jpg", "http://pbs.twimg.com/media/FiMYy-oXoAAEI8v.jpg")</f>
        <v>http://pbs.twimg.com/media/FiMYy-oXoAAEI8v.jpg</v>
      </c>
      <c r="L203">
        <v>0</v>
      </c>
      <c r="M203">
        <v>0</v>
      </c>
      <c r="N203">
        <v>1</v>
      </c>
      <c r="O203">
        <v>0</v>
      </c>
    </row>
    <row r="204" spans="1:15" x14ac:dyDescent="0.2">
      <c r="A204" s="1" t="str">
        <f>HYPERLINK("http://www.twitter.com/banuakdenizli/status/1595114240050102272", "1595114240050102272")</f>
        <v>1595114240050102272</v>
      </c>
      <c r="B204" t="s">
        <v>15</v>
      </c>
      <c r="C204" s="2">
        <v>44887.748206018521</v>
      </c>
      <c r="D204">
        <v>0</v>
      </c>
      <c r="E204">
        <v>1084</v>
      </c>
      <c r="F204" t="s">
        <v>28</v>
      </c>
      <c r="G204" t="s">
        <v>269</v>
      </c>
      <c r="H204" t="str">
        <f>HYPERLINK("http://pbs.twimg.com/media/FiL7F23XkAUskic.jpg", "http://pbs.twimg.com/media/FiL7F23XkAUskic.jpg")</f>
        <v>http://pbs.twimg.com/media/FiL7F23XkAUskic.jpg</v>
      </c>
      <c r="L204">
        <v>0</v>
      </c>
      <c r="M204">
        <v>0</v>
      </c>
      <c r="N204">
        <v>1</v>
      </c>
      <c r="O204">
        <v>0</v>
      </c>
    </row>
    <row r="205" spans="1:15" x14ac:dyDescent="0.2">
      <c r="A205" s="1" t="str">
        <f>HYPERLINK("http://www.twitter.com/banuakdenizli/status/1595080069881466880", "1595080069881466880")</f>
        <v>1595080069881466880</v>
      </c>
      <c r="B205" t="s">
        <v>15</v>
      </c>
      <c r="C205" s="2">
        <v>44887.653912037043</v>
      </c>
      <c r="D205">
        <v>6</v>
      </c>
      <c r="E205">
        <v>1</v>
      </c>
      <c r="G205" t="s">
        <v>270</v>
      </c>
      <c r="H205" t="str">
        <f>HYPERLINK("http://pbs.twimg.com/media/FiLc3spX0AAmul1.jpg", "http://pbs.twimg.com/media/FiLc3spX0AAmul1.jpg")</f>
        <v>http://pbs.twimg.com/media/FiLc3spX0AAmul1.jpg</v>
      </c>
      <c r="L205">
        <v>0</v>
      </c>
      <c r="M205">
        <v>0</v>
      </c>
      <c r="N205">
        <v>1</v>
      </c>
      <c r="O205">
        <v>0</v>
      </c>
    </row>
    <row r="206" spans="1:15" x14ac:dyDescent="0.2">
      <c r="A206" s="1" t="str">
        <f>HYPERLINK("http://www.twitter.com/banuakdenizli/status/1594902819361931264", "1594902819361931264")</f>
        <v>1594902819361931264</v>
      </c>
      <c r="B206" t="s">
        <v>15</v>
      </c>
      <c r="C206" s="2">
        <v>44887.16479166667</v>
      </c>
      <c r="D206">
        <v>0</v>
      </c>
      <c r="E206">
        <v>7</v>
      </c>
      <c r="F206" t="s">
        <v>19</v>
      </c>
      <c r="G206" t="s">
        <v>271</v>
      </c>
      <c r="H206" t="str">
        <f>HYPERLINK("https://video.twimg.com/ext_tw_video/1594828679175184409/pu/vid/720x720/frXBa67ZRKLTc8ja.mp4?tag=12", "https://video.twimg.com/ext_tw_video/1594828679175184409/pu/vid/720x720/frXBa67ZRKLTc8ja.mp4?tag=12")</f>
        <v>https://video.twimg.com/ext_tw_video/1594828679175184409/pu/vid/720x720/frXBa67ZRKLTc8ja.mp4?tag=12</v>
      </c>
      <c r="L206">
        <v>0</v>
      </c>
      <c r="M206">
        <v>0</v>
      </c>
      <c r="N206">
        <v>1</v>
      </c>
      <c r="O206">
        <v>0</v>
      </c>
    </row>
    <row r="207" spans="1:15" x14ac:dyDescent="0.2">
      <c r="A207" s="1" t="str">
        <f>HYPERLINK("http://www.twitter.com/banuakdenizli/status/1594901102608121856", "1594901102608121856")</f>
        <v>1594901102608121856</v>
      </c>
      <c r="B207" t="s">
        <v>15</v>
      </c>
      <c r="C207" s="2">
        <v>44887.160057870373</v>
      </c>
      <c r="D207">
        <v>0</v>
      </c>
      <c r="E207">
        <v>638</v>
      </c>
      <c r="F207" t="s">
        <v>28</v>
      </c>
      <c r="G207" t="s">
        <v>272</v>
      </c>
      <c r="H207" t="str">
        <f>HYPERLINK("http://pbs.twimg.com/media/FiHEezAXEAoa_va.jpg", "http://pbs.twimg.com/media/FiHEezAXEAoa_va.jpg")</f>
        <v>http://pbs.twimg.com/media/FiHEezAXEAoa_va.jpg</v>
      </c>
      <c r="L207">
        <v>0</v>
      </c>
      <c r="M207">
        <v>0</v>
      </c>
      <c r="N207">
        <v>1</v>
      </c>
      <c r="O207">
        <v>0</v>
      </c>
    </row>
    <row r="208" spans="1:15" x14ac:dyDescent="0.2">
      <c r="A208" s="1" t="str">
        <f>HYPERLINK("http://www.twitter.com/banuakdenizli/status/1594773672757235736", "1594773672757235736")</f>
        <v>1594773672757235736</v>
      </c>
      <c r="B208" t="s">
        <v>15</v>
      </c>
      <c r="C208" s="2">
        <v>44886.80841435185</v>
      </c>
      <c r="D208">
        <v>0</v>
      </c>
      <c r="E208">
        <v>366</v>
      </c>
      <c r="F208" t="s">
        <v>24</v>
      </c>
      <c r="G208" t="s">
        <v>273</v>
      </c>
      <c r="H208" t="str">
        <f>HYPERLINK("https://video.twimg.com/ext_tw_video/1594634211201253380/pu/vid/720x1280/ivJb6guxALwD06jx.mp4?tag=12", "https://video.twimg.com/ext_tw_video/1594634211201253380/pu/vid/720x1280/ivJb6guxALwD06jx.mp4?tag=12")</f>
        <v>https://video.twimg.com/ext_tw_video/1594634211201253380/pu/vid/720x1280/ivJb6guxALwD06jx.mp4?tag=12</v>
      </c>
      <c r="L208">
        <v>0</v>
      </c>
      <c r="M208">
        <v>0</v>
      </c>
      <c r="N208">
        <v>1</v>
      </c>
      <c r="O208">
        <v>0</v>
      </c>
    </row>
    <row r="209" spans="1:15" x14ac:dyDescent="0.2">
      <c r="A209" s="1" t="str">
        <f>HYPERLINK("http://www.twitter.com/banuakdenizli/status/1594765281725140992", "1594765281725140992")</f>
        <v>1594765281725140992</v>
      </c>
      <c r="B209" t="s">
        <v>15</v>
      </c>
      <c r="C209" s="2">
        <v>44886.785266203697</v>
      </c>
      <c r="D209">
        <v>1</v>
      </c>
      <c r="E209">
        <v>0</v>
      </c>
      <c r="G209" t="s">
        <v>274</v>
      </c>
      <c r="L209">
        <v>0</v>
      </c>
      <c r="M209">
        <v>0</v>
      </c>
      <c r="N209">
        <v>1</v>
      </c>
      <c r="O209">
        <v>0</v>
      </c>
    </row>
    <row r="210" spans="1:15" x14ac:dyDescent="0.2">
      <c r="A210" s="1" t="str">
        <f>HYPERLINK("http://www.twitter.com/banuakdenizli/status/1594747366913056769", "1594747366913056769")</f>
        <v>1594747366913056769</v>
      </c>
      <c r="B210" t="s">
        <v>15</v>
      </c>
      <c r="C210" s="2">
        <v>44886.735821759263</v>
      </c>
      <c r="D210">
        <v>18</v>
      </c>
      <c r="E210">
        <v>4</v>
      </c>
      <c r="G210" t="s">
        <v>275</v>
      </c>
      <c r="H210" t="str">
        <f>HYPERLINK("http://pbs.twimg.com/media/FiGuP-3XkAAVnC2.jpg", "http://pbs.twimg.com/media/FiGuP-3XkAAVnC2.jpg")</f>
        <v>http://pbs.twimg.com/media/FiGuP-3XkAAVnC2.jpg</v>
      </c>
      <c r="I210" t="str">
        <f>HYPERLINK("http://pbs.twimg.com/media/FiGuQkOXoAIWo55.jpg", "http://pbs.twimg.com/media/FiGuQkOXoAIWo55.jpg")</f>
        <v>http://pbs.twimg.com/media/FiGuQkOXoAIWo55.jpg</v>
      </c>
      <c r="J210" t="str">
        <f>HYPERLINK("http://pbs.twimg.com/media/FiGuRLgWAAA2_cW.jpg", "http://pbs.twimg.com/media/FiGuRLgWAAA2_cW.jpg")</f>
        <v>http://pbs.twimg.com/media/FiGuRLgWAAA2_cW.jpg</v>
      </c>
      <c r="K210" t="str">
        <f>HYPERLINK("http://pbs.twimg.com/media/FiGuRv5WQAsrThz.jpg", "http://pbs.twimg.com/media/FiGuRv5WQAsrThz.jpg")</f>
        <v>http://pbs.twimg.com/media/FiGuRv5WQAsrThz.jpg</v>
      </c>
      <c r="L210">
        <v>0</v>
      </c>
      <c r="M210">
        <v>0</v>
      </c>
      <c r="N210">
        <v>1</v>
      </c>
      <c r="O210">
        <v>0</v>
      </c>
    </row>
    <row r="211" spans="1:15" x14ac:dyDescent="0.2">
      <c r="A211" s="1" t="str">
        <f>HYPERLINK("http://www.twitter.com/banuakdenizli/status/1594742926164328448", "1594742926164328448")</f>
        <v>1594742926164328448</v>
      </c>
      <c r="B211" t="s">
        <v>15</v>
      </c>
      <c r="C211" s="2">
        <v>44886.723576388889</v>
      </c>
      <c r="D211">
        <v>0</v>
      </c>
      <c r="E211">
        <v>0</v>
      </c>
      <c r="G211" t="s">
        <v>276</v>
      </c>
      <c r="H211" t="str">
        <f>HYPERLINK("http://pbs.twimg.com/media/FiGqPXpX0AUGeU5.jpg", "http://pbs.twimg.com/media/FiGqPXpX0AUGeU5.jpg")</f>
        <v>http://pbs.twimg.com/media/FiGqPXpX0AUGeU5.jpg</v>
      </c>
      <c r="L211">
        <v>0</v>
      </c>
      <c r="M211">
        <v>0</v>
      </c>
      <c r="N211">
        <v>1</v>
      </c>
      <c r="O211">
        <v>0</v>
      </c>
    </row>
    <row r="212" spans="1:15" x14ac:dyDescent="0.2">
      <c r="A212" s="1" t="str">
        <f>HYPERLINK("http://www.twitter.com/banuakdenizli/status/1594726482764791809", "1594726482764791809")</f>
        <v>1594726482764791809</v>
      </c>
      <c r="B212" t="s">
        <v>15</v>
      </c>
      <c r="C212" s="2">
        <v>44886.678194444437</v>
      </c>
      <c r="D212">
        <v>0</v>
      </c>
      <c r="E212">
        <v>81</v>
      </c>
      <c r="F212" t="s">
        <v>22</v>
      </c>
      <c r="G212" t="s">
        <v>277</v>
      </c>
      <c r="H212" t="str">
        <f>HYPERLINK("http://pbs.twimg.com/media/FiFfpjRWAAAds9u.jpg", "http://pbs.twimg.com/media/FiFfpjRWAAAds9u.jpg")</f>
        <v>http://pbs.twimg.com/media/FiFfpjRWAAAds9u.jpg</v>
      </c>
      <c r="I212" t="str">
        <f>HYPERLINK("http://pbs.twimg.com/media/FiFfkQkX0AA1oZG.jpg", "http://pbs.twimg.com/media/FiFfkQkX0AA1oZG.jpg")</f>
        <v>http://pbs.twimg.com/media/FiFfkQkX0AA1oZG.jpg</v>
      </c>
      <c r="J212" t="str">
        <f>HYPERLINK("http://pbs.twimg.com/media/FiFfnYIXgAErmXA.jpg", "http://pbs.twimg.com/media/FiFfnYIXgAErmXA.jpg")</f>
        <v>http://pbs.twimg.com/media/FiFfnYIXgAErmXA.jpg</v>
      </c>
      <c r="K212" t="str">
        <f>HYPERLINK("http://pbs.twimg.com/media/FiFfsRzXEAInonn.jpg", "http://pbs.twimg.com/media/FiFfsRzXEAInonn.jpg")</f>
        <v>http://pbs.twimg.com/media/FiFfsRzXEAInonn.jpg</v>
      </c>
      <c r="L212">
        <v>0</v>
      </c>
      <c r="M212">
        <v>0</v>
      </c>
      <c r="N212">
        <v>1</v>
      </c>
      <c r="O212">
        <v>0</v>
      </c>
    </row>
    <row r="213" spans="1:15" x14ac:dyDescent="0.2">
      <c r="A213" s="1" t="str">
        <f>HYPERLINK("http://www.twitter.com/banuakdenizli/status/1594572516559052800", "1594572516559052800")</f>
        <v>1594572516559052800</v>
      </c>
      <c r="B213" t="s">
        <v>15</v>
      </c>
      <c r="C213" s="2">
        <v>44886.253333333327</v>
      </c>
      <c r="D213">
        <v>8</v>
      </c>
      <c r="E213">
        <v>8</v>
      </c>
      <c r="G213" t="s">
        <v>278</v>
      </c>
      <c r="H213" t="str">
        <f>HYPERLINK("http://pbs.twimg.com/media/FiEPQLnWQAEGfNA.jpg", "http://pbs.twimg.com/media/FiEPQLnWQAEGfNA.jpg")</f>
        <v>http://pbs.twimg.com/media/FiEPQLnWQAEGfNA.jpg</v>
      </c>
      <c r="L213">
        <v>0</v>
      </c>
      <c r="M213">
        <v>0</v>
      </c>
      <c r="N213">
        <v>1</v>
      </c>
      <c r="O213">
        <v>0</v>
      </c>
    </row>
    <row r="214" spans="1:15" x14ac:dyDescent="0.2">
      <c r="A214" s="1" t="str">
        <f>HYPERLINK("http://www.twitter.com/banuakdenizli/status/1594542358812672000", "1594542358812672000")</f>
        <v>1594542358812672000</v>
      </c>
      <c r="B214" t="s">
        <v>15</v>
      </c>
      <c r="C214" s="2">
        <v>44886.170115740737</v>
      </c>
      <c r="D214">
        <v>4</v>
      </c>
      <c r="E214">
        <v>1</v>
      </c>
      <c r="G214" t="s">
        <v>279</v>
      </c>
      <c r="L214">
        <v>0</v>
      </c>
      <c r="M214">
        <v>0</v>
      </c>
      <c r="N214">
        <v>1</v>
      </c>
      <c r="O214">
        <v>0</v>
      </c>
    </row>
    <row r="215" spans="1:15" x14ac:dyDescent="0.2">
      <c r="A215" s="1" t="str">
        <f>HYPERLINK("http://www.twitter.com/banuakdenizli/status/1594541306268684288", "1594541306268684288")</f>
        <v>1594541306268684288</v>
      </c>
      <c r="B215" t="s">
        <v>15</v>
      </c>
      <c r="C215" s="2">
        <v>44886.167210648149</v>
      </c>
      <c r="D215">
        <v>0</v>
      </c>
      <c r="E215">
        <v>70</v>
      </c>
      <c r="F215" t="s">
        <v>22</v>
      </c>
      <c r="G215" t="s">
        <v>280</v>
      </c>
      <c r="H215" t="str">
        <f>HYPERLINK("https://video.twimg.com/amplify_video/1594385836438872065/vid/720x1280/gze-WZn6FkZE8p8r.mp4?tag=14", "https://video.twimg.com/amplify_video/1594385836438872065/vid/720x1280/gze-WZn6FkZE8p8r.mp4?tag=14")</f>
        <v>https://video.twimg.com/amplify_video/1594385836438872065/vid/720x1280/gze-WZn6FkZE8p8r.mp4?tag=14</v>
      </c>
      <c r="L215">
        <v>0.4466</v>
      </c>
      <c r="M215">
        <v>0</v>
      </c>
      <c r="N215">
        <v>0.877</v>
      </c>
      <c r="O215">
        <v>0.123</v>
      </c>
    </row>
    <row r="216" spans="1:15" x14ac:dyDescent="0.2">
      <c r="A216" s="1" t="str">
        <f>HYPERLINK("http://www.twitter.com/banuakdenizli/status/1594541080569069568", "1594541080569069568")</f>
        <v>1594541080569069568</v>
      </c>
      <c r="B216" t="s">
        <v>15</v>
      </c>
      <c r="C216" s="2">
        <v>44886.166585648149</v>
      </c>
      <c r="D216">
        <v>0</v>
      </c>
      <c r="E216">
        <v>161</v>
      </c>
      <c r="F216" t="s">
        <v>22</v>
      </c>
      <c r="G216" t="s">
        <v>281</v>
      </c>
      <c r="H216" t="str">
        <f>HYPERLINK("http://pbs.twimg.com/media/FiCf4FiWQAILbvn.jpg", "http://pbs.twimg.com/media/FiCf4FiWQAILbvn.jpg")</f>
        <v>http://pbs.twimg.com/media/FiCf4FiWQAILbvn.jpg</v>
      </c>
      <c r="L216">
        <v>0</v>
      </c>
      <c r="M216">
        <v>0</v>
      </c>
      <c r="N216">
        <v>1</v>
      </c>
      <c r="O216">
        <v>0</v>
      </c>
    </row>
    <row r="217" spans="1:15" x14ac:dyDescent="0.2">
      <c r="A217" s="1" t="str">
        <f>HYPERLINK("http://www.twitter.com/banuakdenizli/status/1594455057482792960", "1594455057482792960")</f>
        <v>1594455057482792960</v>
      </c>
      <c r="B217" t="s">
        <v>15</v>
      </c>
      <c r="C217" s="2">
        <v>44885.929201388892</v>
      </c>
      <c r="D217">
        <v>0</v>
      </c>
      <c r="E217">
        <v>3</v>
      </c>
      <c r="F217" t="s">
        <v>31</v>
      </c>
      <c r="G217" t="s">
        <v>282</v>
      </c>
      <c r="H217" t="str">
        <f>HYPERLINK("http://pbs.twimg.com/media/Fh-tAnbWYAAy4MJ.jpg", "http://pbs.twimg.com/media/Fh-tAnbWYAAy4MJ.jpg")</f>
        <v>http://pbs.twimg.com/media/Fh-tAnbWYAAy4MJ.jpg</v>
      </c>
      <c r="I217" t="str">
        <f>HYPERLINK("http://pbs.twimg.com/media/Fh-tAn9XwAAwwFZ.jpg", "http://pbs.twimg.com/media/Fh-tAn9XwAAwwFZ.jpg")</f>
        <v>http://pbs.twimg.com/media/Fh-tAn9XwAAwwFZ.jpg</v>
      </c>
      <c r="J217" t="str">
        <f>HYPERLINK("http://pbs.twimg.com/media/Fh-tAnpXwAA9Jhg.jpg", "http://pbs.twimg.com/media/Fh-tAnpXwAA9Jhg.jpg")</f>
        <v>http://pbs.twimg.com/media/Fh-tAnpXwAA9Jhg.jpg</v>
      </c>
      <c r="K217" t="str">
        <f>HYPERLINK("http://pbs.twimg.com/media/Fh-tOLHWIAIE-nF.jpg", "http://pbs.twimg.com/media/Fh-tOLHWIAIE-nF.jpg")</f>
        <v>http://pbs.twimg.com/media/Fh-tOLHWIAIE-nF.jpg</v>
      </c>
      <c r="L217">
        <v>0.89770000000000005</v>
      </c>
      <c r="M217">
        <v>0</v>
      </c>
      <c r="N217">
        <v>0.75700000000000001</v>
      </c>
      <c r="O217">
        <v>0.24299999999999999</v>
      </c>
    </row>
    <row r="218" spans="1:15" x14ac:dyDescent="0.2">
      <c r="A218" s="1" t="str">
        <f>HYPERLINK("http://www.twitter.com/banuakdenizli/status/1594371533904007170", "1594371533904007170")</f>
        <v>1594371533904007170</v>
      </c>
      <c r="B218" t="s">
        <v>15</v>
      </c>
      <c r="C218" s="2">
        <v>44885.69872685185</v>
      </c>
      <c r="D218">
        <v>10</v>
      </c>
      <c r="E218">
        <v>4</v>
      </c>
      <c r="G218" t="s">
        <v>283</v>
      </c>
      <c r="H218" t="str">
        <f>HYPERLINK("https://video.twimg.com/ext_tw_video/1594371476689489920/pu/vid/480x784/X6lcc9dIPRLz1EXw.mp4?tag=12", "https://video.twimg.com/ext_tw_video/1594371476689489920/pu/vid/480x784/X6lcc9dIPRLz1EXw.mp4?tag=12")</f>
        <v>https://video.twimg.com/ext_tw_video/1594371476689489920/pu/vid/480x784/X6lcc9dIPRLz1EXw.mp4?tag=12</v>
      </c>
      <c r="L218">
        <v>0</v>
      </c>
      <c r="M218">
        <v>0</v>
      </c>
      <c r="N218">
        <v>1</v>
      </c>
      <c r="O218">
        <v>0</v>
      </c>
    </row>
    <row r="219" spans="1:15" x14ac:dyDescent="0.2">
      <c r="A219" s="1" t="str">
        <f>HYPERLINK("http://www.twitter.com/banuakdenizli/status/1594328606800580613", "1594328606800580613")</f>
        <v>1594328606800580613</v>
      </c>
      <c r="B219" t="s">
        <v>15</v>
      </c>
      <c r="C219" s="2">
        <v>44885.580266203702</v>
      </c>
      <c r="D219">
        <v>0</v>
      </c>
      <c r="E219">
        <v>4</v>
      </c>
      <c r="F219" t="s">
        <v>177</v>
      </c>
      <c r="G219" t="s">
        <v>284</v>
      </c>
      <c r="H219" t="str">
        <f>HYPERLINK("http://pbs.twimg.com/media/FiAEIHRWQAAPJ62.jpg", "http://pbs.twimg.com/media/FiAEIHRWQAAPJ62.jpg")</f>
        <v>http://pbs.twimg.com/media/FiAEIHRWQAAPJ62.jpg</v>
      </c>
      <c r="L219">
        <v>0</v>
      </c>
      <c r="M219">
        <v>0</v>
      </c>
      <c r="N219">
        <v>1</v>
      </c>
      <c r="O219">
        <v>0</v>
      </c>
    </row>
    <row r="220" spans="1:15" x14ac:dyDescent="0.2">
      <c r="A220" s="1" t="str">
        <f>HYPERLINK("http://www.twitter.com/banuakdenizli/status/1594201269614399490", "1594201269614399490")</f>
        <v>1594201269614399490</v>
      </c>
      <c r="B220" t="s">
        <v>15</v>
      </c>
      <c r="C220" s="2">
        <v>44885.228888888887</v>
      </c>
      <c r="D220">
        <v>0</v>
      </c>
      <c r="E220">
        <v>130</v>
      </c>
      <c r="F220" t="s">
        <v>28</v>
      </c>
      <c r="G220" t="s">
        <v>285</v>
      </c>
      <c r="H220" t="str">
        <f>HYPERLINK("http://pbs.twimg.com/media/Fh8WH1AXwAEtDu6.jpg", "http://pbs.twimg.com/media/Fh8WH1AXwAEtDu6.jpg")</f>
        <v>http://pbs.twimg.com/media/Fh8WH1AXwAEtDu6.jpg</v>
      </c>
      <c r="L220">
        <v>0</v>
      </c>
      <c r="M220">
        <v>0</v>
      </c>
      <c r="N220">
        <v>1</v>
      </c>
      <c r="O220">
        <v>0</v>
      </c>
    </row>
    <row r="221" spans="1:15" x14ac:dyDescent="0.2">
      <c r="A221" s="1" t="str">
        <f>HYPERLINK("http://www.twitter.com/banuakdenizli/status/1594044792190672900", "1594044792190672900")</f>
        <v>1594044792190672900</v>
      </c>
      <c r="B221" t="s">
        <v>15</v>
      </c>
      <c r="C221" s="2">
        <v>44884.797094907408</v>
      </c>
      <c r="D221">
        <v>0</v>
      </c>
      <c r="E221">
        <v>12</v>
      </c>
      <c r="F221" t="s">
        <v>16</v>
      </c>
      <c r="G221" t="s">
        <v>286</v>
      </c>
      <c r="H221" t="str">
        <f>HYPERLINK("http://pbs.twimg.com/media/Fh8svwRXEAUMfR3.jpg", "http://pbs.twimg.com/media/Fh8svwRXEAUMfR3.jpg")</f>
        <v>http://pbs.twimg.com/media/Fh8svwRXEAUMfR3.jpg</v>
      </c>
      <c r="I221" t="str">
        <f>HYPERLINK("http://pbs.twimg.com/media/Fh8svwSWAAYKtpa.jpg", "http://pbs.twimg.com/media/Fh8svwSWAAYKtpa.jpg")</f>
        <v>http://pbs.twimg.com/media/Fh8svwSWAAYKtpa.jpg</v>
      </c>
      <c r="J221" t="str">
        <f>HYPERLINK("http://pbs.twimg.com/media/Fh8svwWXgAUEDKf.jpg", "http://pbs.twimg.com/media/Fh8svwWXgAUEDKf.jpg")</f>
        <v>http://pbs.twimg.com/media/Fh8svwWXgAUEDKf.jpg</v>
      </c>
      <c r="K221" t="str">
        <f>HYPERLINK("http://pbs.twimg.com/media/Fh8svwSXwA8hKaM.jpg", "http://pbs.twimg.com/media/Fh8svwSXwA8hKaM.jpg")</f>
        <v>http://pbs.twimg.com/media/Fh8svwSXwA8hKaM.jpg</v>
      </c>
      <c r="L221">
        <v>0</v>
      </c>
      <c r="M221">
        <v>0</v>
      </c>
      <c r="N221">
        <v>1</v>
      </c>
      <c r="O221">
        <v>0</v>
      </c>
    </row>
    <row r="222" spans="1:15" x14ac:dyDescent="0.2">
      <c r="A222" s="1" t="str">
        <f>HYPERLINK("http://www.twitter.com/banuakdenizli/status/1593993946174312448", "1593993946174312448")</f>
        <v>1593993946174312448</v>
      </c>
      <c r="B222" t="s">
        <v>15</v>
      </c>
      <c r="C222" s="2">
        <v>44884.656782407408</v>
      </c>
      <c r="D222">
        <v>39</v>
      </c>
      <c r="E222">
        <v>7</v>
      </c>
      <c r="G222" t="s">
        <v>287</v>
      </c>
      <c r="H222" t="str">
        <f>HYPERLINK("http://pbs.twimg.com/media/Fh8BByxXoAErnQp.jpg", "http://pbs.twimg.com/media/Fh8BByxXoAErnQp.jpg")</f>
        <v>http://pbs.twimg.com/media/Fh8BByxXoAErnQp.jpg</v>
      </c>
      <c r="I222" t="str">
        <f>HYPERLINK("http://pbs.twimg.com/media/Fh8BCWwWYAA28Ny.jpg", "http://pbs.twimg.com/media/Fh8BCWwWYAA28Ny.jpg")</f>
        <v>http://pbs.twimg.com/media/Fh8BCWwWYAA28Ny.jpg</v>
      </c>
      <c r="J222" t="str">
        <f>HYPERLINK("http://pbs.twimg.com/media/Fh8BCtuX0AYCFEz.jpg", "http://pbs.twimg.com/media/Fh8BCtuX0AYCFEz.jpg")</f>
        <v>http://pbs.twimg.com/media/Fh8BCtuX0AYCFEz.jpg</v>
      </c>
      <c r="L222">
        <v>0</v>
      </c>
      <c r="M222">
        <v>0</v>
      </c>
      <c r="N222">
        <v>1</v>
      </c>
      <c r="O222">
        <v>0</v>
      </c>
    </row>
    <row r="223" spans="1:15" x14ac:dyDescent="0.2">
      <c r="A223" s="1" t="str">
        <f>HYPERLINK("http://www.twitter.com/banuakdenizli/status/1593954609990701056", "1593954609990701056")</f>
        <v>1593954609990701056</v>
      </c>
      <c r="B223" t="s">
        <v>15</v>
      </c>
      <c r="C223" s="2">
        <v>44884.548229166663</v>
      </c>
      <c r="D223">
        <v>0</v>
      </c>
      <c r="E223">
        <v>0</v>
      </c>
      <c r="G223" t="s">
        <v>288</v>
      </c>
      <c r="H223" t="str">
        <f>HYPERLINK("http://pbs.twimg.com/media/Fh7dRUJWYAAH2ET.jpg", "http://pbs.twimg.com/media/Fh7dRUJWYAAH2ET.jpg")</f>
        <v>http://pbs.twimg.com/media/Fh7dRUJWYAAH2ET.jpg</v>
      </c>
      <c r="L223">
        <v>0</v>
      </c>
      <c r="M223">
        <v>0</v>
      </c>
      <c r="N223">
        <v>1</v>
      </c>
      <c r="O223">
        <v>0</v>
      </c>
    </row>
    <row r="224" spans="1:15" x14ac:dyDescent="0.2">
      <c r="A224" s="1" t="str">
        <f>HYPERLINK("http://www.twitter.com/banuakdenizli/status/1593868407539175424", "1593868407539175424")</f>
        <v>1593868407539175424</v>
      </c>
      <c r="B224" t="s">
        <v>15</v>
      </c>
      <c r="C224" s="2">
        <v>44884.310358796298</v>
      </c>
      <c r="D224">
        <v>8</v>
      </c>
      <c r="E224">
        <v>1</v>
      </c>
      <c r="G224" t="s">
        <v>289</v>
      </c>
      <c r="H224" t="str">
        <f>HYPERLINK("http://pbs.twimg.com/media/Fh6O3rOXgAAqpgq.jpg", "http://pbs.twimg.com/media/Fh6O3rOXgAAqpgq.jpg")</f>
        <v>http://pbs.twimg.com/media/Fh6O3rOXgAAqpgq.jpg</v>
      </c>
      <c r="L224">
        <v>0</v>
      </c>
      <c r="M224">
        <v>0</v>
      </c>
      <c r="N224">
        <v>1</v>
      </c>
      <c r="O224">
        <v>0</v>
      </c>
    </row>
    <row r="225" spans="1:15" x14ac:dyDescent="0.2">
      <c r="A225" s="1" t="str">
        <f>HYPERLINK("http://www.twitter.com/banuakdenizli/status/1593701257654554626", "1593701257654554626")</f>
        <v>1593701257654554626</v>
      </c>
      <c r="B225" t="s">
        <v>15</v>
      </c>
      <c r="C225" s="2">
        <v>44883.849120370367</v>
      </c>
      <c r="D225">
        <v>6</v>
      </c>
      <c r="E225">
        <v>2</v>
      </c>
      <c r="G225" t="s">
        <v>290</v>
      </c>
      <c r="H225" t="str">
        <f>HYPERLINK("http://pbs.twimg.com/media/Fh322McXgAU2rpa.jpg", "http://pbs.twimg.com/media/Fh322McXgAU2rpa.jpg")</f>
        <v>http://pbs.twimg.com/media/Fh322McXgAU2rpa.jpg</v>
      </c>
      <c r="L225">
        <v>0.40189999999999998</v>
      </c>
      <c r="M225">
        <v>0</v>
      </c>
      <c r="N225">
        <v>0.84699999999999998</v>
      </c>
      <c r="O225">
        <v>0.153</v>
      </c>
    </row>
    <row r="226" spans="1:15" x14ac:dyDescent="0.2">
      <c r="A226" s="1" t="str">
        <f>HYPERLINK("http://www.twitter.com/banuakdenizli/status/1593700221350920192", "1593700221350920192")</f>
        <v>1593700221350920192</v>
      </c>
      <c r="B226" t="s">
        <v>15</v>
      </c>
      <c r="C226" s="2">
        <v>44883.846250000002</v>
      </c>
      <c r="D226">
        <v>0</v>
      </c>
      <c r="E226">
        <v>13</v>
      </c>
      <c r="F226" t="s">
        <v>19</v>
      </c>
      <c r="G226" t="s">
        <v>291</v>
      </c>
      <c r="H226" t="str">
        <f>HYPERLINK("https://video.twimg.com/ext_tw_video/1593628215322578944/pu/vid/480x480/UCZvCIUSaznQjsnR.mp4?tag=12", "https://video.twimg.com/ext_tw_video/1593628215322578944/pu/vid/480x480/UCZvCIUSaznQjsnR.mp4?tag=12")</f>
        <v>https://video.twimg.com/ext_tw_video/1593628215322578944/pu/vid/480x480/UCZvCIUSaznQjsnR.mp4?tag=12</v>
      </c>
      <c r="L226">
        <v>0</v>
      </c>
      <c r="M226">
        <v>0</v>
      </c>
      <c r="N226">
        <v>1</v>
      </c>
      <c r="O226">
        <v>0</v>
      </c>
    </row>
    <row r="227" spans="1:15" x14ac:dyDescent="0.2">
      <c r="A227" s="1" t="str">
        <f>HYPERLINK("http://www.twitter.com/banuakdenizli/status/1593700095601451008", "1593700095601451008")</f>
        <v>1593700095601451008</v>
      </c>
      <c r="B227" t="s">
        <v>15</v>
      </c>
      <c r="C227" s="2">
        <v>44883.845902777779</v>
      </c>
      <c r="D227">
        <v>0</v>
      </c>
      <c r="E227">
        <v>0</v>
      </c>
      <c r="G227" t="s">
        <v>292</v>
      </c>
      <c r="H227" t="str">
        <f>HYPERLINK("https://video.twimg.com/ext_tw_video/1593700026290774017/pu/vid/848x480/DqOQRQ6hop1TvCEM.mp4?tag=12", "https://video.twimg.com/ext_tw_video/1593700026290774017/pu/vid/848x480/DqOQRQ6hop1TvCEM.mp4?tag=12")</f>
        <v>https://video.twimg.com/ext_tw_video/1593700026290774017/pu/vid/848x480/DqOQRQ6hop1TvCEM.mp4?tag=12</v>
      </c>
      <c r="L227">
        <v>0</v>
      </c>
      <c r="M227">
        <v>0</v>
      </c>
      <c r="N227">
        <v>1</v>
      </c>
      <c r="O227">
        <v>0</v>
      </c>
    </row>
    <row r="228" spans="1:15" x14ac:dyDescent="0.2">
      <c r="A228" s="1" t="str">
        <f>HYPERLINK("http://www.twitter.com/banuakdenizli/status/1593699701198667779", "1593699701198667779")</f>
        <v>1593699701198667779</v>
      </c>
      <c r="B228" t="s">
        <v>15</v>
      </c>
      <c r="C228" s="2">
        <v>44883.844814814824</v>
      </c>
      <c r="D228">
        <v>0</v>
      </c>
      <c r="E228">
        <v>0</v>
      </c>
      <c r="G228" t="s">
        <v>293</v>
      </c>
      <c r="H228" t="str">
        <f>HYPERLINK("https://video.twimg.com/ext_tw_video/1593699635314532354/pu/vid/848x480/YIgEBJs-IRCRou1j.mp4?tag=12", "https://video.twimg.com/ext_tw_video/1593699635314532354/pu/vid/848x480/YIgEBJs-IRCRou1j.mp4?tag=12")</f>
        <v>https://video.twimg.com/ext_tw_video/1593699635314532354/pu/vid/848x480/YIgEBJs-IRCRou1j.mp4?tag=12</v>
      </c>
      <c r="L228">
        <v>0</v>
      </c>
      <c r="M228">
        <v>0</v>
      </c>
      <c r="N228">
        <v>1</v>
      </c>
      <c r="O228">
        <v>0</v>
      </c>
    </row>
    <row r="229" spans="1:15" x14ac:dyDescent="0.2">
      <c r="A229" s="1" t="str">
        <f>HYPERLINK("http://www.twitter.com/banuakdenizli/status/1593699216320335873", "1593699216320335873")</f>
        <v>1593699216320335873</v>
      </c>
      <c r="B229" t="s">
        <v>15</v>
      </c>
      <c r="C229" s="2">
        <v>44883.8434837963</v>
      </c>
      <c r="D229">
        <v>0</v>
      </c>
      <c r="E229">
        <v>0</v>
      </c>
      <c r="G229" t="s">
        <v>294</v>
      </c>
      <c r="H229" t="str">
        <f>HYPERLINK("https://video.twimg.com/ext_tw_video/1593699149123297281/pu/vid/848x480/EtG06Uf5-e04Sy-C.mp4?tag=12", "https://video.twimg.com/ext_tw_video/1593699149123297281/pu/vid/848x480/EtG06Uf5-e04Sy-C.mp4?tag=12")</f>
        <v>https://video.twimg.com/ext_tw_video/1593699149123297281/pu/vid/848x480/EtG06Uf5-e04Sy-C.mp4?tag=12</v>
      </c>
      <c r="L229">
        <v>0</v>
      </c>
      <c r="M229">
        <v>0</v>
      </c>
      <c r="N229">
        <v>1</v>
      </c>
      <c r="O229">
        <v>0</v>
      </c>
    </row>
    <row r="230" spans="1:15" x14ac:dyDescent="0.2">
      <c r="A230" s="1" t="str">
        <f>HYPERLINK("http://www.twitter.com/banuakdenizli/status/1593697510719193091", "1593697510719193091")</f>
        <v>1593697510719193091</v>
      </c>
      <c r="B230" t="s">
        <v>15</v>
      </c>
      <c r="C230" s="2">
        <v>44883.838773148149</v>
      </c>
      <c r="D230">
        <v>2</v>
      </c>
      <c r="E230">
        <v>1</v>
      </c>
      <c r="G230" t="s">
        <v>295</v>
      </c>
      <c r="H230" t="str">
        <f>HYPERLINK("https://video.twimg.com/ext_tw_video/1593697436731580421/pu/vid/848x480/wcim4wQT0xRuSWpH.mp4?tag=12", "https://video.twimg.com/ext_tw_video/1593697436731580421/pu/vid/848x480/wcim4wQT0xRuSWpH.mp4?tag=12")</f>
        <v>https://video.twimg.com/ext_tw_video/1593697436731580421/pu/vid/848x480/wcim4wQT0xRuSWpH.mp4?tag=12</v>
      </c>
      <c r="L230">
        <v>0</v>
      </c>
      <c r="M230">
        <v>0</v>
      </c>
      <c r="N230">
        <v>1</v>
      </c>
      <c r="O230">
        <v>0</v>
      </c>
    </row>
    <row r="231" spans="1:15" x14ac:dyDescent="0.2">
      <c r="A231" s="1" t="str">
        <f>HYPERLINK("http://www.twitter.com/banuakdenizli/status/1593697101812228096", "1593697101812228096")</f>
        <v>1593697101812228096</v>
      </c>
      <c r="B231" t="s">
        <v>15</v>
      </c>
      <c r="C231" s="2">
        <v>44883.837650462963</v>
      </c>
      <c r="D231">
        <v>1</v>
      </c>
      <c r="E231">
        <v>1</v>
      </c>
      <c r="G231" t="s">
        <v>296</v>
      </c>
      <c r="H231" t="str">
        <f>HYPERLINK("https://video.twimg.com/ext_tw_video/1593697043083665413/pu/vid/848x480/pZjHQMoUncuFNykq.mp4?tag=12", "https://video.twimg.com/ext_tw_video/1593697043083665413/pu/vid/848x480/pZjHQMoUncuFNykq.mp4?tag=12")</f>
        <v>https://video.twimg.com/ext_tw_video/1593697043083665413/pu/vid/848x480/pZjHQMoUncuFNykq.mp4?tag=12</v>
      </c>
      <c r="L231">
        <v>0</v>
      </c>
      <c r="M231">
        <v>0</v>
      </c>
      <c r="N231">
        <v>1</v>
      </c>
      <c r="O231">
        <v>0</v>
      </c>
    </row>
    <row r="232" spans="1:15" x14ac:dyDescent="0.2">
      <c r="A232" s="1" t="str">
        <f>HYPERLINK("http://www.twitter.com/banuakdenizli/status/1593696763763884032", "1593696763763884032")</f>
        <v>1593696763763884032</v>
      </c>
      <c r="B232" t="s">
        <v>15</v>
      </c>
      <c r="C232" s="2">
        <v>44883.836712962962</v>
      </c>
      <c r="D232">
        <v>0</v>
      </c>
      <c r="E232">
        <v>0</v>
      </c>
      <c r="G232" t="s">
        <v>297</v>
      </c>
      <c r="H232" t="str">
        <f>HYPERLINK("https://video.twimg.com/ext_tw_video/1593696712413134850/pu/vid/848x480/wSTdgiiFv1qR6KDR.mp4?tag=12", "https://video.twimg.com/ext_tw_video/1593696712413134850/pu/vid/848x480/wSTdgiiFv1qR6KDR.mp4?tag=12")</f>
        <v>https://video.twimg.com/ext_tw_video/1593696712413134850/pu/vid/848x480/wSTdgiiFv1qR6KDR.mp4?tag=12</v>
      </c>
      <c r="L232">
        <v>0</v>
      </c>
      <c r="M232">
        <v>0</v>
      </c>
      <c r="N232">
        <v>1</v>
      </c>
      <c r="O232">
        <v>0</v>
      </c>
    </row>
    <row r="233" spans="1:15" x14ac:dyDescent="0.2">
      <c r="A233" s="1" t="str">
        <f>HYPERLINK("http://www.twitter.com/banuakdenizli/status/1593696404584685570", "1593696404584685570")</f>
        <v>1593696404584685570</v>
      </c>
      <c r="B233" t="s">
        <v>15</v>
      </c>
      <c r="C233" s="2">
        <v>44883.835717592592</v>
      </c>
      <c r="D233">
        <v>1</v>
      </c>
      <c r="E233">
        <v>0</v>
      </c>
      <c r="G233" t="s">
        <v>298</v>
      </c>
      <c r="L233">
        <v>0</v>
      </c>
      <c r="M233">
        <v>0</v>
      </c>
      <c r="N233">
        <v>1</v>
      </c>
      <c r="O233">
        <v>0</v>
      </c>
    </row>
    <row r="234" spans="1:15" x14ac:dyDescent="0.2">
      <c r="A234" s="1" t="str">
        <f>HYPERLINK("http://www.twitter.com/banuakdenizli/status/1593695281488580608", "1593695281488580608")</f>
        <v>1593695281488580608</v>
      </c>
      <c r="B234" t="s">
        <v>15</v>
      </c>
      <c r="C234" s="2">
        <v>44883.832627314812</v>
      </c>
      <c r="D234">
        <v>3</v>
      </c>
      <c r="E234">
        <v>3</v>
      </c>
      <c r="G234" t="s">
        <v>299</v>
      </c>
      <c r="H234" t="str">
        <f>HYPERLINK("https://video.twimg.com/ext_tw_video/1593695226237009922/pu/vid/848x480/UN-pL9vg8m6jpZ0s.mp4?tag=12", "https://video.twimg.com/ext_tw_video/1593695226237009922/pu/vid/848x480/UN-pL9vg8m6jpZ0s.mp4?tag=12")</f>
        <v>https://video.twimg.com/ext_tw_video/1593695226237009922/pu/vid/848x480/UN-pL9vg8m6jpZ0s.mp4?tag=12</v>
      </c>
      <c r="L234">
        <v>0</v>
      </c>
      <c r="M234">
        <v>0</v>
      </c>
      <c r="N234">
        <v>1</v>
      </c>
      <c r="O234">
        <v>0</v>
      </c>
    </row>
    <row r="235" spans="1:15" x14ac:dyDescent="0.2">
      <c r="A235" s="1" t="str">
        <f>HYPERLINK("http://www.twitter.com/banuakdenizli/status/1593685441366163463", "1593685441366163463")</f>
        <v>1593685441366163463</v>
      </c>
      <c r="B235" t="s">
        <v>15</v>
      </c>
      <c r="C235" s="2">
        <v>44883.805474537039</v>
      </c>
      <c r="D235">
        <v>7</v>
      </c>
      <c r="E235">
        <v>0</v>
      </c>
      <c r="G235" t="s">
        <v>300</v>
      </c>
      <c r="H235" t="str">
        <f>HYPERLINK("http://pbs.twimg.com/media/Fh3ocKcX0AAUjRO.jpg", "http://pbs.twimg.com/media/Fh3ocKcX0AAUjRO.jpg")</f>
        <v>http://pbs.twimg.com/media/Fh3ocKcX0AAUjRO.jpg</v>
      </c>
      <c r="I235" t="str">
        <f>HYPERLINK("http://pbs.twimg.com/media/Fh3ocyDXkAA9n0N.jpg", "http://pbs.twimg.com/media/Fh3ocyDXkAA9n0N.jpg")</f>
        <v>http://pbs.twimg.com/media/Fh3ocyDXkAA9n0N.jpg</v>
      </c>
      <c r="J235" t="str">
        <f>HYPERLINK("http://pbs.twimg.com/media/Fh3odBMWAAEgNHS.jpg", "http://pbs.twimg.com/media/Fh3odBMWAAEgNHS.jpg")</f>
        <v>http://pbs.twimg.com/media/Fh3odBMWAAEgNHS.jpg</v>
      </c>
      <c r="K235" t="str">
        <f>HYPERLINK("http://pbs.twimg.com/media/Fh3odmJXEAIk8ey.jpg", "http://pbs.twimg.com/media/Fh3odmJXEAIk8ey.jpg")</f>
        <v>http://pbs.twimg.com/media/Fh3odmJXEAIk8ey.jpg</v>
      </c>
      <c r="L235">
        <v>0</v>
      </c>
      <c r="M235">
        <v>0</v>
      </c>
      <c r="N235">
        <v>1</v>
      </c>
      <c r="O235">
        <v>0</v>
      </c>
    </row>
    <row r="236" spans="1:15" x14ac:dyDescent="0.2">
      <c r="A236" s="1" t="str">
        <f>HYPERLINK("http://www.twitter.com/banuakdenizli/status/1593684761628889089", "1593684761628889089")</f>
        <v>1593684761628889089</v>
      </c>
      <c r="B236" t="s">
        <v>15</v>
      </c>
      <c r="C236" s="2">
        <v>44883.803599537037</v>
      </c>
      <c r="D236">
        <v>22</v>
      </c>
      <c r="E236">
        <v>5</v>
      </c>
      <c r="G236" t="s">
        <v>301</v>
      </c>
      <c r="H236" t="str">
        <f>HYPERLINK("http://pbs.twimg.com/media/Fh3n0ykXgAAwwBy.jpg", "http://pbs.twimg.com/media/Fh3n0ykXgAAwwBy.jpg")</f>
        <v>http://pbs.twimg.com/media/Fh3n0ykXgAAwwBy.jpg</v>
      </c>
      <c r="I236" t="str">
        <f>HYPERLINK("http://pbs.twimg.com/media/Fh3n1ZSX0AAVeun.jpg", "http://pbs.twimg.com/media/Fh3n1ZSX0AAVeun.jpg")</f>
        <v>http://pbs.twimg.com/media/Fh3n1ZSX0AAVeun.jpg</v>
      </c>
      <c r="J236" t="str">
        <f>HYPERLINK("http://pbs.twimg.com/media/Fh3n2ALXoAMrwYz.jpg", "http://pbs.twimg.com/media/Fh3n2ALXoAMrwYz.jpg")</f>
        <v>http://pbs.twimg.com/media/Fh3n2ALXoAMrwYz.jpg</v>
      </c>
      <c r="L236">
        <v>0</v>
      </c>
      <c r="M236">
        <v>0</v>
      </c>
      <c r="N236">
        <v>1</v>
      </c>
      <c r="O236">
        <v>0</v>
      </c>
    </row>
    <row r="237" spans="1:15" x14ac:dyDescent="0.2">
      <c r="A237" s="1" t="str">
        <f>HYPERLINK("http://www.twitter.com/banuakdenizli/status/1593580734928805895", "1593580734928805895")</f>
        <v>1593580734928805895</v>
      </c>
      <c r="B237" t="s">
        <v>15</v>
      </c>
      <c r="C237" s="2">
        <v>44883.516539351847</v>
      </c>
      <c r="D237">
        <v>0</v>
      </c>
      <c r="E237">
        <v>3</v>
      </c>
      <c r="F237" t="s">
        <v>112</v>
      </c>
      <c r="G237" t="s">
        <v>302</v>
      </c>
      <c r="L237">
        <v>0.80159999999999998</v>
      </c>
      <c r="M237">
        <v>0</v>
      </c>
      <c r="N237">
        <v>0.79</v>
      </c>
      <c r="O237">
        <v>0.21</v>
      </c>
    </row>
    <row r="238" spans="1:15" x14ac:dyDescent="0.2">
      <c r="A238" s="1" t="str">
        <f>HYPERLINK("http://www.twitter.com/banuakdenizli/status/1593538603098980353", "1593538603098980353")</f>
        <v>1593538603098980353</v>
      </c>
      <c r="B238" t="s">
        <v>15</v>
      </c>
      <c r="C238" s="2">
        <v>44883.400277777779</v>
      </c>
      <c r="D238">
        <v>6</v>
      </c>
      <c r="E238">
        <v>3</v>
      </c>
      <c r="G238" t="s">
        <v>303</v>
      </c>
      <c r="H238" t="str">
        <f>HYPERLINK("https://video.twimg.com/ext_tw_video/1593538575689289728/pu/vid/848x480/_EIrOQe-ie3CBBWZ.mp4?tag=12", "https://video.twimg.com/ext_tw_video/1593538575689289728/pu/vid/848x480/_EIrOQe-ie3CBBWZ.mp4?tag=12")</f>
        <v>https://video.twimg.com/ext_tw_video/1593538575689289728/pu/vid/848x480/_EIrOQe-ie3CBBWZ.mp4?tag=12</v>
      </c>
      <c r="L238">
        <v>0</v>
      </c>
      <c r="M238">
        <v>0</v>
      </c>
      <c r="N238">
        <v>1</v>
      </c>
      <c r="O238">
        <v>0</v>
      </c>
    </row>
    <row r="239" spans="1:15" x14ac:dyDescent="0.2">
      <c r="A239" s="1" t="str">
        <f>HYPERLINK("http://www.twitter.com/banuakdenizli/status/1593517655557918720", "1593517655557918720")</f>
        <v>1593517655557918720</v>
      </c>
      <c r="B239" t="s">
        <v>15</v>
      </c>
      <c r="C239" s="2">
        <v>44883.342465277783</v>
      </c>
      <c r="D239">
        <v>0</v>
      </c>
      <c r="E239">
        <v>24</v>
      </c>
      <c r="F239" t="s">
        <v>24</v>
      </c>
      <c r="G239" t="s">
        <v>304</v>
      </c>
      <c r="H239" t="str">
        <f>HYPERLINK("https://video.twimg.com/ext_tw_video/1593235812136542210/pu/vid/720x1280/Q5s1PkvPtrKjYy5K.mp4?tag=12", "https://video.twimg.com/ext_tw_video/1593235812136542210/pu/vid/720x1280/Q5s1PkvPtrKjYy5K.mp4?tag=12")</f>
        <v>https://video.twimg.com/ext_tw_video/1593235812136542210/pu/vid/720x1280/Q5s1PkvPtrKjYy5K.mp4?tag=12</v>
      </c>
      <c r="L239">
        <v>0.47670000000000001</v>
      </c>
      <c r="M239">
        <v>0</v>
      </c>
      <c r="N239">
        <v>0.9</v>
      </c>
      <c r="O239">
        <v>0.1</v>
      </c>
    </row>
    <row r="240" spans="1:15" x14ac:dyDescent="0.2">
      <c r="A240" s="1" t="str">
        <f>HYPERLINK("http://www.twitter.com/banuakdenizli/status/1593493757248344067", "1593493757248344067")</f>
        <v>1593493757248344067</v>
      </c>
      <c r="B240" t="s">
        <v>15</v>
      </c>
      <c r="C240" s="2">
        <v>44883.27652777778</v>
      </c>
      <c r="D240">
        <v>4</v>
      </c>
      <c r="E240">
        <v>0</v>
      </c>
      <c r="G240" t="s">
        <v>305</v>
      </c>
      <c r="L240">
        <v>0</v>
      </c>
      <c r="M240">
        <v>0</v>
      </c>
      <c r="N240">
        <v>1</v>
      </c>
      <c r="O240">
        <v>0</v>
      </c>
    </row>
    <row r="241" spans="1:15" x14ac:dyDescent="0.2">
      <c r="A241" s="1" t="str">
        <f>HYPERLINK("http://www.twitter.com/banuakdenizli/status/1593465983372591104", "1593465983372591104")</f>
        <v>1593465983372591104</v>
      </c>
      <c r="B241" t="s">
        <v>15</v>
      </c>
      <c r="C241" s="2">
        <v>44883.199884259258</v>
      </c>
      <c r="D241">
        <v>0</v>
      </c>
      <c r="E241">
        <v>1</v>
      </c>
      <c r="F241" t="s">
        <v>265</v>
      </c>
      <c r="G241" t="s">
        <v>306</v>
      </c>
      <c r="H241" t="str">
        <f>HYPERLINK("https://video.twimg.com/ext_tw_video/1592859007668158470/pu/vid/720x1280/qodsyBWaNzQDQggk.mp4?tag=12", "https://video.twimg.com/ext_tw_video/1592859007668158470/pu/vid/720x1280/qodsyBWaNzQDQggk.mp4?tag=12")</f>
        <v>https://video.twimg.com/ext_tw_video/1592859007668158470/pu/vid/720x1280/qodsyBWaNzQDQggk.mp4?tag=12</v>
      </c>
      <c r="L241">
        <v>0.5242</v>
      </c>
      <c r="M241">
        <v>5.1999999999999998E-2</v>
      </c>
      <c r="N241">
        <v>0.85199999999999998</v>
      </c>
      <c r="O241">
        <v>9.6000000000000002E-2</v>
      </c>
    </row>
    <row r="242" spans="1:15" x14ac:dyDescent="0.2">
      <c r="A242" s="1" t="str">
        <f>HYPERLINK("http://www.twitter.com/banuakdenizli/status/1593458575380193281", "1593458575380193281")</f>
        <v>1593458575380193281</v>
      </c>
      <c r="B242" t="s">
        <v>15</v>
      </c>
      <c r="C242" s="2">
        <v>44883.179444444453</v>
      </c>
      <c r="D242">
        <v>0</v>
      </c>
      <c r="E242">
        <v>30</v>
      </c>
      <c r="F242" t="s">
        <v>24</v>
      </c>
      <c r="G242" t="s">
        <v>307</v>
      </c>
      <c r="H242" t="str">
        <f>HYPERLINK("https://video.twimg.com/ext_tw_video/1593194889864429568/pu/vid/720x720/MX62PcoAK7yCoPao.mp4?tag=12", "https://video.twimg.com/ext_tw_video/1593194889864429568/pu/vid/720x720/MX62PcoAK7yCoPao.mp4?tag=12")</f>
        <v>https://video.twimg.com/ext_tw_video/1593194889864429568/pu/vid/720x720/MX62PcoAK7yCoPao.mp4?tag=12</v>
      </c>
      <c r="L242">
        <v>0</v>
      </c>
      <c r="M242">
        <v>0</v>
      </c>
      <c r="N242">
        <v>1</v>
      </c>
      <c r="O242">
        <v>0</v>
      </c>
    </row>
    <row r="243" spans="1:15" x14ac:dyDescent="0.2">
      <c r="A243" s="1" t="str">
        <f>HYPERLINK("http://www.twitter.com/banuakdenizli/status/1593458109409767425", "1593458109409767425")</f>
        <v>1593458109409767425</v>
      </c>
      <c r="B243" t="s">
        <v>15</v>
      </c>
      <c r="C243" s="2">
        <v>44883.178148148138</v>
      </c>
      <c r="D243">
        <v>0</v>
      </c>
      <c r="E243">
        <v>322</v>
      </c>
      <c r="F243" t="s">
        <v>28</v>
      </c>
      <c r="G243" t="s">
        <v>308</v>
      </c>
      <c r="H243" t="str">
        <f>HYPERLINK("http://pbs.twimg.com/media/FhxnTwTXEAE19sh.jpg", "http://pbs.twimg.com/media/FhxnTwTXEAE19sh.jpg")</f>
        <v>http://pbs.twimg.com/media/FhxnTwTXEAE19sh.jpg</v>
      </c>
      <c r="I243" t="str">
        <f>HYPERLINK("http://pbs.twimg.com/media/FhxnTwSXEAAqdMp.jpg", "http://pbs.twimg.com/media/FhxnTwSXEAAqdMp.jpg")</f>
        <v>http://pbs.twimg.com/media/FhxnTwSXEAAqdMp.jpg</v>
      </c>
      <c r="J243" t="str">
        <f>HYPERLINK("http://pbs.twimg.com/media/FhxnTwSWYAAYMSd.jpg", "http://pbs.twimg.com/media/FhxnTwSWYAAYMSd.jpg")</f>
        <v>http://pbs.twimg.com/media/FhxnTwSWYAAYMSd.jpg</v>
      </c>
      <c r="K243" t="str">
        <f>HYPERLINK("http://pbs.twimg.com/media/FhxnTwSXoAQRHwa.jpg", "http://pbs.twimg.com/media/FhxnTwSXoAQRHwa.jpg")</f>
        <v>http://pbs.twimg.com/media/FhxnTwSXoAQRHwa.jpg</v>
      </c>
      <c r="L243">
        <v>0</v>
      </c>
      <c r="M243">
        <v>0</v>
      </c>
      <c r="N243">
        <v>1</v>
      </c>
      <c r="O243">
        <v>0</v>
      </c>
    </row>
    <row r="244" spans="1:15" x14ac:dyDescent="0.2">
      <c r="A244" s="1" t="str">
        <f>HYPERLINK("http://www.twitter.com/banuakdenizli/status/1593457950210891782", "1593457950210891782")</f>
        <v>1593457950210891782</v>
      </c>
      <c r="B244" t="s">
        <v>15</v>
      </c>
      <c r="C244" s="2">
        <v>44883.177719907413</v>
      </c>
      <c r="D244">
        <v>0</v>
      </c>
      <c r="E244">
        <v>119</v>
      </c>
      <c r="F244" t="s">
        <v>24</v>
      </c>
      <c r="G244" t="s">
        <v>309</v>
      </c>
      <c r="H244" t="str">
        <f>HYPERLINK("https://video.twimg.com/amplify_video/1593269715505405954/vid/720x720/dZXgSkKbJ46FflD3.mp4?tag=14", "https://video.twimg.com/amplify_video/1593269715505405954/vid/720x720/dZXgSkKbJ46FflD3.mp4?tag=14")</f>
        <v>https://video.twimg.com/amplify_video/1593269715505405954/vid/720x720/dZXgSkKbJ46FflD3.mp4?tag=14</v>
      </c>
      <c r="L244">
        <v>0</v>
      </c>
      <c r="M244">
        <v>0</v>
      </c>
      <c r="N244">
        <v>1</v>
      </c>
      <c r="O244">
        <v>0</v>
      </c>
    </row>
    <row r="245" spans="1:15" x14ac:dyDescent="0.2">
      <c r="A245" s="1" t="str">
        <f>HYPERLINK("http://www.twitter.com/banuakdenizli/status/1593457600749879296", "1593457600749879296")</f>
        <v>1593457600749879296</v>
      </c>
      <c r="B245" t="s">
        <v>15</v>
      </c>
      <c r="C245" s="2">
        <v>44883.176747685182</v>
      </c>
      <c r="D245">
        <v>0</v>
      </c>
      <c r="E245">
        <v>0</v>
      </c>
      <c r="G245" t="s">
        <v>310</v>
      </c>
      <c r="H245" t="str">
        <f>HYPERLINK("http://pbs.twimg.com/media/Fh0ZPjEXoAItAMf.jpg", "http://pbs.twimg.com/media/Fh0ZPjEXoAItAMf.jpg")</f>
        <v>http://pbs.twimg.com/media/Fh0ZPjEXoAItAMf.jpg</v>
      </c>
      <c r="L245">
        <v>0</v>
      </c>
      <c r="M245">
        <v>0</v>
      </c>
      <c r="N245">
        <v>1</v>
      </c>
      <c r="O245">
        <v>0</v>
      </c>
    </row>
    <row r="246" spans="1:15" x14ac:dyDescent="0.2">
      <c r="A246" s="1" t="str">
        <f>HYPERLINK("http://www.twitter.com/banuakdenizli/status/1593327221736865793", "1593327221736865793")</f>
        <v>1593327221736865793</v>
      </c>
      <c r="B246" t="s">
        <v>15</v>
      </c>
      <c r="C246" s="2">
        <v>44882.816967592589</v>
      </c>
      <c r="D246">
        <v>0</v>
      </c>
      <c r="E246">
        <v>2</v>
      </c>
      <c r="F246" t="s">
        <v>177</v>
      </c>
      <c r="G246" t="s">
        <v>311</v>
      </c>
      <c r="H246" t="str">
        <f>HYPERLINK("http://pbs.twimg.com/media/FhyI42wXEAAk3gU.jpg", "http://pbs.twimg.com/media/FhyI42wXEAAk3gU.jpg")</f>
        <v>http://pbs.twimg.com/media/FhyI42wXEAAk3gU.jpg</v>
      </c>
      <c r="L246">
        <v>0</v>
      </c>
      <c r="M246">
        <v>0</v>
      </c>
      <c r="N246">
        <v>1</v>
      </c>
      <c r="O246">
        <v>0</v>
      </c>
    </row>
    <row r="247" spans="1:15" x14ac:dyDescent="0.2">
      <c r="A247" s="1" t="str">
        <f>HYPERLINK("http://www.twitter.com/banuakdenizli/status/1593116585333788672", "1593116585333788672")</f>
        <v>1593116585333788672</v>
      </c>
      <c r="B247" t="s">
        <v>15</v>
      </c>
      <c r="C247" s="2">
        <v>44882.235729166663</v>
      </c>
      <c r="D247">
        <v>0</v>
      </c>
      <c r="E247">
        <v>2</v>
      </c>
      <c r="F247" t="s">
        <v>312</v>
      </c>
      <c r="G247" t="s">
        <v>313</v>
      </c>
      <c r="H247" t="str">
        <f>HYPERLINK("http://pbs.twimg.com/media/FhvhYU_WAAA1A4R.jpg", "http://pbs.twimg.com/media/FhvhYU_WAAA1A4R.jpg")</f>
        <v>http://pbs.twimg.com/media/FhvhYU_WAAA1A4R.jpg</v>
      </c>
      <c r="I247" t="str">
        <f>HYPERLINK("http://pbs.twimg.com/media/FhvhYU2XoAA49LF.jpg", "http://pbs.twimg.com/media/FhvhYU2XoAA49LF.jpg")</f>
        <v>http://pbs.twimg.com/media/FhvhYU2XoAA49LF.jpg</v>
      </c>
      <c r="J247" t="str">
        <f>HYPERLINK("http://pbs.twimg.com/media/FhvhYUQXkAAvuvc.jpg", "http://pbs.twimg.com/media/FhvhYUQXkAAvuvc.jpg")</f>
        <v>http://pbs.twimg.com/media/FhvhYUQXkAAvuvc.jpg</v>
      </c>
      <c r="K247" t="str">
        <f>HYPERLINK("http://pbs.twimg.com/media/FhvhYUbWAAAUVWX.jpg", "http://pbs.twimg.com/media/FhvhYUbWAAAUVWX.jpg")</f>
        <v>http://pbs.twimg.com/media/FhvhYUbWAAAUVWX.jpg</v>
      </c>
      <c r="L247">
        <v>0</v>
      </c>
      <c r="M247">
        <v>0</v>
      </c>
      <c r="N247">
        <v>1</v>
      </c>
      <c r="O247">
        <v>0</v>
      </c>
    </row>
    <row r="248" spans="1:15" x14ac:dyDescent="0.2">
      <c r="A248" s="1" t="str">
        <f>HYPERLINK("http://www.twitter.com/banuakdenizli/status/1593075296801984512", "1593075296801984512")</f>
        <v>1593075296801984512</v>
      </c>
      <c r="B248" t="s">
        <v>15</v>
      </c>
      <c r="C248" s="2">
        <v>44882.121793981481</v>
      </c>
      <c r="D248">
        <v>0</v>
      </c>
      <c r="E248">
        <v>118</v>
      </c>
      <c r="F248" t="s">
        <v>22</v>
      </c>
      <c r="G248" t="s">
        <v>314</v>
      </c>
      <c r="H248" t="str">
        <f>HYPERLINK("http://pbs.twimg.com/media/Fhu785uXwAE3xws.jpg", "http://pbs.twimg.com/media/Fhu785uXwAE3xws.jpg")</f>
        <v>http://pbs.twimg.com/media/Fhu785uXwAE3xws.jpg</v>
      </c>
      <c r="I248" t="str">
        <f>HYPERLINK("http://pbs.twimg.com/media/Fhu80dmWAAIsY85.jpg", "http://pbs.twimg.com/media/Fhu80dmWAAIsY85.jpg")</f>
        <v>http://pbs.twimg.com/media/Fhu80dmWAAIsY85.jpg</v>
      </c>
      <c r="J248" t="str">
        <f>HYPERLINK("http://pbs.twimg.com/media/Fhu83NzX0AACz8M.jpg", "http://pbs.twimg.com/media/Fhu83NzX0AACz8M.jpg")</f>
        <v>http://pbs.twimg.com/media/Fhu83NzX0AACz8M.jpg</v>
      </c>
      <c r="L248">
        <v>-0.29599999999999999</v>
      </c>
      <c r="M248">
        <v>0.155</v>
      </c>
      <c r="N248">
        <v>0.84499999999999997</v>
      </c>
      <c r="O248">
        <v>0</v>
      </c>
    </row>
    <row r="249" spans="1:15" x14ac:dyDescent="0.2">
      <c r="A249" s="1" t="str">
        <f>HYPERLINK("http://www.twitter.com/banuakdenizli/status/1593064280798408704", "1593064280798408704")</f>
        <v>1593064280798408704</v>
      </c>
      <c r="B249" t="s">
        <v>15</v>
      </c>
      <c r="C249" s="2">
        <v>44882.09138888889</v>
      </c>
      <c r="D249">
        <v>0</v>
      </c>
      <c r="E249">
        <v>10</v>
      </c>
      <c r="F249" t="s">
        <v>24</v>
      </c>
      <c r="G249" t="s">
        <v>315</v>
      </c>
      <c r="H249" t="str">
        <f>HYPERLINK("http://pbs.twimg.com/media/Fhus0mVXkAEovGx.jpg", "http://pbs.twimg.com/media/Fhus0mVXkAEovGx.jpg")</f>
        <v>http://pbs.twimg.com/media/Fhus0mVXkAEovGx.jpg</v>
      </c>
      <c r="I249" t="str">
        <f>HYPERLINK("http://pbs.twimg.com/media/Fhus0mUWIAA7KE9.jpg", "http://pbs.twimg.com/media/Fhus0mUWIAA7KE9.jpg")</f>
        <v>http://pbs.twimg.com/media/Fhus0mUWIAA7KE9.jpg</v>
      </c>
      <c r="J249" t="str">
        <f>HYPERLINK("http://pbs.twimg.com/media/Fhus0mUX0AEqxVd.jpg", "http://pbs.twimg.com/media/Fhus0mUX0AEqxVd.jpg")</f>
        <v>http://pbs.twimg.com/media/Fhus0mUX0AEqxVd.jpg</v>
      </c>
      <c r="K249" t="str">
        <f>HYPERLINK("http://pbs.twimg.com/media/Fhus0mPWYAEL2FJ.jpg", "http://pbs.twimg.com/media/Fhus0mPWYAEL2FJ.jpg")</f>
        <v>http://pbs.twimg.com/media/Fhus0mPWYAEL2FJ.jpg</v>
      </c>
      <c r="L249">
        <v>0</v>
      </c>
      <c r="M249">
        <v>0</v>
      </c>
      <c r="N249">
        <v>1</v>
      </c>
      <c r="O249">
        <v>0</v>
      </c>
    </row>
    <row r="250" spans="1:15" x14ac:dyDescent="0.2">
      <c r="A250" s="1" t="str">
        <f>HYPERLINK("http://www.twitter.com/banuakdenizli/status/1593064143208484865", "1593064143208484865")</f>
        <v>1593064143208484865</v>
      </c>
      <c r="B250" t="s">
        <v>15</v>
      </c>
      <c r="C250" s="2">
        <v>44882.09101851852</v>
      </c>
      <c r="D250">
        <v>0</v>
      </c>
      <c r="E250">
        <v>3</v>
      </c>
      <c r="F250" t="s">
        <v>316</v>
      </c>
      <c r="G250" t="s">
        <v>317</v>
      </c>
      <c r="H250" t="str">
        <f>HYPERLINK("http://pbs.twimg.com/media/FhuUTVnVsAAjki-.jpg", "http://pbs.twimg.com/media/FhuUTVnVsAAjki-.jpg")</f>
        <v>http://pbs.twimg.com/media/FhuUTVnVsAAjki-.jpg</v>
      </c>
      <c r="L250">
        <v>0</v>
      </c>
      <c r="M250">
        <v>0</v>
      </c>
      <c r="N250">
        <v>1</v>
      </c>
      <c r="O250">
        <v>0</v>
      </c>
    </row>
    <row r="251" spans="1:15" x14ac:dyDescent="0.2">
      <c r="A251" s="1" t="str">
        <f>HYPERLINK("http://www.twitter.com/banuakdenizli/status/1593063862399815680", "1593063862399815680")</f>
        <v>1593063862399815680</v>
      </c>
      <c r="B251" t="s">
        <v>15</v>
      </c>
      <c r="C251" s="2">
        <v>44882.090243055558</v>
      </c>
      <c r="D251">
        <v>7</v>
      </c>
      <c r="E251">
        <v>1</v>
      </c>
      <c r="G251" t="s">
        <v>318</v>
      </c>
      <c r="L251">
        <v>0</v>
      </c>
      <c r="M251">
        <v>0</v>
      </c>
      <c r="N251">
        <v>1</v>
      </c>
      <c r="O251">
        <v>0</v>
      </c>
    </row>
    <row r="252" spans="1:15" x14ac:dyDescent="0.2">
      <c r="A252" s="1" t="str">
        <f>HYPERLINK("http://www.twitter.com/banuakdenizli/status/1592962223273803776", "1592962223273803776")</f>
        <v>1592962223273803776</v>
      </c>
      <c r="B252" t="s">
        <v>15</v>
      </c>
      <c r="C252" s="2">
        <v>44881.80976851852</v>
      </c>
      <c r="D252">
        <v>4</v>
      </c>
      <c r="E252">
        <v>2</v>
      </c>
      <c r="G252" t="s">
        <v>319</v>
      </c>
      <c r="H252" t="str">
        <f>HYPERLINK("http://pbs.twimg.com/media/FhtWr2iWYAQ8pHc.jpg", "http://pbs.twimg.com/media/FhtWr2iWYAQ8pHc.jpg")</f>
        <v>http://pbs.twimg.com/media/FhtWr2iWYAQ8pHc.jpg</v>
      </c>
      <c r="L252">
        <v>0</v>
      </c>
      <c r="M252">
        <v>0</v>
      </c>
      <c r="N252">
        <v>1</v>
      </c>
      <c r="O252">
        <v>0</v>
      </c>
    </row>
    <row r="253" spans="1:15" x14ac:dyDescent="0.2">
      <c r="A253" s="1" t="str">
        <f>HYPERLINK("http://www.twitter.com/banuakdenizli/status/1592959985431953408", "1592959985431953408")</f>
        <v>1592959985431953408</v>
      </c>
      <c r="B253" t="s">
        <v>15</v>
      </c>
      <c r="C253" s="2">
        <v>44881.803587962961</v>
      </c>
      <c r="D253">
        <v>0</v>
      </c>
      <c r="E253">
        <v>2728</v>
      </c>
      <c r="F253" t="s">
        <v>28</v>
      </c>
      <c r="G253" t="s">
        <v>320</v>
      </c>
      <c r="H253" t="str">
        <f>HYPERLINK("https://video.twimg.com/ext_tw_video/1592959590739705864/pu/vid/1280x720/37DO--FXc2fCWXZD.mp4?tag=12", "https://video.twimg.com/ext_tw_video/1592959590739705864/pu/vid/1280x720/37DO--FXc2fCWXZD.mp4?tag=12")</f>
        <v>https://video.twimg.com/ext_tw_video/1592959590739705864/pu/vid/1280x720/37DO--FXc2fCWXZD.mp4?tag=12</v>
      </c>
      <c r="L253">
        <v>0</v>
      </c>
      <c r="M253">
        <v>0</v>
      </c>
      <c r="N253">
        <v>1</v>
      </c>
      <c r="O253">
        <v>0</v>
      </c>
    </row>
    <row r="254" spans="1:15" x14ac:dyDescent="0.2">
      <c r="A254" s="1" t="str">
        <f>HYPERLINK("http://www.twitter.com/banuakdenizli/status/1592959818779615233", "1592959818779615233")</f>
        <v>1592959818779615233</v>
      </c>
      <c r="B254" t="s">
        <v>15</v>
      </c>
      <c r="C254" s="2">
        <v>44881.803136574083</v>
      </c>
      <c r="D254">
        <v>0</v>
      </c>
      <c r="E254">
        <v>9</v>
      </c>
      <c r="F254" t="s">
        <v>321</v>
      </c>
      <c r="G254" t="s">
        <v>322</v>
      </c>
      <c r="H254" t="str">
        <f>HYPERLINK("http://pbs.twimg.com/media/FhmtifHXEAcXfsU.jpg", "http://pbs.twimg.com/media/FhmtifHXEAcXfsU.jpg")</f>
        <v>http://pbs.twimg.com/media/FhmtifHXEAcXfsU.jpg</v>
      </c>
      <c r="L254">
        <v>0</v>
      </c>
      <c r="M254">
        <v>0</v>
      </c>
      <c r="N254">
        <v>1</v>
      </c>
      <c r="O254">
        <v>0</v>
      </c>
    </row>
    <row r="255" spans="1:15" x14ac:dyDescent="0.2">
      <c r="A255" s="1" t="str">
        <f>HYPERLINK("http://www.twitter.com/banuakdenizli/status/1592876062794711041", "1592876062794711041")</f>
        <v>1592876062794711041</v>
      </c>
      <c r="B255" t="s">
        <v>15</v>
      </c>
      <c r="C255" s="2">
        <v>44881.572013888886</v>
      </c>
      <c r="D255">
        <v>0</v>
      </c>
      <c r="E255">
        <v>25</v>
      </c>
      <c r="F255" t="s">
        <v>24</v>
      </c>
      <c r="G255" t="s">
        <v>323</v>
      </c>
      <c r="H255" t="str">
        <f>HYPERLINK("http://pbs.twimg.com/media/FhrS98oXkAEmdGV.jpg", "http://pbs.twimg.com/media/FhrS98oXkAEmdGV.jpg")</f>
        <v>http://pbs.twimg.com/media/FhrS98oXkAEmdGV.jpg</v>
      </c>
      <c r="I255" t="str">
        <f>HYPERLINK("http://pbs.twimg.com/media/FhrS98mX0AEJP8o.jpg", "http://pbs.twimg.com/media/FhrS98mX0AEJP8o.jpg")</f>
        <v>http://pbs.twimg.com/media/FhrS98mX0AEJP8o.jpg</v>
      </c>
      <c r="L255">
        <v>0.52669999999999995</v>
      </c>
      <c r="M255">
        <v>0</v>
      </c>
      <c r="N255">
        <v>0.91100000000000003</v>
      </c>
      <c r="O255">
        <v>8.8999999999999996E-2</v>
      </c>
    </row>
    <row r="256" spans="1:15" x14ac:dyDescent="0.2">
      <c r="A256" s="1" t="str">
        <f>HYPERLINK("http://www.twitter.com/banuakdenizli/status/1592876011041198082", "1592876011041198082")</f>
        <v>1592876011041198082</v>
      </c>
      <c r="B256" t="s">
        <v>15</v>
      </c>
      <c r="C256" s="2">
        <v>44881.571863425917</v>
      </c>
      <c r="D256">
        <v>0</v>
      </c>
      <c r="E256">
        <v>6</v>
      </c>
      <c r="F256" t="s">
        <v>36</v>
      </c>
      <c r="G256" t="s">
        <v>324</v>
      </c>
      <c r="H256" t="str">
        <f>HYPERLINK("https://video.twimg.com/ext_tw_video/1592870018345222145/pu/vid/720x900/9eXVI4Dy7JRvucwO.mp4?tag=12", "https://video.twimg.com/ext_tw_video/1592870018345222145/pu/vid/720x900/9eXVI4Dy7JRvucwO.mp4?tag=12")</f>
        <v>https://video.twimg.com/ext_tw_video/1592870018345222145/pu/vid/720x900/9eXVI4Dy7JRvucwO.mp4?tag=12</v>
      </c>
      <c r="L256">
        <v>0.73280000000000001</v>
      </c>
      <c r="M256">
        <v>0</v>
      </c>
      <c r="N256">
        <v>0.81899999999999995</v>
      </c>
      <c r="O256">
        <v>0.18099999999999999</v>
      </c>
    </row>
    <row r="257" spans="1:15" x14ac:dyDescent="0.2">
      <c r="A257" s="1" t="str">
        <f>HYPERLINK("http://www.twitter.com/banuakdenizli/status/1592861934571106304", "1592861934571106304")</f>
        <v>1592861934571106304</v>
      </c>
      <c r="B257" t="s">
        <v>15</v>
      </c>
      <c r="C257" s="2">
        <v>44881.533020833333</v>
      </c>
      <c r="D257">
        <v>3</v>
      </c>
      <c r="E257">
        <v>2</v>
      </c>
      <c r="G257" t="s">
        <v>325</v>
      </c>
      <c r="L257">
        <v>0</v>
      </c>
      <c r="M257">
        <v>0</v>
      </c>
      <c r="N257">
        <v>1</v>
      </c>
      <c r="O257">
        <v>0</v>
      </c>
    </row>
    <row r="258" spans="1:15" x14ac:dyDescent="0.2">
      <c r="A258" s="1" t="str">
        <f>HYPERLINK("http://www.twitter.com/banuakdenizli/status/1592860050166775808", "1592860050166775808")</f>
        <v>1592860050166775808</v>
      </c>
      <c r="B258" t="s">
        <v>15</v>
      </c>
      <c r="C258" s="2">
        <v>44881.527824074074</v>
      </c>
      <c r="D258">
        <v>40</v>
      </c>
      <c r="E258">
        <v>17</v>
      </c>
      <c r="G258" t="s">
        <v>326</v>
      </c>
      <c r="H258" t="str">
        <f>HYPERLINK("http://pbs.twimg.com/media/Fhr5xfeX0AA477c.jpg", "http://pbs.twimg.com/media/Fhr5xfeX0AA477c.jpg")</f>
        <v>http://pbs.twimg.com/media/Fhr5xfeX0AA477c.jpg</v>
      </c>
      <c r="L258">
        <v>0</v>
      </c>
      <c r="M258">
        <v>0</v>
      </c>
      <c r="N258">
        <v>1</v>
      </c>
      <c r="O258">
        <v>0</v>
      </c>
    </row>
    <row r="259" spans="1:15" x14ac:dyDescent="0.2">
      <c r="A259" s="1" t="str">
        <f>HYPERLINK("http://www.twitter.com/banuakdenizli/status/1592807441284009984", "1592807441284009984")</f>
        <v>1592807441284009984</v>
      </c>
      <c r="B259" t="s">
        <v>15</v>
      </c>
      <c r="C259" s="2">
        <v>44881.382650462961</v>
      </c>
      <c r="D259">
        <v>0</v>
      </c>
      <c r="E259">
        <v>176</v>
      </c>
      <c r="F259" t="s">
        <v>28</v>
      </c>
      <c r="G259" t="s">
        <v>327</v>
      </c>
      <c r="H259" t="str">
        <f>HYPERLINK("http://pbs.twimg.com/media/Fhnmu6fXgAI_Vig.jpg", "http://pbs.twimg.com/media/Fhnmu6fXgAI_Vig.jpg")</f>
        <v>http://pbs.twimg.com/media/Fhnmu6fXgAI_Vig.jpg</v>
      </c>
      <c r="L259">
        <v>0</v>
      </c>
      <c r="M259">
        <v>0</v>
      </c>
      <c r="N259">
        <v>1</v>
      </c>
      <c r="O259">
        <v>0</v>
      </c>
    </row>
    <row r="260" spans="1:15" x14ac:dyDescent="0.2">
      <c r="A260" s="1" t="str">
        <f>HYPERLINK("http://www.twitter.com/banuakdenizli/status/1592733607621431297", "1592733607621431297")</f>
        <v>1592733607621431297</v>
      </c>
      <c r="B260" t="s">
        <v>15</v>
      </c>
      <c r="C260" s="2">
        <v>44881.178912037038</v>
      </c>
      <c r="D260">
        <v>0</v>
      </c>
      <c r="E260">
        <v>208</v>
      </c>
      <c r="F260" t="s">
        <v>22</v>
      </c>
      <c r="G260" t="s">
        <v>328</v>
      </c>
      <c r="H260" t="str">
        <f>HYPERLINK("https://video.twimg.com/amplify_video/1589269701087019008/vid/1280x720/bqhVeIHMJ63C9vO_.mp4?tag=14", "https://video.twimg.com/amplify_video/1589269701087019008/vid/1280x720/bqhVeIHMJ63C9vO_.mp4?tag=14")</f>
        <v>https://video.twimg.com/amplify_video/1589269701087019008/vid/1280x720/bqhVeIHMJ63C9vO_.mp4?tag=14</v>
      </c>
      <c r="L260">
        <v>0</v>
      </c>
      <c r="M260">
        <v>0</v>
      </c>
      <c r="N260">
        <v>1</v>
      </c>
      <c r="O260">
        <v>0</v>
      </c>
    </row>
    <row r="261" spans="1:15" x14ac:dyDescent="0.2">
      <c r="A261" s="1" t="str">
        <f>HYPERLINK("http://www.twitter.com/banuakdenizli/status/1592733182679711747", "1592733182679711747")</f>
        <v>1592733182679711747</v>
      </c>
      <c r="B261" t="s">
        <v>15</v>
      </c>
      <c r="C261" s="2">
        <v>44881.177731481483</v>
      </c>
      <c r="D261">
        <v>1</v>
      </c>
      <c r="E261">
        <v>0</v>
      </c>
      <c r="G261" t="s">
        <v>329</v>
      </c>
      <c r="L261">
        <v>-0.4466</v>
      </c>
      <c r="M261">
        <v>0.11799999999999999</v>
      </c>
      <c r="N261">
        <v>0.88200000000000001</v>
      </c>
      <c r="O261">
        <v>0</v>
      </c>
    </row>
    <row r="262" spans="1:15" x14ac:dyDescent="0.2">
      <c r="A262" s="1" t="str">
        <f>HYPERLINK("http://www.twitter.com/banuakdenizli/status/1592732841850572800", "1592732841850572800")</f>
        <v>1592732841850572800</v>
      </c>
      <c r="B262" t="s">
        <v>15</v>
      </c>
      <c r="C262" s="2">
        <v>44881.176793981482</v>
      </c>
      <c r="D262">
        <v>0</v>
      </c>
      <c r="E262">
        <v>3</v>
      </c>
      <c r="F262" t="s">
        <v>265</v>
      </c>
      <c r="G262" t="s">
        <v>330</v>
      </c>
      <c r="H262" t="str">
        <f>HYPERLINK("https://video.twimg.com/ext_tw_video/1592139786973749250/pu/vid/720x900/rJ9KDHu7RDYVmS9V.mp4?tag=12", "https://video.twimg.com/ext_tw_video/1592139786973749250/pu/vid/720x900/rJ9KDHu7RDYVmS9V.mp4?tag=12")</f>
        <v>https://video.twimg.com/ext_tw_video/1592139786973749250/pu/vid/720x900/rJ9KDHu7RDYVmS9V.mp4?tag=12</v>
      </c>
      <c r="L262">
        <v>0</v>
      </c>
      <c r="M262">
        <v>0</v>
      </c>
      <c r="N262">
        <v>1</v>
      </c>
      <c r="O262">
        <v>0</v>
      </c>
    </row>
    <row r="263" spans="1:15" x14ac:dyDescent="0.2">
      <c r="A263" s="1" t="str">
        <f>HYPERLINK("http://www.twitter.com/banuakdenizli/status/1592243571859787776", "1592243571859787776")</f>
        <v>1592243571859787776</v>
      </c>
      <c r="B263" t="s">
        <v>15</v>
      </c>
      <c r="C263" s="2">
        <v>44879.826666666668</v>
      </c>
      <c r="D263">
        <v>9</v>
      </c>
      <c r="E263">
        <v>2</v>
      </c>
      <c r="G263" t="s">
        <v>331</v>
      </c>
      <c r="H263" t="str">
        <f>HYPERLINK("http://pbs.twimg.com/media/FhjJFwpWIAAke1b.jpg", "http://pbs.twimg.com/media/FhjJFwpWIAAke1b.jpg")</f>
        <v>http://pbs.twimg.com/media/FhjJFwpWIAAke1b.jpg</v>
      </c>
      <c r="L263">
        <v>0</v>
      </c>
      <c r="M263">
        <v>0</v>
      </c>
      <c r="N263">
        <v>1</v>
      </c>
      <c r="O263">
        <v>0</v>
      </c>
    </row>
    <row r="264" spans="1:15" x14ac:dyDescent="0.2">
      <c r="A264" s="1" t="str">
        <f>HYPERLINK("http://www.twitter.com/banuakdenizli/status/1592218882206752769", "1592218882206752769")</f>
        <v>1592218882206752769</v>
      </c>
      <c r="B264" t="s">
        <v>15</v>
      </c>
      <c r="C264" s="2">
        <v>44879.75854166667</v>
      </c>
      <c r="D264">
        <v>0</v>
      </c>
      <c r="E264">
        <v>125</v>
      </c>
      <c r="F264" t="s">
        <v>30</v>
      </c>
      <c r="G264" t="s">
        <v>332</v>
      </c>
      <c r="L264">
        <v>0.42909999999999998</v>
      </c>
      <c r="M264">
        <v>0</v>
      </c>
      <c r="N264">
        <v>0.77900000000000003</v>
      </c>
      <c r="O264">
        <v>0.221</v>
      </c>
    </row>
    <row r="265" spans="1:15" x14ac:dyDescent="0.2">
      <c r="A265" s="1" t="str">
        <f>HYPERLINK("http://www.twitter.com/banuakdenizli/status/1592218825516367872", "1592218825516367872")</f>
        <v>1592218825516367872</v>
      </c>
      <c r="B265" t="s">
        <v>15</v>
      </c>
      <c r="C265" s="2">
        <v>44879.758379629631</v>
      </c>
      <c r="D265">
        <v>0</v>
      </c>
      <c r="E265">
        <v>142</v>
      </c>
      <c r="F265" t="s">
        <v>22</v>
      </c>
      <c r="G265" t="s">
        <v>333</v>
      </c>
      <c r="H265" t="str">
        <f>HYPERLINK("https://video.twimg.com/amplify_video/1592165455258873856/vid/720x720/-Yx3eYp-KWwKK5lM.mp4?tag=14", "https://video.twimg.com/amplify_video/1592165455258873856/vid/720x720/-Yx3eYp-KWwKK5lM.mp4?tag=14")</f>
        <v>https://video.twimg.com/amplify_video/1592165455258873856/vid/720x720/-Yx3eYp-KWwKK5lM.mp4?tag=14</v>
      </c>
      <c r="L265">
        <v>0</v>
      </c>
      <c r="M265">
        <v>0</v>
      </c>
      <c r="N265">
        <v>1</v>
      </c>
      <c r="O265">
        <v>0</v>
      </c>
    </row>
    <row r="266" spans="1:15" x14ac:dyDescent="0.2">
      <c r="A266" s="1" t="str">
        <f>HYPERLINK("http://www.twitter.com/banuakdenizli/status/1592061945414553600", "1592061945414553600")</f>
        <v>1592061945414553600</v>
      </c>
      <c r="B266" t="s">
        <v>15</v>
      </c>
      <c r="C266" s="2">
        <v>44879.325474537043</v>
      </c>
      <c r="D266">
        <v>10</v>
      </c>
      <c r="E266">
        <v>3</v>
      </c>
      <c r="G266" t="s">
        <v>334</v>
      </c>
      <c r="H266" t="str">
        <f>HYPERLINK("http://pbs.twimg.com/media/Fhgj5soX0AAYLf5.jpg", "http://pbs.twimg.com/media/Fhgj5soX0AAYLf5.jpg")</f>
        <v>http://pbs.twimg.com/media/Fhgj5soX0AAYLf5.jpg</v>
      </c>
      <c r="L266">
        <v>0</v>
      </c>
      <c r="M266">
        <v>0</v>
      </c>
      <c r="N266">
        <v>1</v>
      </c>
      <c r="O266">
        <v>0</v>
      </c>
    </row>
    <row r="267" spans="1:15" x14ac:dyDescent="0.2">
      <c r="A267" s="1" t="str">
        <f>HYPERLINK("http://www.twitter.com/banuakdenizli/status/1592061677381591040", "1592061677381591040")</f>
        <v>1592061677381591040</v>
      </c>
      <c r="B267" t="s">
        <v>15</v>
      </c>
      <c r="C267" s="2">
        <v>44879.324733796297</v>
      </c>
      <c r="D267">
        <v>26</v>
      </c>
      <c r="E267">
        <v>7</v>
      </c>
      <c r="G267" t="s">
        <v>335</v>
      </c>
      <c r="H267" t="str">
        <f>HYPERLINK("http://pbs.twimg.com/media/Fhgjo8_XwAASiNI.jpg", "http://pbs.twimg.com/media/Fhgjo8_XwAASiNI.jpg")</f>
        <v>http://pbs.twimg.com/media/Fhgjo8_XwAASiNI.jpg</v>
      </c>
      <c r="I267" t="str">
        <f>HYPERLINK("http://pbs.twimg.com/media/FhgjpbfWAAULHrO.jpg", "http://pbs.twimg.com/media/FhgjpbfWAAULHrO.jpg")</f>
        <v>http://pbs.twimg.com/media/FhgjpbfWAAULHrO.jpg</v>
      </c>
      <c r="J267" t="str">
        <f>HYPERLINK("http://pbs.twimg.com/media/FhgjqCCWIAEatNs.jpg", "http://pbs.twimg.com/media/FhgjqCCWIAEatNs.jpg")</f>
        <v>http://pbs.twimg.com/media/FhgjqCCWIAEatNs.jpg</v>
      </c>
      <c r="L267">
        <v>0</v>
      </c>
      <c r="M267">
        <v>0</v>
      </c>
      <c r="N267">
        <v>1</v>
      </c>
      <c r="O267">
        <v>0</v>
      </c>
    </row>
    <row r="268" spans="1:15" x14ac:dyDescent="0.2">
      <c r="A268" s="1" t="str">
        <f>HYPERLINK("http://www.twitter.com/banuakdenizli/status/1592061445482909696", "1592061445482909696")</f>
        <v>1592061445482909696</v>
      </c>
      <c r="B268" t="s">
        <v>15</v>
      </c>
      <c r="C268" s="2">
        <v>44879.324097222219</v>
      </c>
      <c r="D268">
        <v>19</v>
      </c>
      <c r="E268">
        <v>4</v>
      </c>
      <c r="G268" t="s">
        <v>336</v>
      </c>
      <c r="H268" t="str">
        <f>HYPERLINK("http://pbs.twimg.com/media/Fhgjb4wXoAEApZB.jpg", "http://pbs.twimg.com/media/Fhgjb4wXoAEApZB.jpg")</f>
        <v>http://pbs.twimg.com/media/Fhgjb4wXoAEApZB.jpg</v>
      </c>
      <c r="L268">
        <v>0</v>
      </c>
      <c r="M268">
        <v>0</v>
      </c>
      <c r="N268">
        <v>1</v>
      </c>
      <c r="O268">
        <v>0</v>
      </c>
    </row>
    <row r="269" spans="1:15" x14ac:dyDescent="0.2">
      <c r="A269" s="1" t="str">
        <f>HYPERLINK("http://www.twitter.com/banuakdenizli/status/1591784693912977408", "1591784693912977408")</f>
        <v>1591784693912977408</v>
      </c>
      <c r="B269" t="s">
        <v>15</v>
      </c>
      <c r="C269" s="2">
        <v>44878.56040509259</v>
      </c>
      <c r="D269">
        <v>163</v>
      </c>
      <c r="E269">
        <v>24</v>
      </c>
      <c r="G269" t="s">
        <v>337</v>
      </c>
      <c r="H269" t="str">
        <f>HYPERLINK("http://pbs.twimg.com/media/FhcnviuWIAAYYST.jpg", "http://pbs.twimg.com/media/FhcnviuWIAAYYST.jpg")</f>
        <v>http://pbs.twimg.com/media/FhcnviuWIAAYYST.jpg</v>
      </c>
      <c r="L269">
        <v>0</v>
      </c>
      <c r="M269">
        <v>0</v>
      </c>
      <c r="N269">
        <v>1</v>
      </c>
      <c r="O269">
        <v>0</v>
      </c>
    </row>
    <row r="270" spans="1:15" x14ac:dyDescent="0.2">
      <c r="A270" s="1" t="str">
        <f>HYPERLINK("http://www.twitter.com/banuakdenizli/status/1591746163929223169", "1591746163929223169")</f>
        <v>1591746163929223169</v>
      </c>
      <c r="B270" t="s">
        <v>15</v>
      </c>
      <c r="C270" s="2">
        <v>44878.454085648147</v>
      </c>
      <c r="D270">
        <v>21</v>
      </c>
      <c r="E270">
        <v>2</v>
      </c>
      <c r="G270" t="s">
        <v>338</v>
      </c>
      <c r="H270" t="str">
        <f>HYPERLINK("http://pbs.twimg.com/media/FhcDpaSXwAAIpkF.jpg", "http://pbs.twimg.com/media/FhcDpaSXwAAIpkF.jpg")</f>
        <v>http://pbs.twimg.com/media/FhcDpaSXwAAIpkF.jpg</v>
      </c>
      <c r="I270" t="str">
        <f>HYPERLINK("http://pbs.twimg.com/media/FhcDqbVWQAAXS9X.jpg", "http://pbs.twimg.com/media/FhcDqbVWQAAXS9X.jpg")</f>
        <v>http://pbs.twimg.com/media/FhcDqbVWQAAXS9X.jpg</v>
      </c>
      <c r="J270" t="str">
        <f>HYPERLINK("http://pbs.twimg.com/media/FhcDqbUXwAQL9Cu.jpg", "http://pbs.twimg.com/media/FhcDqbUXwAQL9Cu.jpg")</f>
        <v>http://pbs.twimg.com/media/FhcDqbUXwAQL9Cu.jpg</v>
      </c>
      <c r="L270">
        <v>0</v>
      </c>
      <c r="M270">
        <v>0</v>
      </c>
      <c r="N270">
        <v>1</v>
      </c>
      <c r="O270">
        <v>0</v>
      </c>
    </row>
    <row r="271" spans="1:15" x14ac:dyDescent="0.2">
      <c r="A271" s="1" t="str">
        <f>HYPERLINK("http://www.twitter.com/banuakdenizli/status/1591448837624823808", "1591448837624823808")</f>
        <v>1591448837624823808</v>
      </c>
      <c r="B271" t="s">
        <v>15</v>
      </c>
      <c r="C271" s="2">
        <v>44877.633622685193</v>
      </c>
      <c r="D271">
        <v>2</v>
      </c>
      <c r="E271">
        <v>0</v>
      </c>
      <c r="G271" t="s">
        <v>339</v>
      </c>
      <c r="L271">
        <v>0</v>
      </c>
      <c r="M271">
        <v>0</v>
      </c>
      <c r="N271">
        <v>1</v>
      </c>
      <c r="O271">
        <v>0</v>
      </c>
    </row>
    <row r="272" spans="1:15" x14ac:dyDescent="0.2">
      <c r="A272" s="1" t="str">
        <f>HYPERLINK("http://www.twitter.com/banuakdenizli/status/1591306283654811649", "1591306283654811649")</f>
        <v>1591306283654811649</v>
      </c>
      <c r="B272" t="s">
        <v>15</v>
      </c>
      <c r="C272" s="2">
        <v>44877.240243055552</v>
      </c>
      <c r="D272">
        <v>12</v>
      </c>
      <c r="E272">
        <v>4</v>
      </c>
      <c r="G272" t="s">
        <v>340</v>
      </c>
      <c r="L272">
        <v>0</v>
      </c>
      <c r="M272">
        <v>0</v>
      </c>
      <c r="N272">
        <v>1</v>
      </c>
      <c r="O272">
        <v>0</v>
      </c>
    </row>
    <row r="273" spans="1:15" x14ac:dyDescent="0.2">
      <c r="A273" s="1" t="str">
        <f>HYPERLINK("http://www.twitter.com/banuakdenizli/status/1591134460422262784", "1591134460422262784")</f>
        <v>1591134460422262784</v>
      </c>
      <c r="B273" t="s">
        <v>15</v>
      </c>
      <c r="C273" s="2">
        <v>44876.766099537039</v>
      </c>
      <c r="D273">
        <v>0</v>
      </c>
      <c r="E273">
        <v>585</v>
      </c>
      <c r="F273" t="s">
        <v>30</v>
      </c>
      <c r="G273" t="s">
        <v>341</v>
      </c>
      <c r="H273" t="str">
        <f>HYPERLINK("https://video.twimg.com/amplify_video/1590747980906102786/vid/720x900/YnpusKTJ-Mf0jTK8.mp4?tag=14", "https://video.twimg.com/amplify_video/1590747980906102786/vid/720x900/YnpusKTJ-Mf0jTK8.mp4?tag=14")</f>
        <v>https://video.twimg.com/amplify_video/1590747980906102786/vid/720x900/YnpusKTJ-Mf0jTK8.mp4?tag=14</v>
      </c>
      <c r="L273">
        <v>0</v>
      </c>
      <c r="M273">
        <v>0</v>
      </c>
      <c r="N273">
        <v>1</v>
      </c>
      <c r="O273">
        <v>0</v>
      </c>
    </row>
    <row r="274" spans="1:15" x14ac:dyDescent="0.2">
      <c r="A274" s="1" t="str">
        <f>HYPERLINK("http://www.twitter.com/banuakdenizli/status/1591134249910153218", "1591134249910153218")</f>
        <v>1591134249910153218</v>
      </c>
      <c r="B274" t="s">
        <v>15</v>
      </c>
      <c r="C274" s="2">
        <v>44876.765520833331</v>
      </c>
      <c r="D274">
        <v>0</v>
      </c>
      <c r="E274">
        <v>10</v>
      </c>
      <c r="F274" t="s">
        <v>24</v>
      </c>
      <c r="G274" t="s">
        <v>342</v>
      </c>
      <c r="H274" t="str">
        <f>HYPERLINK("https://video.twimg.com/amplify_video/1590792664722460672/vid/1280x720/LQHkEpg7Ua8ybmKq.mp4?tag=14", "https://video.twimg.com/amplify_video/1590792664722460672/vid/1280x720/LQHkEpg7Ua8ybmKq.mp4?tag=14")</f>
        <v>https://video.twimg.com/amplify_video/1590792664722460672/vid/1280x720/LQHkEpg7Ua8ybmKq.mp4?tag=14</v>
      </c>
      <c r="L274">
        <v>0</v>
      </c>
      <c r="M274">
        <v>0</v>
      </c>
      <c r="N274">
        <v>1</v>
      </c>
      <c r="O274">
        <v>0</v>
      </c>
    </row>
    <row r="275" spans="1:15" x14ac:dyDescent="0.2">
      <c r="A275" s="1" t="str">
        <f>HYPERLINK("http://www.twitter.com/banuakdenizli/status/1591134167190102016", "1591134167190102016")</f>
        <v>1591134167190102016</v>
      </c>
      <c r="B275" t="s">
        <v>15</v>
      </c>
      <c r="C275" s="2">
        <v>44876.765289351853</v>
      </c>
      <c r="D275">
        <v>0</v>
      </c>
      <c r="E275">
        <v>59</v>
      </c>
      <c r="F275" t="s">
        <v>23</v>
      </c>
      <c r="G275" t="s">
        <v>343</v>
      </c>
      <c r="H275" t="str">
        <f>HYPERLINK("http://pbs.twimg.com/media/FhTTz5-WABE5KKk.jpg", "http://pbs.twimg.com/media/FhTTz5-WABE5KKk.jpg")</f>
        <v>http://pbs.twimg.com/media/FhTTz5-WABE5KKk.jpg</v>
      </c>
      <c r="L275">
        <v>0</v>
      </c>
      <c r="M275">
        <v>0</v>
      </c>
      <c r="N275">
        <v>1</v>
      </c>
      <c r="O275">
        <v>0</v>
      </c>
    </row>
    <row r="276" spans="1:15" x14ac:dyDescent="0.2">
      <c r="A276" s="1" t="str">
        <f>HYPERLINK("http://www.twitter.com/banuakdenizli/status/1591134081768906753", "1591134081768906753")</f>
        <v>1591134081768906753</v>
      </c>
      <c r="B276" t="s">
        <v>15</v>
      </c>
      <c r="C276" s="2">
        <v>44876.765057870369</v>
      </c>
      <c r="D276">
        <v>0</v>
      </c>
      <c r="E276">
        <v>19</v>
      </c>
      <c r="F276" t="s">
        <v>17</v>
      </c>
      <c r="G276" t="s">
        <v>344</v>
      </c>
      <c r="H276" t="str">
        <f>HYPERLINK("https://video.twimg.com/ext_tw_video/1591132728681955347/pu/vid/352x640/6bvP3OmPYsTbib5o.mp4?tag=12", "https://video.twimg.com/ext_tw_video/1591132728681955347/pu/vid/352x640/6bvP3OmPYsTbib5o.mp4?tag=12")</f>
        <v>https://video.twimg.com/ext_tw_video/1591132728681955347/pu/vid/352x640/6bvP3OmPYsTbib5o.mp4?tag=12</v>
      </c>
      <c r="L276">
        <v>0</v>
      </c>
      <c r="M276">
        <v>0</v>
      </c>
      <c r="N276">
        <v>1</v>
      </c>
      <c r="O276">
        <v>0</v>
      </c>
    </row>
    <row r="277" spans="1:15" x14ac:dyDescent="0.2">
      <c r="A277" s="1" t="str">
        <f>HYPERLINK("http://www.twitter.com/banuakdenizli/status/1591119091497988096", "1591119091497988096")</f>
        <v>1591119091497988096</v>
      </c>
      <c r="B277" t="s">
        <v>15</v>
      </c>
      <c r="C277" s="2">
        <v>44876.723692129628</v>
      </c>
      <c r="D277">
        <v>0</v>
      </c>
      <c r="E277">
        <v>3</v>
      </c>
      <c r="F277" t="s">
        <v>17</v>
      </c>
      <c r="G277" t="s">
        <v>345</v>
      </c>
      <c r="L277">
        <v>0</v>
      </c>
      <c r="M277">
        <v>0</v>
      </c>
      <c r="N277">
        <v>1</v>
      </c>
      <c r="O277">
        <v>0</v>
      </c>
    </row>
    <row r="278" spans="1:15" x14ac:dyDescent="0.2">
      <c r="A278" s="1" t="str">
        <f>HYPERLINK("http://www.twitter.com/banuakdenizli/status/1591119030609653760", "1591119030609653760")</f>
        <v>1591119030609653760</v>
      </c>
      <c r="B278" t="s">
        <v>15</v>
      </c>
      <c r="C278" s="2">
        <v>44876.723530092589</v>
      </c>
      <c r="D278">
        <v>0</v>
      </c>
      <c r="E278">
        <v>7</v>
      </c>
      <c r="F278" t="s">
        <v>31</v>
      </c>
      <c r="G278" t="s">
        <v>346</v>
      </c>
      <c r="H278" t="str">
        <f>HYPERLINK("https://video.twimg.com/ext_tw_video/1591097653948997635/pu/vid/1280x720/BfTtvoM6IZ8VXZWn.mp4?tag=12", "https://video.twimg.com/ext_tw_video/1591097653948997635/pu/vid/1280x720/BfTtvoM6IZ8VXZWn.mp4?tag=12")</f>
        <v>https://video.twimg.com/ext_tw_video/1591097653948997635/pu/vid/1280x720/BfTtvoM6IZ8VXZWn.mp4?tag=12</v>
      </c>
      <c r="L278">
        <v>0</v>
      </c>
      <c r="M278">
        <v>0</v>
      </c>
      <c r="N278">
        <v>1</v>
      </c>
      <c r="O278">
        <v>0</v>
      </c>
    </row>
    <row r="279" spans="1:15" x14ac:dyDescent="0.2">
      <c r="A279" s="1" t="str">
        <f>HYPERLINK("http://www.twitter.com/banuakdenizli/status/1591118991803961345", "1591118991803961345")</f>
        <v>1591118991803961345</v>
      </c>
      <c r="B279" t="s">
        <v>15</v>
      </c>
      <c r="C279" s="2">
        <v>44876.723414351851</v>
      </c>
      <c r="D279">
        <v>0</v>
      </c>
      <c r="E279">
        <v>143</v>
      </c>
      <c r="F279" t="s">
        <v>28</v>
      </c>
      <c r="G279" t="s">
        <v>347</v>
      </c>
      <c r="H279" t="str">
        <f>HYPERLINK("http://pbs.twimg.com/media/FhQMj33WQAE-6Qt.jpg", "http://pbs.twimg.com/media/FhQMj33WQAE-6Qt.jpg")</f>
        <v>http://pbs.twimg.com/media/FhQMj33WQAE-6Qt.jpg</v>
      </c>
      <c r="L279">
        <v>0</v>
      </c>
      <c r="M279">
        <v>0</v>
      </c>
      <c r="N279">
        <v>1</v>
      </c>
      <c r="O279">
        <v>0</v>
      </c>
    </row>
    <row r="280" spans="1:15" x14ac:dyDescent="0.2">
      <c r="A280" s="1" t="str">
        <f>HYPERLINK("http://www.twitter.com/banuakdenizli/status/1591118876435419139", "1591118876435419139")</f>
        <v>1591118876435419139</v>
      </c>
      <c r="B280" t="s">
        <v>15</v>
      </c>
      <c r="C280" s="2">
        <v>44876.723101851851</v>
      </c>
      <c r="D280">
        <v>0</v>
      </c>
      <c r="E280">
        <v>673</v>
      </c>
      <c r="F280" t="s">
        <v>24</v>
      </c>
      <c r="G280" t="s">
        <v>348</v>
      </c>
      <c r="H280" t="str">
        <f>HYPERLINK("https://video.twimg.com/ext_tw_video/1591068680460374019/pu/vid/720x1280/EmavH83xraOrlus2.mp4?tag=12", "https://video.twimg.com/ext_tw_video/1591068680460374019/pu/vid/720x1280/EmavH83xraOrlus2.mp4?tag=12")</f>
        <v>https://video.twimg.com/ext_tw_video/1591068680460374019/pu/vid/720x1280/EmavH83xraOrlus2.mp4?tag=12</v>
      </c>
      <c r="L280">
        <v>0.52549999999999997</v>
      </c>
      <c r="M280">
        <v>0</v>
      </c>
      <c r="N280">
        <v>0.78</v>
      </c>
      <c r="O280">
        <v>0.22</v>
      </c>
    </row>
    <row r="281" spans="1:15" x14ac:dyDescent="0.2">
      <c r="A281" s="1" t="str">
        <f>HYPERLINK("http://www.twitter.com/banuakdenizli/status/1591118843941879810", "1591118843941879810")</f>
        <v>1591118843941879810</v>
      </c>
      <c r="B281" t="s">
        <v>15</v>
      </c>
      <c r="C281" s="2">
        <v>44876.723009259258</v>
      </c>
      <c r="D281">
        <v>0</v>
      </c>
      <c r="E281">
        <v>3</v>
      </c>
      <c r="F281" t="s">
        <v>312</v>
      </c>
      <c r="G281" t="s">
        <v>349</v>
      </c>
      <c r="H281" t="str">
        <f>HYPERLINK("https://video.twimg.com/ext_tw_video/1591093161459421189/pu/vid/960x720/x91SZfQTE-E0JIP7.mp4?tag=12", "https://video.twimg.com/ext_tw_video/1591093161459421189/pu/vid/960x720/x91SZfQTE-E0JIP7.mp4?tag=12")</f>
        <v>https://video.twimg.com/ext_tw_video/1591093161459421189/pu/vid/960x720/x91SZfQTE-E0JIP7.mp4?tag=12</v>
      </c>
      <c r="L281">
        <v>0.72629999999999995</v>
      </c>
      <c r="M281">
        <v>0</v>
      </c>
      <c r="N281">
        <v>0.82099999999999995</v>
      </c>
      <c r="O281">
        <v>0.17899999999999999</v>
      </c>
    </row>
    <row r="282" spans="1:15" x14ac:dyDescent="0.2">
      <c r="A282" s="1" t="str">
        <f>HYPERLINK("http://www.twitter.com/banuakdenizli/status/1591118784764735488", "1591118784764735488")</f>
        <v>1591118784764735488</v>
      </c>
      <c r="B282" t="s">
        <v>15</v>
      </c>
      <c r="C282" s="2">
        <v>44876.72284722222</v>
      </c>
      <c r="D282">
        <v>0</v>
      </c>
      <c r="E282">
        <v>1727</v>
      </c>
      <c r="F282" t="s">
        <v>28</v>
      </c>
      <c r="G282" t="s">
        <v>350</v>
      </c>
      <c r="H282" t="str">
        <f>HYPERLINK("https://video.twimg.com/ext_tw_video/1591117263775666176/pu/vid/360x640/oGgVEZXd1xqneM-R.mp4?tag=12", "https://video.twimg.com/ext_tw_video/1591117263775666176/pu/vid/360x640/oGgVEZXd1xqneM-R.mp4?tag=12")</f>
        <v>https://video.twimg.com/ext_tw_video/1591117263775666176/pu/vid/360x640/oGgVEZXd1xqneM-R.mp4?tag=12</v>
      </c>
      <c r="L282">
        <v>0</v>
      </c>
      <c r="M282">
        <v>0</v>
      </c>
      <c r="N282">
        <v>1</v>
      </c>
      <c r="O282">
        <v>0</v>
      </c>
    </row>
    <row r="283" spans="1:15" x14ac:dyDescent="0.2">
      <c r="A283" s="1" t="str">
        <f>HYPERLINK("http://www.twitter.com/banuakdenizli/status/1591095246347464704", "1591095246347464704")</f>
        <v>1591095246347464704</v>
      </c>
      <c r="B283" t="s">
        <v>15</v>
      </c>
      <c r="C283" s="2">
        <v>44876.657893518517</v>
      </c>
      <c r="D283">
        <v>0</v>
      </c>
      <c r="E283">
        <v>5910</v>
      </c>
      <c r="F283" t="s">
        <v>28</v>
      </c>
      <c r="G283" t="s">
        <v>351</v>
      </c>
      <c r="H283" t="str">
        <f>HYPERLINK("http://pbs.twimg.com/media/FhSs1h-XoAAhuuL.jpg", "http://pbs.twimg.com/media/FhSs1h-XoAAhuuL.jpg")</f>
        <v>http://pbs.twimg.com/media/FhSs1h-XoAAhuuL.jpg</v>
      </c>
      <c r="L283">
        <v>0</v>
      </c>
      <c r="M283">
        <v>0</v>
      </c>
      <c r="N283">
        <v>1</v>
      </c>
      <c r="O283">
        <v>0</v>
      </c>
    </row>
    <row r="284" spans="1:15" x14ac:dyDescent="0.2">
      <c r="A284" s="1" t="str">
        <f>HYPERLINK("http://www.twitter.com/banuakdenizli/status/1591095178550710272", "1591095178550710272")</f>
        <v>1591095178550710272</v>
      </c>
      <c r="B284" t="s">
        <v>15</v>
      </c>
      <c r="C284" s="2">
        <v>44876.657708333332</v>
      </c>
      <c r="D284">
        <v>0</v>
      </c>
      <c r="E284">
        <v>16672</v>
      </c>
      <c r="F284" t="s">
        <v>28</v>
      </c>
      <c r="G284" t="s">
        <v>352</v>
      </c>
      <c r="H284" t="str">
        <f>HYPERLINK("https://video.twimg.com/ext_tw_video/1591082460716072964/pu/vid/512x640/UO7a1satrj9CuCFa.mp4?tag=12", "https://video.twimg.com/ext_tw_video/1591082460716072964/pu/vid/512x640/UO7a1satrj9CuCFa.mp4?tag=12")</f>
        <v>https://video.twimg.com/ext_tw_video/1591082460716072964/pu/vid/512x640/UO7a1satrj9CuCFa.mp4?tag=12</v>
      </c>
      <c r="L284">
        <v>0</v>
      </c>
      <c r="M284">
        <v>0</v>
      </c>
      <c r="N284">
        <v>1</v>
      </c>
      <c r="O284">
        <v>0</v>
      </c>
    </row>
    <row r="285" spans="1:15" x14ac:dyDescent="0.2">
      <c r="A285" s="1" t="str">
        <f>HYPERLINK("http://www.twitter.com/banuakdenizli/status/1590925453841551361", "1590925453841551361")</f>
        <v>1590925453841551361</v>
      </c>
      <c r="B285" t="s">
        <v>15</v>
      </c>
      <c r="C285" s="2">
        <v>44876.189351851863</v>
      </c>
      <c r="D285">
        <v>0</v>
      </c>
      <c r="E285">
        <v>7</v>
      </c>
      <c r="F285" t="s">
        <v>16</v>
      </c>
      <c r="G285" t="s">
        <v>353</v>
      </c>
      <c r="L285">
        <v>0.31819999999999998</v>
      </c>
      <c r="M285">
        <v>0</v>
      </c>
      <c r="N285">
        <v>0.93300000000000005</v>
      </c>
      <c r="O285">
        <v>6.7000000000000004E-2</v>
      </c>
    </row>
    <row r="286" spans="1:15" x14ac:dyDescent="0.2">
      <c r="A286" s="1" t="str">
        <f>HYPERLINK("http://www.twitter.com/banuakdenizli/status/1590764075394674690", "1590764075394674690")</f>
        <v>1590764075394674690</v>
      </c>
      <c r="B286" t="s">
        <v>15</v>
      </c>
      <c r="C286" s="2">
        <v>44875.744039351863</v>
      </c>
      <c r="D286">
        <v>2</v>
      </c>
      <c r="E286">
        <v>0</v>
      </c>
      <c r="G286" t="s">
        <v>354</v>
      </c>
      <c r="L286">
        <v>0</v>
      </c>
      <c r="M286">
        <v>0</v>
      </c>
      <c r="N286">
        <v>1</v>
      </c>
      <c r="O286">
        <v>0</v>
      </c>
    </row>
    <row r="287" spans="1:15" x14ac:dyDescent="0.2">
      <c r="A287" s="1" t="str">
        <f>HYPERLINK("http://www.twitter.com/banuakdenizli/status/1590757324716912641", "1590757324716912641")</f>
        <v>1590757324716912641</v>
      </c>
      <c r="B287" t="s">
        <v>15</v>
      </c>
      <c r="C287" s="2">
        <v>44875.725405092591</v>
      </c>
      <c r="D287">
        <v>0</v>
      </c>
      <c r="E287">
        <v>103</v>
      </c>
      <c r="F287" t="s">
        <v>28</v>
      </c>
      <c r="G287" t="s">
        <v>355</v>
      </c>
      <c r="H287" t="str">
        <f>HYPERLINK("http://pbs.twimg.com/media/FhI645bXEAIu7t8.jpg", "http://pbs.twimg.com/media/FhI645bXEAIu7t8.jpg")</f>
        <v>http://pbs.twimg.com/media/FhI645bXEAIu7t8.jpg</v>
      </c>
      <c r="L287">
        <v>0</v>
      </c>
      <c r="M287">
        <v>0</v>
      </c>
      <c r="N287">
        <v>1</v>
      </c>
      <c r="O287">
        <v>0</v>
      </c>
    </row>
    <row r="288" spans="1:15" x14ac:dyDescent="0.2">
      <c r="A288" s="1" t="str">
        <f>HYPERLINK("http://www.twitter.com/banuakdenizli/status/1590756986622136320", "1590756986622136320")</f>
        <v>1590756986622136320</v>
      </c>
      <c r="B288" t="s">
        <v>15</v>
      </c>
      <c r="C288" s="2">
        <v>44875.724479166667</v>
      </c>
      <c r="D288">
        <v>26</v>
      </c>
      <c r="E288">
        <v>15</v>
      </c>
      <c r="G288" t="s">
        <v>356</v>
      </c>
      <c r="H288" t="str">
        <f>HYPERLINK("http://pbs.twimg.com/media/FhOBDGhXgAA6jGb.jpg", "http://pbs.twimg.com/media/FhOBDGhXgAA6jGb.jpg")</f>
        <v>http://pbs.twimg.com/media/FhOBDGhXgAA6jGb.jpg</v>
      </c>
      <c r="L288">
        <v>0</v>
      </c>
      <c r="M288">
        <v>0</v>
      </c>
      <c r="N288">
        <v>1</v>
      </c>
      <c r="O288">
        <v>0</v>
      </c>
    </row>
    <row r="289" spans="1:15" x14ac:dyDescent="0.2">
      <c r="A289" s="1" t="str">
        <f>HYPERLINK("http://www.twitter.com/banuakdenizli/status/1590629909139189762", "1590629909139189762")</f>
        <v>1590629909139189762</v>
      </c>
      <c r="B289" t="s">
        <v>15</v>
      </c>
      <c r="C289" s="2">
        <v>44875.373807870368</v>
      </c>
      <c r="D289">
        <v>0</v>
      </c>
      <c r="E289">
        <v>4</v>
      </c>
      <c r="F289" t="s">
        <v>357</v>
      </c>
      <c r="G289" t="s">
        <v>358</v>
      </c>
      <c r="H289" t="str">
        <f>HYPERLINK("http://pbs.twimg.com/media/FhMLeH9XgAEbxKF.jpg", "http://pbs.twimg.com/media/FhMLeH9XgAEbxKF.jpg")</f>
        <v>http://pbs.twimg.com/media/FhMLeH9XgAEbxKF.jpg</v>
      </c>
      <c r="L289">
        <v>0</v>
      </c>
      <c r="M289">
        <v>0</v>
      </c>
      <c r="N289">
        <v>1</v>
      </c>
      <c r="O289">
        <v>0</v>
      </c>
    </row>
    <row r="290" spans="1:15" x14ac:dyDescent="0.2">
      <c r="A290" s="1" t="str">
        <f>HYPERLINK("http://www.twitter.com/banuakdenizli/status/1590596117242478592", "1590596117242478592")</f>
        <v>1590596117242478592</v>
      </c>
      <c r="B290" t="s">
        <v>15</v>
      </c>
      <c r="C290" s="2">
        <v>44875.280555555553</v>
      </c>
      <c r="D290">
        <v>3</v>
      </c>
      <c r="E290">
        <v>0</v>
      </c>
      <c r="G290" t="s">
        <v>359</v>
      </c>
      <c r="L290">
        <v>0</v>
      </c>
      <c r="M290">
        <v>0</v>
      </c>
      <c r="N290">
        <v>1</v>
      </c>
      <c r="O290">
        <v>0</v>
      </c>
    </row>
    <row r="291" spans="1:15" x14ac:dyDescent="0.2">
      <c r="A291" s="1" t="str">
        <f>HYPERLINK("http://www.twitter.com/banuakdenizli/status/1590595139709566977", "1590595139709566977")</f>
        <v>1590595139709566977</v>
      </c>
      <c r="B291" t="s">
        <v>15</v>
      </c>
      <c r="C291" s="2">
        <v>44875.277858796297</v>
      </c>
      <c r="D291">
        <v>14</v>
      </c>
      <c r="E291">
        <v>1</v>
      </c>
      <c r="G291" t="s">
        <v>360</v>
      </c>
      <c r="H291" t="str">
        <f>HYPERLINK("http://pbs.twimg.com/media/FhLt15EWYAUuRfP.jpg", "http://pbs.twimg.com/media/FhLt15EWYAUuRfP.jpg")</f>
        <v>http://pbs.twimg.com/media/FhLt15EWYAUuRfP.jpg</v>
      </c>
      <c r="L291">
        <v>0</v>
      </c>
      <c r="M291">
        <v>0</v>
      </c>
      <c r="N291">
        <v>1</v>
      </c>
      <c r="O291">
        <v>0</v>
      </c>
    </row>
    <row r="292" spans="1:15" x14ac:dyDescent="0.2">
      <c r="A292" s="1" t="str">
        <f>HYPERLINK("http://www.twitter.com/banuakdenizli/status/1590385331496681472", "1590385331496681472")</f>
        <v>1590385331496681472</v>
      </c>
      <c r="B292" t="s">
        <v>15</v>
      </c>
      <c r="C292" s="2">
        <v>44874.698900462958</v>
      </c>
      <c r="D292">
        <v>0</v>
      </c>
      <c r="E292">
        <v>7</v>
      </c>
      <c r="F292" t="s">
        <v>361</v>
      </c>
      <c r="G292" t="s">
        <v>362</v>
      </c>
      <c r="H292" t="str">
        <f>HYPERLINK("http://pbs.twimg.com/media/FhIcYN-X0AI1XU4.jpg", "http://pbs.twimg.com/media/FhIcYN-X0AI1XU4.jpg")</f>
        <v>http://pbs.twimg.com/media/FhIcYN-X0AI1XU4.jpg</v>
      </c>
      <c r="L292">
        <v>0</v>
      </c>
      <c r="M292">
        <v>0</v>
      </c>
      <c r="N292">
        <v>1</v>
      </c>
      <c r="O292">
        <v>0</v>
      </c>
    </row>
    <row r="293" spans="1:15" x14ac:dyDescent="0.2">
      <c r="A293" s="1" t="str">
        <f>HYPERLINK("http://www.twitter.com/banuakdenizli/status/1590373764520284161", "1590373764520284161")</f>
        <v>1590373764520284161</v>
      </c>
      <c r="B293" t="s">
        <v>15</v>
      </c>
      <c r="C293" s="2">
        <v>44874.666979166657</v>
      </c>
      <c r="D293">
        <v>4</v>
      </c>
      <c r="E293">
        <v>1</v>
      </c>
      <c r="G293" t="s">
        <v>363</v>
      </c>
      <c r="L293">
        <v>0</v>
      </c>
      <c r="M293">
        <v>0</v>
      </c>
      <c r="N293">
        <v>1</v>
      </c>
      <c r="O293">
        <v>0</v>
      </c>
    </row>
    <row r="294" spans="1:15" x14ac:dyDescent="0.2">
      <c r="A294" s="1" t="str">
        <f>HYPERLINK("http://www.twitter.com/banuakdenizli/status/1590317248337809409", "1590317248337809409")</f>
        <v>1590317248337809409</v>
      </c>
      <c r="B294" t="s">
        <v>15</v>
      </c>
      <c r="C294" s="2">
        <v>44874.511030092603</v>
      </c>
      <c r="D294">
        <v>11</v>
      </c>
      <c r="E294">
        <v>2</v>
      </c>
      <c r="G294" t="s">
        <v>364</v>
      </c>
      <c r="H294" t="str">
        <f>HYPERLINK("http://pbs.twimg.com/media/FhHxG_4XoAAAwo-.jpg", "http://pbs.twimg.com/media/FhHxG_4XoAAAwo-.jpg")</f>
        <v>http://pbs.twimg.com/media/FhHxG_4XoAAAwo-.jpg</v>
      </c>
      <c r="L294">
        <v>0</v>
      </c>
      <c r="M294">
        <v>0</v>
      </c>
      <c r="N294">
        <v>1</v>
      </c>
      <c r="O294">
        <v>0</v>
      </c>
    </row>
    <row r="295" spans="1:15" x14ac:dyDescent="0.2">
      <c r="A295" s="1" t="str">
        <f>HYPERLINK("http://www.twitter.com/banuakdenizli/status/1590253498322456576", "1590253498322456576")</f>
        <v>1590253498322456576</v>
      </c>
      <c r="B295" t="s">
        <v>15</v>
      </c>
      <c r="C295" s="2">
        <v>44874.335115740738</v>
      </c>
      <c r="D295">
        <v>0</v>
      </c>
      <c r="E295">
        <v>1</v>
      </c>
      <c r="F295" t="s">
        <v>177</v>
      </c>
      <c r="G295" t="s">
        <v>365</v>
      </c>
      <c r="H295" t="str">
        <f>HYPERLINK("http://pbs.twimg.com/media/FhGmQrRXwAAlfna.jpg", "http://pbs.twimg.com/media/FhGmQrRXwAAlfna.jpg")</f>
        <v>http://pbs.twimg.com/media/FhGmQrRXwAAlfna.jpg</v>
      </c>
      <c r="L295">
        <v>0</v>
      </c>
      <c r="M295">
        <v>0</v>
      </c>
      <c r="N295">
        <v>1</v>
      </c>
      <c r="O295">
        <v>0</v>
      </c>
    </row>
    <row r="296" spans="1:15" x14ac:dyDescent="0.2">
      <c r="A296" s="1" t="str">
        <f>HYPERLINK("http://www.twitter.com/banuakdenizli/status/1589930306806898688", "1589930306806898688")</f>
        <v>1589930306806898688</v>
      </c>
      <c r="B296" t="s">
        <v>15</v>
      </c>
      <c r="C296" s="2">
        <v>44873.44327546296</v>
      </c>
      <c r="D296">
        <v>132</v>
      </c>
      <c r="E296">
        <v>16</v>
      </c>
      <c r="G296" t="s">
        <v>366</v>
      </c>
      <c r="H296" t="str">
        <f>HYPERLINK("http://pbs.twimg.com/media/FhCRLU6XwAAeJmR.jpg", "http://pbs.twimg.com/media/FhCRLU6XwAAeJmR.jpg")</f>
        <v>http://pbs.twimg.com/media/FhCRLU6XwAAeJmR.jpg</v>
      </c>
      <c r="I296" t="str">
        <f>HYPERLINK("http://pbs.twimg.com/media/FhCRMBKXgAIr1cP.jpg", "http://pbs.twimg.com/media/FhCRMBKXgAIr1cP.jpg")</f>
        <v>http://pbs.twimg.com/media/FhCRMBKXgAIr1cP.jpg</v>
      </c>
      <c r="L296">
        <v>0</v>
      </c>
      <c r="M296">
        <v>0</v>
      </c>
      <c r="N296">
        <v>1</v>
      </c>
      <c r="O296">
        <v>0</v>
      </c>
    </row>
    <row r="297" spans="1:15" x14ac:dyDescent="0.2">
      <c r="A297" s="1" t="str">
        <f>HYPERLINK("http://www.twitter.com/banuakdenizli/status/1589833383982428160", "1589833383982428160")</f>
        <v>1589833383982428160</v>
      </c>
      <c r="B297" t="s">
        <v>15</v>
      </c>
      <c r="C297" s="2">
        <v>44873.175821759258</v>
      </c>
      <c r="D297">
        <v>0</v>
      </c>
      <c r="E297">
        <v>87</v>
      </c>
      <c r="F297" t="s">
        <v>24</v>
      </c>
      <c r="G297" t="s">
        <v>367</v>
      </c>
      <c r="H297" t="str">
        <f>HYPERLINK("http://pbs.twimg.com/media/Fg_1ZzpXgAIyMDb.jpg", "http://pbs.twimg.com/media/Fg_1ZzpXgAIyMDb.jpg")</f>
        <v>http://pbs.twimg.com/media/Fg_1ZzpXgAIyMDb.jpg</v>
      </c>
      <c r="I297" t="str">
        <f>HYPERLINK("http://pbs.twimg.com/media/Fg_1ZzpWYAEVpGj.jpg", "http://pbs.twimg.com/media/Fg_1ZzpWYAEVpGj.jpg")</f>
        <v>http://pbs.twimg.com/media/Fg_1ZzpWYAEVpGj.jpg</v>
      </c>
      <c r="J297" t="str">
        <f>HYPERLINK("http://pbs.twimg.com/media/Fg_1ZzoWQAE-nwX.jpg", "http://pbs.twimg.com/media/Fg_1ZzoWQAE-nwX.jpg")</f>
        <v>http://pbs.twimg.com/media/Fg_1ZzoWQAE-nwX.jpg</v>
      </c>
      <c r="K297" t="str">
        <f>HYPERLINK("http://pbs.twimg.com/media/Fg_1ZzmWAAEOnXo.jpg", "http://pbs.twimg.com/media/Fg_1ZzmWAAEOnXo.jpg")</f>
        <v>http://pbs.twimg.com/media/Fg_1ZzmWAAEOnXo.jpg</v>
      </c>
      <c r="L297">
        <v>0</v>
      </c>
      <c r="M297">
        <v>0</v>
      </c>
      <c r="N297">
        <v>1</v>
      </c>
      <c r="O297">
        <v>0</v>
      </c>
    </row>
    <row r="298" spans="1:15" x14ac:dyDescent="0.2">
      <c r="A298" s="1" t="str">
        <f>HYPERLINK("http://www.twitter.com/banuakdenizli/status/1589833201438306304", "1589833201438306304")</f>
        <v>1589833201438306304</v>
      </c>
      <c r="B298" t="s">
        <v>15</v>
      </c>
      <c r="C298" s="2">
        <v>44873.175312500003</v>
      </c>
      <c r="D298">
        <v>0</v>
      </c>
      <c r="E298">
        <v>1956</v>
      </c>
      <c r="F298" t="s">
        <v>28</v>
      </c>
      <c r="G298" t="s">
        <v>368</v>
      </c>
      <c r="H298" t="str">
        <f>HYPERLINK("http://pbs.twimg.com/media/FhAdVU7XoAI-fH6.jpg", "http://pbs.twimg.com/media/FhAdVU7XoAI-fH6.jpg")</f>
        <v>http://pbs.twimg.com/media/FhAdVU7XoAI-fH6.jpg</v>
      </c>
      <c r="I298" t="str">
        <f>HYPERLINK("http://pbs.twimg.com/media/FhAdVuXWAAE7yF8.jpg", "http://pbs.twimg.com/media/FhAdVuXWAAE7yF8.jpg")</f>
        <v>http://pbs.twimg.com/media/FhAdVuXWAAE7yF8.jpg</v>
      </c>
      <c r="J298" t="str">
        <f>HYPERLINK("http://pbs.twimg.com/media/FhAdWRwWYAEk6F6.jpg", "http://pbs.twimg.com/media/FhAdWRwWYAEk6F6.jpg")</f>
        <v>http://pbs.twimg.com/media/FhAdWRwWYAEk6F6.jpg</v>
      </c>
      <c r="L298">
        <v>0</v>
      </c>
      <c r="M298">
        <v>0</v>
      </c>
      <c r="N298">
        <v>1</v>
      </c>
      <c r="O298">
        <v>0</v>
      </c>
    </row>
    <row r="299" spans="1:15" x14ac:dyDescent="0.2">
      <c r="A299" s="1" t="str">
        <f>HYPERLINK("http://www.twitter.com/banuakdenizli/status/1589690981167042560", "1589690981167042560")</f>
        <v>1589690981167042560</v>
      </c>
      <c r="B299" t="s">
        <v>15</v>
      </c>
      <c r="C299" s="2">
        <v>44872.782858796287</v>
      </c>
      <c r="D299">
        <v>0</v>
      </c>
      <c r="E299">
        <v>6</v>
      </c>
      <c r="F299" t="s">
        <v>36</v>
      </c>
      <c r="G299" t="s">
        <v>369</v>
      </c>
      <c r="H299" t="str">
        <f>HYPERLINK("https://video.twimg.com/ext_tw_video/1589656235527311360/pu/vid/720x900/OYWGe-vGOogujUN9.mp4?tag=12", "https://video.twimg.com/ext_tw_video/1589656235527311360/pu/vid/720x900/OYWGe-vGOogujUN9.mp4?tag=12")</f>
        <v>https://video.twimg.com/ext_tw_video/1589656235527311360/pu/vid/720x900/OYWGe-vGOogujUN9.mp4?tag=12</v>
      </c>
      <c r="L299">
        <v>0.47670000000000001</v>
      </c>
      <c r="M299">
        <v>0</v>
      </c>
      <c r="N299">
        <v>0.93</v>
      </c>
      <c r="O299">
        <v>7.0000000000000007E-2</v>
      </c>
    </row>
    <row r="300" spans="1:15" x14ac:dyDescent="0.2">
      <c r="A300" s="1" t="str">
        <f>HYPERLINK("http://www.twitter.com/banuakdenizli/status/1589690819623079936", "1589690819623079936")</f>
        <v>1589690819623079936</v>
      </c>
      <c r="B300" t="s">
        <v>15</v>
      </c>
      <c r="C300" s="2">
        <v>44872.782418981478</v>
      </c>
      <c r="D300">
        <v>0</v>
      </c>
      <c r="E300">
        <v>4</v>
      </c>
      <c r="F300" t="s">
        <v>44</v>
      </c>
      <c r="G300" t="s">
        <v>370</v>
      </c>
      <c r="H300" t="str">
        <f>HYPERLINK("https://video.twimg.com/ext_tw_video/1589663836105310208/pu/vid/1280x720/IMABcQl5_eTzWI5h.mp4?tag=12", "https://video.twimg.com/ext_tw_video/1589663836105310208/pu/vid/1280x720/IMABcQl5_eTzWI5h.mp4?tag=12")</f>
        <v>https://video.twimg.com/ext_tw_video/1589663836105310208/pu/vid/1280x720/IMABcQl5_eTzWI5h.mp4?tag=12</v>
      </c>
      <c r="L300">
        <v>0</v>
      </c>
      <c r="M300">
        <v>0</v>
      </c>
      <c r="N300">
        <v>1</v>
      </c>
      <c r="O300">
        <v>0</v>
      </c>
    </row>
    <row r="301" spans="1:15" x14ac:dyDescent="0.2">
      <c r="A301" s="1" t="str">
        <f>HYPERLINK("http://www.twitter.com/banuakdenizli/status/1589665022627966978", "1589665022627966978")</f>
        <v>1589665022627966978</v>
      </c>
      <c r="B301" t="s">
        <v>15</v>
      </c>
      <c r="C301" s="2">
        <v>44872.711226851847</v>
      </c>
      <c r="D301">
        <v>0</v>
      </c>
      <c r="E301">
        <v>6</v>
      </c>
      <c r="F301" t="s">
        <v>192</v>
      </c>
      <c r="G301" t="s">
        <v>371</v>
      </c>
      <c r="H301" t="str">
        <f>HYPERLINK("https://video.twimg.com/amplify_video/1589631379960172547/vid/1280x720/cFBztkSELysx_0uq.mp4?tag=14", "https://video.twimg.com/amplify_video/1589631379960172547/vid/1280x720/cFBztkSELysx_0uq.mp4?tag=14")</f>
        <v>https://video.twimg.com/amplify_video/1589631379960172547/vid/1280x720/cFBztkSELysx_0uq.mp4?tag=14</v>
      </c>
      <c r="L301">
        <v>0</v>
      </c>
      <c r="M301">
        <v>0</v>
      </c>
      <c r="N301">
        <v>1</v>
      </c>
      <c r="O301">
        <v>0</v>
      </c>
    </row>
    <row r="302" spans="1:15" x14ac:dyDescent="0.2">
      <c r="A302" s="1" t="str">
        <f>HYPERLINK("http://www.twitter.com/banuakdenizli/status/1589664665696886784", "1589664665696886784")</f>
        <v>1589664665696886784</v>
      </c>
      <c r="B302" t="s">
        <v>15</v>
      </c>
      <c r="C302" s="2">
        <v>44872.710243055553</v>
      </c>
      <c r="D302">
        <v>1</v>
      </c>
      <c r="E302">
        <v>0</v>
      </c>
      <c r="G302" t="s">
        <v>372</v>
      </c>
      <c r="H302" t="str">
        <f>HYPERLINK("http://pbs.twimg.com/media/Fg-flp2XoAIxFZm.jpg", "http://pbs.twimg.com/media/Fg-flp2XoAIxFZm.jpg")</f>
        <v>http://pbs.twimg.com/media/Fg-flp2XoAIxFZm.jpg</v>
      </c>
      <c r="L302">
        <v>0.40189999999999998</v>
      </c>
      <c r="M302">
        <v>0</v>
      </c>
      <c r="N302">
        <v>0.81599999999999995</v>
      </c>
      <c r="O302">
        <v>0.184</v>
      </c>
    </row>
    <row r="303" spans="1:15" x14ac:dyDescent="0.2">
      <c r="A303" s="1" t="str">
        <f>HYPERLINK("http://www.twitter.com/banuakdenizli/status/1589573889814073344", "1589573889814073344")</f>
        <v>1589573889814073344</v>
      </c>
      <c r="B303" t="s">
        <v>15</v>
      </c>
      <c r="C303" s="2">
        <v>44872.459745370368</v>
      </c>
      <c r="D303">
        <v>11</v>
      </c>
      <c r="E303">
        <v>7</v>
      </c>
      <c r="G303" t="s">
        <v>373</v>
      </c>
      <c r="H303" t="str">
        <f>HYPERLINK("http://pbs.twimg.com/media/Fg9NB09XgAE8n7X.jpg", "http://pbs.twimg.com/media/Fg9NB09XgAE8n7X.jpg")</f>
        <v>http://pbs.twimg.com/media/Fg9NB09XgAE8n7X.jpg</v>
      </c>
      <c r="L303">
        <v>-0.59830000000000005</v>
      </c>
      <c r="M303">
        <v>8.6999999999999994E-2</v>
      </c>
      <c r="N303">
        <v>0.91300000000000003</v>
      </c>
      <c r="O303">
        <v>0</v>
      </c>
    </row>
    <row r="304" spans="1:15" x14ac:dyDescent="0.2">
      <c r="A304" s="1" t="str">
        <f>HYPERLINK("http://www.twitter.com/banuakdenizli/status/1589472980186587136", "1589472980186587136")</f>
        <v>1589472980186587136</v>
      </c>
      <c r="B304" t="s">
        <v>15</v>
      </c>
      <c r="C304" s="2">
        <v>44872.181296296287</v>
      </c>
      <c r="D304">
        <v>18</v>
      </c>
      <c r="E304">
        <v>3</v>
      </c>
      <c r="G304" t="s">
        <v>374</v>
      </c>
      <c r="L304">
        <v>0</v>
      </c>
      <c r="M304">
        <v>0</v>
      </c>
      <c r="N304">
        <v>1</v>
      </c>
      <c r="O304">
        <v>0</v>
      </c>
    </row>
    <row r="305" spans="1:15" x14ac:dyDescent="0.2">
      <c r="A305" s="1" t="str">
        <f>HYPERLINK("http://www.twitter.com/banuakdenizli/status/1589334366580543488", "1589334366580543488")</f>
        <v>1589334366580543488</v>
      </c>
      <c r="B305" t="s">
        <v>15</v>
      </c>
      <c r="C305" s="2">
        <v>44871.798796296287</v>
      </c>
      <c r="D305">
        <v>0</v>
      </c>
      <c r="E305">
        <v>303</v>
      </c>
      <c r="F305" t="s">
        <v>16</v>
      </c>
      <c r="G305" t="s">
        <v>375</v>
      </c>
      <c r="H305" t="str">
        <f>HYPERLINK("http://pbs.twimg.com/media/Fg5erE6XkAIr1N7.jpg", "http://pbs.twimg.com/media/Fg5erE6XkAIr1N7.jpg")</f>
        <v>http://pbs.twimg.com/media/Fg5erE6XkAIr1N7.jpg</v>
      </c>
      <c r="L305">
        <v>0</v>
      </c>
      <c r="M305">
        <v>0</v>
      </c>
      <c r="N305">
        <v>1</v>
      </c>
      <c r="O305">
        <v>0</v>
      </c>
    </row>
    <row r="306" spans="1:15" x14ac:dyDescent="0.2">
      <c r="A306" s="1" t="str">
        <f>HYPERLINK("http://www.twitter.com/banuakdenizli/status/1589244625432477698", "1589244625432477698")</f>
        <v>1589244625432477698</v>
      </c>
      <c r="B306" t="s">
        <v>15</v>
      </c>
      <c r="C306" s="2">
        <v>44871.551157407397</v>
      </c>
      <c r="D306">
        <v>7</v>
      </c>
      <c r="E306">
        <v>2</v>
      </c>
      <c r="G306" t="s">
        <v>376</v>
      </c>
      <c r="H306" t="str">
        <f>HYPERLINK("http://pbs.twimg.com/media/Fg4hkGBWAAEe_Cd.jpg", "http://pbs.twimg.com/media/Fg4hkGBWAAEe_Cd.jpg")</f>
        <v>http://pbs.twimg.com/media/Fg4hkGBWAAEe_Cd.jpg</v>
      </c>
      <c r="L306">
        <v>0</v>
      </c>
      <c r="M306">
        <v>0</v>
      </c>
      <c r="N306">
        <v>1</v>
      </c>
      <c r="O306">
        <v>0</v>
      </c>
    </row>
    <row r="307" spans="1:15" x14ac:dyDescent="0.2">
      <c r="A307" s="1" t="str">
        <f>HYPERLINK("http://www.twitter.com/banuakdenizli/status/1589239179833094145", "1589239179833094145")</f>
        <v>1589239179833094145</v>
      </c>
      <c r="B307" t="s">
        <v>15</v>
      </c>
      <c r="C307" s="2">
        <v>44871.536122685182</v>
      </c>
      <c r="D307">
        <v>6</v>
      </c>
      <c r="E307">
        <v>2</v>
      </c>
      <c r="G307" t="s">
        <v>377</v>
      </c>
      <c r="H307" t="str">
        <f>HYPERLINK("http://pbs.twimg.com/media/Fg4cnE_XoAEKr_z.jpg", "http://pbs.twimg.com/media/Fg4cnE_XoAEKr_z.jpg")</f>
        <v>http://pbs.twimg.com/media/Fg4cnE_XoAEKr_z.jpg</v>
      </c>
      <c r="L307">
        <v>0</v>
      </c>
      <c r="M307">
        <v>0</v>
      </c>
      <c r="N307">
        <v>1</v>
      </c>
      <c r="O307">
        <v>0</v>
      </c>
    </row>
    <row r="308" spans="1:15" x14ac:dyDescent="0.2">
      <c r="A308" s="1" t="str">
        <f>HYPERLINK("http://www.twitter.com/banuakdenizli/status/1589238322165338120", "1589238322165338120")</f>
        <v>1589238322165338120</v>
      </c>
      <c r="B308" t="s">
        <v>15</v>
      </c>
      <c r="C308" s="2">
        <v>44871.533761574072</v>
      </c>
      <c r="D308">
        <v>2</v>
      </c>
      <c r="E308">
        <v>1</v>
      </c>
      <c r="G308" t="s">
        <v>378</v>
      </c>
      <c r="L308">
        <v>0</v>
      </c>
      <c r="M308">
        <v>0</v>
      </c>
      <c r="N308">
        <v>1</v>
      </c>
      <c r="O308">
        <v>0</v>
      </c>
    </row>
    <row r="309" spans="1:15" x14ac:dyDescent="0.2">
      <c r="A309" s="1" t="str">
        <f>HYPERLINK("http://www.twitter.com/banuakdenizli/status/1589237920367419395", "1589237920367419395")</f>
        <v>1589237920367419395</v>
      </c>
      <c r="B309" t="s">
        <v>15</v>
      </c>
      <c r="C309" s="2">
        <v>44871.532650462963</v>
      </c>
      <c r="D309">
        <v>7</v>
      </c>
      <c r="E309">
        <v>1</v>
      </c>
      <c r="G309" t="s">
        <v>379</v>
      </c>
      <c r="H309" t="str">
        <f>HYPERLINK("http://pbs.twimg.com/media/Fg4bcmgWQAIwySn.jpg", "http://pbs.twimg.com/media/Fg4bcmgWQAIwySn.jpg")</f>
        <v>http://pbs.twimg.com/media/Fg4bcmgWQAIwySn.jpg</v>
      </c>
      <c r="I309" t="str">
        <f>HYPERLINK("http://pbs.twimg.com/media/Fg4bdNzWQAA587E.jpg", "http://pbs.twimg.com/media/Fg4bdNzWQAA587E.jpg")</f>
        <v>http://pbs.twimg.com/media/Fg4bdNzWQAA587E.jpg</v>
      </c>
      <c r="J309" t="str">
        <f>HYPERLINK("http://pbs.twimg.com/media/Fg4bdzsWIAIj6gS.jpg", "http://pbs.twimg.com/media/Fg4bdzsWIAIj6gS.jpg")</f>
        <v>http://pbs.twimg.com/media/Fg4bdzsWIAIj6gS.jpg</v>
      </c>
      <c r="L309">
        <v>0</v>
      </c>
      <c r="M309">
        <v>0</v>
      </c>
      <c r="N309">
        <v>1</v>
      </c>
      <c r="O309">
        <v>0</v>
      </c>
    </row>
    <row r="310" spans="1:15" x14ac:dyDescent="0.2">
      <c r="A310" s="1" t="str">
        <f>HYPERLINK("http://www.twitter.com/banuakdenizli/status/1589236612181155841", "1589236612181155841")</f>
        <v>1589236612181155841</v>
      </c>
      <c r="B310" t="s">
        <v>15</v>
      </c>
      <c r="C310" s="2">
        <v>44871.529039351852</v>
      </c>
      <c r="D310">
        <v>0</v>
      </c>
      <c r="E310">
        <v>439</v>
      </c>
      <c r="F310" t="s">
        <v>380</v>
      </c>
      <c r="G310" t="s">
        <v>381</v>
      </c>
      <c r="H310" t="str">
        <f>HYPERLINK("http://pbs.twimg.com/media/FgvRSMyXoAIk6l-.jpg", "http://pbs.twimg.com/media/FgvRSMyXoAIk6l-.jpg")</f>
        <v>http://pbs.twimg.com/media/FgvRSMyXoAIk6l-.jpg</v>
      </c>
      <c r="L310">
        <v>0</v>
      </c>
      <c r="M310">
        <v>0</v>
      </c>
      <c r="N310">
        <v>1</v>
      </c>
      <c r="O310">
        <v>0</v>
      </c>
    </row>
    <row r="311" spans="1:15" x14ac:dyDescent="0.2">
      <c r="A311" s="1" t="str">
        <f>HYPERLINK("http://www.twitter.com/banuakdenizli/status/1589195632576602112", "1589195632576602112")</f>
        <v>1589195632576602112</v>
      </c>
      <c r="B311" t="s">
        <v>15</v>
      </c>
      <c r="C311" s="2">
        <v>44871.415960648148</v>
      </c>
      <c r="D311">
        <v>16</v>
      </c>
      <c r="E311">
        <v>4</v>
      </c>
      <c r="G311" t="s">
        <v>382</v>
      </c>
      <c r="H311" t="str">
        <f>HYPERLINK("http://pbs.twimg.com/media/Fg31AYQWIAISoXh.jpg", "http://pbs.twimg.com/media/Fg31AYQWIAISoXh.jpg")</f>
        <v>http://pbs.twimg.com/media/Fg31AYQWIAISoXh.jpg</v>
      </c>
      <c r="L311">
        <v>0</v>
      </c>
      <c r="M311">
        <v>0</v>
      </c>
      <c r="N311">
        <v>1</v>
      </c>
      <c r="O311">
        <v>0</v>
      </c>
    </row>
    <row r="312" spans="1:15" x14ac:dyDescent="0.2">
      <c r="A312" s="1" t="str">
        <f>HYPERLINK("http://www.twitter.com/banuakdenizli/status/1589149211714813952", "1589149211714813952")</f>
        <v>1589149211714813952</v>
      </c>
      <c r="B312" t="s">
        <v>15</v>
      </c>
      <c r="C312" s="2">
        <v>44871.287858796299</v>
      </c>
      <c r="D312">
        <v>6</v>
      </c>
      <c r="E312">
        <v>2</v>
      </c>
      <c r="G312" t="s">
        <v>383</v>
      </c>
      <c r="H312" t="str">
        <f>HYPERLINK("http://pbs.twimg.com/media/Fg3KqvIWAAE2L1h.jpg", "http://pbs.twimg.com/media/Fg3KqvIWAAE2L1h.jpg")</f>
        <v>http://pbs.twimg.com/media/Fg3KqvIWAAE2L1h.jpg</v>
      </c>
      <c r="L312">
        <v>0.59040000000000004</v>
      </c>
      <c r="M312">
        <v>0</v>
      </c>
      <c r="N312">
        <v>0.89300000000000002</v>
      </c>
      <c r="O312">
        <v>0.107</v>
      </c>
    </row>
    <row r="313" spans="1:15" x14ac:dyDescent="0.2">
      <c r="A313" s="1" t="str">
        <f>HYPERLINK("http://www.twitter.com/banuakdenizli/status/1588877946517086208", "1588877946517086208")</f>
        <v>1588877946517086208</v>
      </c>
      <c r="B313" t="s">
        <v>15</v>
      </c>
      <c r="C313" s="2">
        <v>44870.539317129631</v>
      </c>
      <c r="D313">
        <v>26</v>
      </c>
      <c r="E313">
        <v>5</v>
      </c>
      <c r="G313" t="s">
        <v>384</v>
      </c>
      <c r="H313" t="str">
        <f>HYPERLINK("http://pbs.twimg.com/media/FgzUCI1WYAE0JjD.jpg", "http://pbs.twimg.com/media/FgzUCI1WYAE0JjD.jpg")</f>
        <v>http://pbs.twimg.com/media/FgzUCI1WYAE0JjD.jpg</v>
      </c>
      <c r="L313">
        <v>0</v>
      </c>
      <c r="M313">
        <v>0</v>
      </c>
      <c r="N313">
        <v>1</v>
      </c>
      <c r="O313">
        <v>0</v>
      </c>
    </row>
    <row r="314" spans="1:15" x14ac:dyDescent="0.2">
      <c r="A314" s="1" t="str">
        <f>HYPERLINK("http://www.twitter.com/banuakdenizli/status/1588803946335768576", "1588803946335768576")</f>
        <v>1588803946335768576</v>
      </c>
      <c r="B314" t="s">
        <v>15</v>
      </c>
      <c r="C314" s="2">
        <v>44870.335115740738</v>
      </c>
      <c r="D314">
        <v>0</v>
      </c>
      <c r="E314">
        <v>9</v>
      </c>
      <c r="F314" t="s">
        <v>385</v>
      </c>
      <c r="G314" t="s">
        <v>386</v>
      </c>
      <c r="L314">
        <v>5.16E-2</v>
      </c>
      <c r="M314">
        <v>0.1</v>
      </c>
      <c r="N314">
        <v>0.79700000000000004</v>
      </c>
      <c r="O314">
        <v>0.104</v>
      </c>
    </row>
    <row r="315" spans="1:15" x14ac:dyDescent="0.2">
      <c r="A315" s="1" t="str">
        <f>HYPERLINK("http://www.twitter.com/banuakdenizli/status/1588737228129595397", "1588737228129595397")</f>
        <v>1588737228129595397</v>
      </c>
      <c r="B315" t="s">
        <v>15</v>
      </c>
      <c r="C315" s="2">
        <v>44870.151006944441</v>
      </c>
      <c r="D315">
        <v>7</v>
      </c>
      <c r="E315">
        <v>1</v>
      </c>
      <c r="G315" t="s">
        <v>387</v>
      </c>
      <c r="L315">
        <v>-0.70030000000000003</v>
      </c>
      <c r="M315">
        <v>0.129</v>
      </c>
      <c r="N315">
        <v>0.871</v>
      </c>
      <c r="O315">
        <v>0</v>
      </c>
    </row>
    <row r="316" spans="1:15" x14ac:dyDescent="0.2">
      <c r="A316" s="1" t="str">
        <f>HYPERLINK("http://www.twitter.com/banuakdenizli/status/1588536050598572034", "1588536050598572034")</f>
        <v>1588536050598572034</v>
      </c>
      <c r="B316" t="s">
        <v>15</v>
      </c>
      <c r="C316" s="2">
        <v>44869.595856481479</v>
      </c>
      <c r="D316">
        <v>2</v>
      </c>
      <c r="E316">
        <v>1</v>
      </c>
      <c r="G316" t="s">
        <v>388</v>
      </c>
      <c r="L316">
        <v>0</v>
      </c>
      <c r="M316">
        <v>0</v>
      </c>
      <c r="N316">
        <v>1</v>
      </c>
      <c r="O316">
        <v>0</v>
      </c>
    </row>
    <row r="317" spans="1:15" x14ac:dyDescent="0.2">
      <c r="A317" s="1" t="str">
        <f>HYPERLINK("http://www.twitter.com/banuakdenizli/status/1588522140558831618", "1588522140558831618")</f>
        <v>1588522140558831618</v>
      </c>
      <c r="B317" t="s">
        <v>15</v>
      </c>
      <c r="C317" s="2">
        <v>44869.557476851849</v>
      </c>
      <c r="D317">
        <v>0</v>
      </c>
      <c r="E317">
        <v>102</v>
      </c>
      <c r="F317" t="s">
        <v>16</v>
      </c>
      <c r="G317" t="s">
        <v>389</v>
      </c>
      <c r="H317" t="str">
        <f>HYPERLINK("https://video.twimg.com/ext_tw_video/1588517042914828289/pu/vid/1280x720/4jXp_Q6igTWVzhSC.mp4?tag=12", "https://video.twimg.com/ext_tw_video/1588517042914828289/pu/vid/1280x720/4jXp_Q6igTWVzhSC.mp4?tag=12")</f>
        <v>https://video.twimg.com/ext_tw_video/1588517042914828289/pu/vid/1280x720/4jXp_Q6igTWVzhSC.mp4?tag=12</v>
      </c>
      <c r="L317">
        <v>-0.29599999999999999</v>
      </c>
      <c r="M317">
        <v>4.8000000000000001E-2</v>
      </c>
      <c r="N317">
        <v>0.95199999999999996</v>
      </c>
      <c r="O317">
        <v>0</v>
      </c>
    </row>
    <row r="318" spans="1:15" x14ac:dyDescent="0.2">
      <c r="A318" s="1" t="str">
        <f>HYPERLINK("http://www.twitter.com/banuakdenizli/status/1588497349223280640", "1588497349223280640")</f>
        <v>1588497349223280640</v>
      </c>
      <c r="B318" t="s">
        <v>15</v>
      </c>
      <c r="C318" s="2">
        <v>44869.489062499997</v>
      </c>
      <c r="D318">
        <v>9</v>
      </c>
      <c r="E318">
        <v>0</v>
      </c>
      <c r="G318" t="s">
        <v>390</v>
      </c>
      <c r="L318">
        <v>0</v>
      </c>
      <c r="M318">
        <v>0</v>
      </c>
      <c r="N318">
        <v>1</v>
      </c>
      <c r="O318">
        <v>0</v>
      </c>
    </row>
    <row r="319" spans="1:15" x14ac:dyDescent="0.2">
      <c r="A319" s="1" t="str">
        <f>HYPERLINK("http://www.twitter.com/banuakdenizli/status/1588480694732267520", "1588480694732267520")</f>
        <v>1588480694732267520</v>
      </c>
      <c r="B319" t="s">
        <v>15</v>
      </c>
      <c r="C319" s="2">
        <v>44869.443101851852</v>
      </c>
      <c r="D319">
        <v>10</v>
      </c>
      <c r="E319">
        <v>2</v>
      </c>
      <c r="G319" t="s">
        <v>391</v>
      </c>
      <c r="L319">
        <v>0</v>
      </c>
      <c r="M319">
        <v>0</v>
      </c>
      <c r="N319">
        <v>1</v>
      </c>
      <c r="O319">
        <v>0</v>
      </c>
    </row>
    <row r="320" spans="1:15" x14ac:dyDescent="0.2">
      <c r="A320" s="1" t="str">
        <f>HYPERLINK("http://www.twitter.com/banuakdenizli/status/1588476472003788800", "1588476472003788800")</f>
        <v>1588476472003788800</v>
      </c>
      <c r="B320" t="s">
        <v>15</v>
      </c>
      <c r="C320" s="2">
        <v>44869.431458333333</v>
      </c>
      <c r="D320">
        <v>6</v>
      </c>
      <c r="E320">
        <v>0</v>
      </c>
      <c r="G320" t="s">
        <v>392</v>
      </c>
      <c r="H320" t="str">
        <f>HYPERLINK("http://pbs.twimg.com/media/Fgtm7s0WQAcy9ZZ.jpg", "http://pbs.twimg.com/media/Fgtm7s0WQAcy9ZZ.jpg")</f>
        <v>http://pbs.twimg.com/media/Fgtm7s0WQAcy9ZZ.jpg</v>
      </c>
      <c r="L320">
        <v>0</v>
      </c>
      <c r="M320">
        <v>0</v>
      </c>
      <c r="N320">
        <v>1</v>
      </c>
      <c r="O320">
        <v>0</v>
      </c>
    </row>
    <row r="321" spans="1:15" x14ac:dyDescent="0.2">
      <c r="A321" s="1" t="str">
        <f>HYPERLINK("http://www.twitter.com/banuakdenizli/status/1588398347647610880", "1588398347647610880")</f>
        <v>1588398347647610880</v>
      </c>
      <c r="B321" t="s">
        <v>15</v>
      </c>
      <c r="C321" s="2">
        <v>44869.215868055559</v>
      </c>
      <c r="D321">
        <v>24</v>
      </c>
      <c r="E321">
        <v>3</v>
      </c>
      <c r="G321" t="s">
        <v>393</v>
      </c>
      <c r="H321" t="str">
        <f>HYPERLINK("http://pbs.twimg.com/media/Fgsf4PUXwAA0v4p.jpg", "http://pbs.twimg.com/media/Fgsf4PUXwAA0v4p.jpg")</f>
        <v>http://pbs.twimg.com/media/Fgsf4PUXwAA0v4p.jpg</v>
      </c>
      <c r="L321">
        <v>0</v>
      </c>
      <c r="M321">
        <v>0</v>
      </c>
      <c r="N321">
        <v>1</v>
      </c>
      <c r="O321">
        <v>0</v>
      </c>
    </row>
    <row r="322" spans="1:15" x14ac:dyDescent="0.2">
      <c r="A322" s="1" t="str">
        <f>HYPERLINK("http://www.twitter.com/banuakdenizli/status/1588184061998403586", "1588184061998403586")</f>
        <v>1588184061998403586</v>
      </c>
      <c r="B322" t="s">
        <v>15</v>
      </c>
      <c r="C322" s="2">
        <v>44868.624560185177</v>
      </c>
      <c r="D322">
        <v>0</v>
      </c>
      <c r="E322">
        <v>0</v>
      </c>
      <c r="G322" t="s">
        <v>394</v>
      </c>
      <c r="L322">
        <v>0</v>
      </c>
      <c r="M322">
        <v>0</v>
      </c>
      <c r="N322">
        <v>1</v>
      </c>
      <c r="O322">
        <v>0</v>
      </c>
    </row>
    <row r="323" spans="1:15" x14ac:dyDescent="0.2">
      <c r="A323" s="1" t="str">
        <f>HYPERLINK("http://www.twitter.com/banuakdenizli/status/1588155668946616320", "1588155668946616320")</f>
        <v>1588155668946616320</v>
      </c>
      <c r="B323" t="s">
        <v>15</v>
      </c>
      <c r="C323" s="2">
        <v>44868.546203703707</v>
      </c>
      <c r="D323">
        <v>10</v>
      </c>
      <c r="E323">
        <v>4</v>
      </c>
      <c r="G323" t="s">
        <v>395</v>
      </c>
      <c r="H323" t="str">
        <f>HYPERLINK("http://pbs.twimg.com/media/FgpDJ7TWAAEVSJe.jpg", "http://pbs.twimg.com/media/FgpDJ7TWAAEVSJe.jpg")</f>
        <v>http://pbs.twimg.com/media/FgpDJ7TWAAEVSJe.jpg</v>
      </c>
      <c r="I323" t="str">
        <f>HYPERLINK("http://pbs.twimg.com/media/FgpDKOqWYAU0aXX.jpg", "http://pbs.twimg.com/media/FgpDKOqWYAU0aXX.jpg")</f>
        <v>http://pbs.twimg.com/media/FgpDKOqWYAU0aXX.jpg</v>
      </c>
      <c r="J323" t="str">
        <f>HYPERLINK("http://pbs.twimg.com/media/FgpDKgOWYAEpjjn.jpg", "http://pbs.twimg.com/media/FgpDKgOWYAEpjjn.jpg")</f>
        <v>http://pbs.twimg.com/media/FgpDKgOWYAEpjjn.jpg</v>
      </c>
      <c r="L323">
        <v>0</v>
      </c>
      <c r="M323">
        <v>0</v>
      </c>
      <c r="N323">
        <v>1</v>
      </c>
      <c r="O323">
        <v>0</v>
      </c>
    </row>
    <row r="324" spans="1:15" x14ac:dyDescent="0.2">
      <c r="A324" s="1" t="str">
        <f>HYPERLINK("http://www.twitter.com/banuakdenizli/status/1588150497965445120", "1588150497965445120")</f>
        <v>1588150497965445120</v>
      </c>
      <c r="B324" t="s">
        <v>15</v>
      </c>
      <c r="C324" s="2">
        <v>44868.53193287037</v>
      </c>
      <c r="D324">
        <v>0</v>
      </c>
      <c r="E324">
        <v>0</v>
      </c>
      <c r="G324" t="s">
        <v>396</v>
      </c>
      <c r="L324">
        <v>0</v>
      </c>
      <c r="M324">
        <v>0</v>
      </c>
      <c r="N324">
        <v>1</v>
      </c>
      <c r="O324">
        <v>0</v>
      </c>
    </row>
    <row r="325" spans="1:15" x14ac:dyDescent="0.2">
      <c r="A325" s="1" t="str">
        <f>HYPERLINK("http://www.twitter.com/banuakdenizli/status/1588150364506923009", "1588150364506923009")</f>
        <v>1588150364506923009</v>
      </c>
      <c r="B325" t="s">
        <v>15</v>
      </c>
      <c r="C325" s="2">
        <v>44868.5315625</v>
      </c>
      <c r="D325">
        <v>2</v>
      </c>
      <c r="E325">
        <v>2</v>
      </c>
      <c r="G325" t="s">
        <v>397</v>
      </c>
      <c r="H325" t="str">
        <f>HYPERLINK("http://pbs.twimg.com/media/Fgo-VvXXoAItclQ.png", "http://pbs.twimg.com/media/Fgo-VvXXoAItclQ.png")</f>
        <v>http://pbs.twimg.com/media/Fgo-VvXXoAItclQ.png</v>
      </c>
      <c r="L325">
        <v>0</v>
      </c>
      <c r="M325">
        <v>0</v>
      </c>
      <c r="N325">
        <v>1</v>
      </c>
      <c r="O325">
        <v>0</v>
      </c>
    </row>
    <row r="326" spans="1:15" x14ac:dyDescent="0.2">
      <c r="A326" s="1" t="str">
        <f>HYPERLINK("http://www.twitter.com/banuakdenizli/status/1588119996152135680", "1588119996152135680")</f>
        <v>1588119996152135680</v>
      </c>
      <c r="B326" t="s">
        <v>15</v>
      </c>
      <c r="C326" s="2">
        <v>44868.447766203702</v>
      </c>
      <c r="D326">
        <v>21</v>
      </c>
      <c r="E326">
        <v>5</v>
      </c>
      <c r="G326" t="s">
        <v>398</v>
      </c>
      <c r="H326" t="str">
        <f>HYPERLINK("http://pbs.twimg.com/media/FgoiuFmXkAEnZ8U.jpg", "http://pbs.twimg.com/media/FgoiuFmXkAEnZ8U.jpg")</f>
        <v>http://pbs.twimg.com/media/FgoiuFmXkAEnZ8U.jpg</v>
      </c>
      <c r="L326">
        <v>0</v>
      </c>
      <c r="M326">
        <v>0</v>
      </c>
      <c r="N326">
        <v>1</v>
      </c>
      <c r="O326">
        <v>0</v>
      </c>
    </row>
    <row r="327" spans="1:15" x14ac:dyDescent="0.2">
      <c r="A327" s="1" t="str">
        <f>HYPERLINK("http://www.twitter.com/banuakdenizli/status/1587849902725468160", "1587849902725468160")</f>
        <v>1587849902725468160</v>
      </c>
      <c r="B327" t="s">
        <v>15</v>
      </c>
      <c r="C327" s="2">
        <v>44867.702453703707</v>
      </c>
      <c r="D327">
        <v>0</v>
      </c>
      <c r="E327">
        <v>6</v>
      </c>
      <c r="F327" t="s">
        <v>31</v>
      </c>
      <c r="G327" t="s">
        <v>399</v>
      </c>
      <c r="H327" t="str">
        <f>HYPERLINK("http://pbs.twimg.com/media/FgjgY8tXEAAkm8O.jpg", "http://pbs.twimg.com/media/FgjgY8tXEAAkm8O.jpg")</f>
        <v>http://pbs.twimg.com/media/FgjgY8tXEAAkm8O.jpg</v>
      </c>
      <c r="I327" t="str">
        <f>HYPERLINK("http://pbs.twimg.com/media/FgjgY9lXEAIQcYj.jpg", "http://pbs.twimg.com/media/FgjgY9lXEAIQcYj.jpg")</f>
        <v>http://pbs.twimg.com/media/FgjgY9lXEAIQcYj.jpg</v>
      </c>
      <c r="J327" t="str">
        <f>HYPERLINK("http://pbs.twimg.com/media/FgjgY-eX0AYe453.jpg", "http://pbs.twimg.com/media/FgjgY-eX0AYe453.jpg")</f>
        <v>http://pbs.twimg.com/media/FgjgY-eX0AYe453.jpg</v>
      </c>
      <c r="L327">
        <v>0</v>
      </c>
      <c r="M327">
        <v>0</v>
      </c>
      <c r="N327">
        <v>1</v>
      </c>
      <c r="O327">
        <v>0</v>
      </c>
    </row>
    <row r="328" spans="1:15" x14ac:dyDescent="0.2">
      <c r="A328" s="1" t="str">
        <f>HYPERLINK("http://www.twitter.com/banuakdenizli/status/1587688426190553089", "1587688426190553089")</f>
        <v>1587688426190553089</v>
      </c>
      <c r="B328" t="s">
        <v>15</v>
      </c>
      <c r="C328" s="2">
        <v>44867.256863425922</v>
      </c>
      <c r="D328">
        <v>3</v>
      </c>
      <c r="E328">
        <v>1</v>
      </c>
      <c r="G328" t="s">
        <v>400</v>
      </c>
      <c r="H328" t="str">
        <f>HYPERLINK("http://pbs.twimg.com/media/FgiZ4wOXkAEu8fF.jpg", "http://pbs.twimg.com/media/FgiZ4wOXkAEu8fF.jpg")</f>
        <v>http://pbs.twimg.com/media/FgiZ4wOXkAEu8fF.jpg</v>
      </c>
      <c r="L328">
        <v>0</v>
      </c>
      <c r="M328">
        <v>0</v>
      </c>
      <c r="N328">
        <v>1</v>
      </c>
      <c r="O328">
        <v>0</v>
      </c>
    </row>
    <row r="329" spans="1:15" x14ac:dyDescent="0.2">
      <c r="A329" s="1" t="str">
        <f>HYPERLINK("http://www.twitter.com/banuakdenizli/status/1587679097999790080", "1587679097999790080")</f>
        <v>1587679097999790080</v>
      </c>
      <c r="B329" t="s">
        <v>15</v>
      </c>
      <c r="C329" s="2">
        <v>44867.231122685182</v>
      </c>
      <c r="D329">
        <v>5</v>
      </c>
      <c r="E329">
        <v>4</v>
      </c>
      <c r="G329" t="s">
        <v>401</v>
      </c>
      <c r="L329">
        <v>0</v>
      </c>
      <c r="M329">
        <v>0</v>
      </c>
      <c r="N329">
        <v>1</v>
      </c>
      <c r="O329">
        <v>0</v>
      </c>
    </row>
    <row r="330" spans="1:15" x14ac:dyDescent="0.2">
      <c r="A330" s="1" t="str">
        <f>HYPERLINK("http://www.twitter.com/banuakdenizli/status/1587648856321400834", "1587648856321400834")</f>
        <v>1587648856321400834</v>
      </c>
      <c r="B330" t="s">
        <v>15</v>
      </c>
      <c r="C330" s="2">
        <v>44867.147673611107</v>
      </c>
      <c r="D330">
        <v>0</v>
      </c>
      <c r="E330">
        <v>9</v>
      </c>
      <c r="F330" t="s">
        <v>34</v>
      </c>
      <c r="G330" t="s">
        <v>402</v>
      </c>
      <c r="H330" t="str">
        <f>HYPERLINK("http://pbs.twimg.com/media/FggJKNaWYAcc_yO.jpg", "http://pbs.twimg.com/media/FggJKNaWYAcc_yO.jpg")</f>
        <v>http://pbs.twimg.com/media/FggJKNaWYAcc_yO.jpg</v>
      </c>
      <c r="L330">
        <v>0</v>
      </c>
      <c r="M330">
        <v>0</v>
      </c>
      <c r="N330">
        <v>1</v>
      </c>
      <c r="O330">
        <v>0</v>
      </c>
    </row>
    <row r="331" spans="1:15" x14ac:dyDescent="0.2">
      <c r="A331" s="1" t="str">
        <f>HYPERLINK("http://www.twitter.com/banuakdenizli/status/1587486175186518016", "1587486175186518016")</f>
        <v>1587486175186518016</v>
      </c>
      <c r="B331" t="s">
        <v>15</v>
      </c>
      <c r="C331" s="2">
        <v>44866.698750000003</v>
      </c>
      <c r="D331">
        <v>0</v>
      </c>
      <c r="E331">
        <v>47</v>
      </c>
      <c r="F331" t="s">
        <v>24</v>
      </c>
      <c r="G331" t="s">
        <v>403</v>
      </c>
      <c r="H331" t="str">
        <f>HYPERLINK("https://video.twimg.com/amplify_video/1587466551602864133/vid/720x1280/_X23G9slZyugOuNS.mp4?tag=14", "https://video.twimg.com/amplify_video/1587466551602864133/vid/720x1280/_X23G9slZyugOuNS.mp4?tag=14")</f>
        <v>https://video.twimg.com/amplify_video/1587466551602864133/vid/720x1280/_X23G9slZyugOuNS.mp4?tag=14</v>
      </c>
      <c r="L331">
        <v>0</v>
      </c>
      <c r="M331">
        <v>0</v>
      </c>
      <c r="N331">
        <v>1</v>
      </c>
      <c r="O331">
        <v>0</v>
      </c>
    </row>
    <row r="332" spans="1:15" x14ac:dyDescent="0.2">
      <c r="A332" s="1" t="str">
        <f>HYPERLINK("http://www.twitter.com/banuakdenizli/status/1587306198172319750", "1587306198172319750")</f>
        <v>1587306198172319750</v>
      </c>
      <c r="B332" t="s">
        <v>15</v>
      </c>
      <c r="C332" s="2">
        <v>44866.202118055553</v>
      </c>
      <c r="D332">
        <v>4</v>
      </c>
      <c r="E332">
        <v>0</v>
      </c>
      <c r="G332" t="s">
        <v>404</v>
      </c>
      <c r="H332" t="str">
        <f>HYPERLINK("http://pbs.twimg.com/media/Fgc-k0GXoAEO5Pi.jpg", "http://pbs.twimg.com/media/Fgc-k0GXoAEO5Pi.jpg")</f>
        <v>http://pbs.twimg.com/media/Fgc-k0GXoAEO5Pi.jpg</v>
      </c>
      <c r="L332">
        <v>0</v>
      </c>
      <c r="M332">
        <v>0</v>
      </c>
      <c r="N332">
        <v>1</v>
      </c>
      <c r="O332">
        <v>0</v>
      </c>
    </row>
    <row r="333" spans="1:15" x14ac:dyDescent="0.2">
      <c r="A333" s="1" t="str">
        <f>HYPERLINK("http://www.twitter.com/banuakdenizli/status/1587075334297485312", "1587075334297485312")</f>
        <v>1587075334297485312</v>
      </c>
      <c r="B333" t="s">
        <v>15</v>
      </c>
      <c r="C333" s="2">
        <v>44865.565046296288</v>
      </c>
      <c r="D333">
        <v>0</v>
      </c>
      <c r="E333">
        <v>6</v>
      </c>
      <c r="F333" t="s">
        <v>31</v>
      </c>
      <c r="G333" t="s">
        <v>405</v>
      </c>
      <c r="H333" t="str">
        <f>HYPERLINK("https://video.twimg.com/ext_tw_video/1587063765396295683/pu/vid/720x720/axptoar_x7TnOxAV.mp4?tag=12", "https://video.twimg.com/ext_tw_video/1587063765396295683/pu/vid/720x720/axptoar_x7TnOxAV.mp4?tag=12")</f>
        <v>https://video.twimg.com/ext_tw_video/1587063765396295683/pu/vid/720x720/axptoar_x7TnOxAV.mp4?tag=12</v>
      </c>
      <c r="L333">
        <v>0</v>
      </c>
      <c r="M333">
        <v>0</v>
      </c>
      <c r="N333">
        <v>1</v>
      </c>
      <c r="O333">
        <v>0</v>
      </c>
    </row>
    <row r="334" spans="1:15" x14ac:dyDescent="0.2">
      <c r="A334" s="1" t="str">
        <f>HYPERLINK("http://www.twitter.com/banuakdenizli/status/1587075264865083392", "1587075264865083392")</f>
        <v>1587075264865083392</v>
      </c>
      <c r="B334" t="s">
        <v>15</v>
      </c>
      <c r="C334" s="2">
        <v>44865.56486111111</v>
      </c>
      <c r="D334">
        <v>0</v>
      </c>
      <c r="E334">
        <v>4</v>
      </c>
      <c r="F334" t="s">
        <v>31</v>
      </c>
      <c r="G334" t="s">
        <v>406</v>
      </c>
      <c r="H334" t="str">
        <f>HYPERLINK("http://pbs.twimg.com/media/FgZjT23WAAIBaDq.jpg", "http://pbs.twimg.com/media/FgZjT23WAAIBaDq.jpg")</f>
        <v>http://pbs.twimg.com/media/FgZjT23WAAIBaDq.jpg</v>
      </c>
      <c r="L334">
        <v>0.75790000000000002</v>
      </c>
      <c r="M334">
        <v>0</v>
      </c>
      <c r="N334">
        <v>0.80600000000000005</v>
      </c>
      <c r="O334">
        <v>0.19400000000000001</v>
      </c>
    </row>
    <row r="335" spans="1:15" x14ac:dyDescent="0.2">
      <c r="A335" s="1" t="str">
        <f>HYPERLINK("http://www.twitter.com/banuakdenizli/status/1586935554561679361", "1586935554561679361")</f>
        <v>1586935554561679361</v>
      </c>
      <c r="B335" t="s">
        <v>15</v>
      </c>
      <c r="C335" s="2">
        <v>44865.179328703707</v>
      </c>
      <c r="D335">
        <v>0</v>
      </c>
      <c r="E335">
        <v>0</v>
      </c>
      <c r="G335" t="s">
        <v>407</v>
      </c>
      <c r="L335">
        <v>0</v>
      </c>
      <c r="M335">
        <v>0</v>
      </c>
      <c r="N335">
        <v>1</v>
      </c>
      <c r="O335">
        <v>0</v>
      </c>
    </row>
    <row r="336" spans="1:15" x14ac:dyDescent="0.2">
      <c r="A336" s="1" t="str">
        <f>HYPERLINK("http://www.twitter.com/banuakdenizli/status/1586648573416022016", "1586648573416022016")</f>
        <v>1586648573416022016</v>
      </c>
      <c r="B336" t="s">
        <v>15</v>
      </c>
      <c r="C336" s="2">
        <v>44864.387418981481</v>
      </c>
      <c r="D336">
        <v>0</v>
      </c>
      <c r="E336">
        <v>3</v>
      </c>
      <c r="F336" t="s">
        <v>24</v>
      </c>
      <c r="G336" t="s">
        <v>408</v>
      </c>
      <c r="H336" t="str">
        <f>HYPERLINK("http://pbs.twimg.com/media/FgQ4VJCXkAAlzt0.jpg", "http://pbs.twimg.com/media/FgQ4VJCXkAAlzt0.jpg")</f>
        <v>http://pbs.twimg.com/media/FgQ4VJCXkAAlzt0.jpg</v>
      </c>
      <c r="L336">
        <v>0</v>
      </c>
      <c r="M336">
        <v>0</v>
      </c>
      <c r="N336">
        <v>1</v>
      </c>
      <c r="O336">
        <v>0</v>
      </c>
    </row>
    <row r="337" spans="1:15" x14ac:dyDescent="0.2">
      <c r="A337" s="1" t="str">
        <f>HYPERLINK("http://www.twitter.com/banuakdenizli/status/1586644186442375168", "1586644186442375168")</f>
        <v>1586644186442375168</v>
      </c>
      <c r="B337" t="s">
        <v>15</v>
      </c>
      <c r="C337" s="2">
        <v>44864.3753125</v>
      </c>
      <c r="D337">
        <v>27</v>
      </c>
      <c r="E337">
        <v>9</v>
      </c>
      <c r="G337" t="s">
        <v>409</v>
      </c>
      <c r="H337" t="str">
        <f>HYPERLINK("http://pbs.twimg.com/media/FgTkempX0AAakAA.jpg", "http://pbs.twimg.com/media/FgTkempX0AAakAA.jpg")</f>
        <v>http://pbs.twimg.com/media/FgTkempX0AAakAA.jpg</v>
      </c>
      <c r="L337">
        <v>0</v>
      </c>
      <c r="M337">
        <v>0</v>
      </c>
      <c r="N337">
        <v>1</v>
      </c>
      <c r="O337">
        <v>0</v>
      </c>
    </row>
    <row r="338" spans="1:15" x14ac:dyDescent="0.2">
      <c r="A338" s="1" t="str">
        <f>HYPERLINK("http://www.twitter.com/banuakdenizli/status/1586344635974156290", "1586344635974156290")</f>
        <v>1586344635974156290</v>
      </c>
      <c r="B338" t="s">
        <v>15</v>
      </c>
      <c r="C338" s="2">
        <v>44863.548703703702</v>
      </c>
      <c r="D338">
        <v>4</v>
      </c>
      <c r="E338">
        <v>3</v>
      </c>
      <c r="G338" t="s">
        <v>410</v>
      </c>
      <c r="L338">
        <v>0</v>
      </c>
      <c r="M338">
        <v>0</v>
      </c>
      <c r="N338">
        <v>1</v>
      </c>
      <c r="O338">
        <v>0</v>
      </c>
    </row>
    <row r="339" spans="1:15" x14ac:dyDescent="0.2">
      <c r="A339" s="1" t="str">
        <f>HYPERLINK("http://www.twitter.com/banuakdenizli/status/1586303533447774208", "1586303533447774208")</f>
        <v>1586303533447774208</v>
      </c>
      <c r="B339" t="s">
        <v>15</v>
      </c>
      <c r="C339" s="2">
        <v>44863.435289351852</v>
      </c>
      <c r="D339">
        <v>5</v>
      </c>
      <c r="E339">
        <v>3</v>
      </c>
      <c r="G339" t="s">
        <v>411</v>
      </c>
      <c r="L339">
        <v>0</v>
      </c>
      <c r="M339">
        <v>0</v>
      </c>
      <c r="N339">
        <v>1</v>
      </c>
      <c r="O339">
        <v>0</v>
      </c>
    </row>
    <row r="340" spans="1:15" x14ac:dyDescent="0.2">
      <c r="A340" s="1" t="str">
        <f>HYPERLINK("http://www.twitter.com/banuakdenizli/status/1586299003440107520", "1586299003440107520")</f>
        <v>1586299003440107520</v>
      </c>
      <c r="B340" t="s">
        <v>15</v>
      </c>
      <c r="C340" s="2">
        <v>44863.422789351847</v>
      </c>
      <c r="D340">
        <v>3</v>
      </c>
      <c r="E340">
        <v>1</v>
      </c>
      <c r="G340" t="s">
        <v>412</v>
      </c>
      <c r="L340">
        <v>0</v>
      </c>
      <c r="M340">
        <v>0</v>
      </c>
      <c r="N340">
        <v>1</v>
      </c>
      <c r="O340">
        <v>0</v>
      </c>
    </row>
    <row r="341" spans="1:15" x14ac:dyDescent="0.2">
      <c r="A341" s="1" t="str">
        <f>HYPERLINK("http://www.twitter.com/banuakdenizli/status/1586295125101379584", "1586295125101379584")</f>
        <v>1586295125101379584</v>
      </c>
      <c r="B341" t="s">
        <v>15</v>
      </c>
      <c r="C341" s="2">
        <v>44863.412083333344</v>
      </c>
      <c r="D341">
        <v>0</v>
      </c>
      <c r="E341">
        <v>1</v>
      </c>
      <c r="F341" t="s">
        <v>413</v>
      </c>
      <c r="G341" t="s">
        <v>414</v>
      </c>
      <c r="H341" t="str">
        <f>HYPERLINK("http://pbs.twimg.com/media/FgOM8PvWIAIw4z5.jpg", "http://pbs.twimg.com/media/FgOM8PvWIAIw4z5.jpg")</f>
        <v>http://pbs.twimg.com/media/FgOM8PvWIAIw4z5.jpg</v>
      </c>
      <c r="L341">
        <v>-0.1779</v>
      </c>
      <c r="M341">
        <v>6.9000000000000006E-2</v>
      </c>
      <c r="N341">
        <v>0.878</v>
      </c>
      <c r="O341">
        <v>5.3999999999999999E-2</v>
      </c>
    </row>
    <row r="342" spans="1:15" x14ac:dyDescent="0.2">
      <c r="A342" s="1" t="str">
        <f>HYPERLINK("http://www.twitter.com/banuakdenizli/status/1586216691591413760", "1586216691591413760")</f>
        <v>1586216691591413760</v>
      </c>
      <c r="B342" t="s">
        <v>15</v>
      </c>
      <c r="C342" s="2">
        <v>44863.195648148147</v>
      </c>
      <c r="D342">
        <v>0</v>
      </c>
      <c r="E342">
        <v>3</v>
      </c>
      <c r="F342" t="s">
        <v>17</v>
      </c>
      <c r="G342" t="s">
        <v>415</v>
      </c>
      <c r="H342" t="str">
        <f>HYPERLINK("https://video.twimg.com/ext_tw_video/1586071407783452672/pu/vid/720x1280/6cQEJAY2Uh001OqA.mp4?tag=12", "https://video.twimg.com/ext_tw_video/1586071407783452672/pu/vid/720x1280/6cQEJAY2Uh001OqA.mp4?tag=12")</f>
        <v>https://video.twimg.com/ext_tw_video/1586071407783452672/pu/vid/720x1280/6cQEJAY2Uh001OqA.mp4?tag=12</v>
      </c>
      <c r="L342">
        <v>0</v>
      </c>
      <c r="M342">
        <v>0</v>
      </c>
      <c r="N342">
        <v>1</v>
      </c>
      <c r="O342">
        <v>0</v>
      </c>
    </row>
    <row r="343" spans="1:15" x14ac:dyDescent="0.2">
      <c r="A343" s="1" t="str">
        <f>HYPERLINK("http://www.twitter.com/banuakdenizli/status/1586216497793597443", "1586216497793597443")</f>
        <v>1586216497793597443</v>
      </c>
      <c r="B343" t="s">
        <v>15</v>
      </c>
      <c r="C343" s="2">
        <v>44863.195115740738</v>
      </c>
      <c r="D343">
        <v>0</v>
      </c>
      <c r="E343">
        <v>6</v>
      </c>
      <c r="F343" t="s">
        <v>192</v>
      </c>
      <c r="G343" t="s">
        <v>416</v>
      </c>
      <c r="H343" t="str">
        <f>HYPERLINK("https://video.twimg.com/amplify_video/1586038121669574663/vid/1316x720/JtnKAfPXvsls2cNJ.mp4?tag=14", "https://video.twimg.com/amplify_video/1586038121669574663/vid/1316x720/JtnKAfPXvsls2cNJ.mp4?tag=14")</f>
        <v>https://video.twimg.com/amplify_video/1586038121669574663/vid/1316x720/JtnKAfPXvsls2cNJ.mp4?tag=14</v>
      </c>
      <c r="L343">
        <v>0</v>
      </c>
      <c r="M343">
        <v>0</v>
      </c>
      <c r="N343">
        <v>1</v>
      </c>
      <c r="O343">
        <v>0</v>
      </c>
    </row>
    <row r="344" spans="1:15" x14ac:dyDescent="0.2">
      <c r="A344" s="1" t="str">
        <f>HYPERLINK("http://www.twitter.com/banuakdenizli/status/1586048095498178560", "1586048095498178560")</f>
        <v>1586048095498178560</v>
      </c>
      <c r="B344" t="s">
        <v>15</v>
      </c>
      <c r="C344" s="2">
        <v>44862.730405092603</v>
      </c>
      <c r="D344">
        <v>0</v>
      </c>
      <c r="E344">
        <v>0</v>
      </c>
      <c r="G344" t="s">
        <v>417</v>
      </c>
      <c r="L344">
        <v>0</v>
      </c>
      <c r="M344">
        <v>0</v>
      </c>
      <c r="N344">
        <v>1</v>
      </c>
      <c r="O344">
        <v>0</v>
      </c>
    </row>
    <row r="345" spans="1:15" x14ac:dyDescent="0.2">
      <c r="A345" s="1" t="str">
        <f>HYPERLINK("http://www.twitter.com/banuakdenizli/status/1586043539716296704", "1586043539716296704")</f>
        <v>1586043539716296704</v>
      </c>
      <c r="B345" t="s">
        <v>15</v>
      </c>
      <c r="C345" s="2">
        <v>44862.717835648153</v>
      </c>
      <c r="D345">
        <v>0</v>
      </c>
      <c r="E345">
        <v>1</v>
      </c>
      <c r="G345" t="s">
        <v>418</v>
      </c>
      <c r="L345">
        <v>0</v>
      </c>
      <c r="M345">
        <v>0</v>
      </c>
      <c r="N345">
        <v>1</v>
      </c>
      <c r="O345">
        <v>0</v>
      </c>
    </row>
    <row r="346" spans="1:15" x14ac:dyDescent="0.2">
      <c r="A346" s="1" t="str">
        <f>HYPERLINK("http://www.twitter.com/banuakdenizli/status/1586038760986157056", "1586038760986157056")</f>
        <v>1586038760986157056</v>
      </c>
      <c r="B346" t="s">
        <v>15</v>
      </c>
      <c r="C346" s="2">
        <v>44862.704652777778</v>
      </c>
      <c r="D346">
        <v>8</v>
      </c>
      <c r="E346">
        <v>1</v>
      </c>
      <c r="G346" t="s">
        <v>419</v>
      </c>
      <c r="H346" t="str">
        <f>HYPERLINK("http://pbs.twimg.com/media/FgK9zpcWYAAxd13.jpg", "http://pbs.twimg.com/media/FgK9zpcWYAAxd13.jpg")</f>
        <v>http://pbs.twimg.com/media/FgK9zpcWYAAxd13.jpg</v>
      </c>
      <c r="L346">
        <v>0</v>
      </c>
      <c r="M346">
        <v>0</v>
      </c>
      <c r="N346">
        <v>1</v>
      </c>
      <c r="O346">
        <v>0</v>
      </c>
    </row>
    <row r="347" spans="1:15" x14ac:dyDescent="0.2">
      <c r="A347" s="1" t="str">
        <f>HYPERLINK("http://www.twitter.com/banuakdenizli/status/1585978635785482241", "1585978635785482241")</f>
        <v>1585978635785482241</v>
      </c>
      <c r="B347" t="s">
        <v>15</v>
      </c>
      <c r="C347" s="2">
        <v>44862.538738425923</v>
      </c>
      <c r="D347">
        <v>0</v>
      </c>
      <c r="E347">
        <v>0</v>
      </c>
      <c r="G347" t="s">
        <v>420</v>
      </c>
      <c r="L347">
        <v>0</v>
      </c>
      <c r="M347">
        <v>0</v>
      </c>
      <c r="N347">
        <v>1</v>
      </c>
      <c r="O347">
        <v>0</v>
      </c>
    </row>
    <row r="348" spans="1:15" x14ac:dyDescent="0.2">
      <c r="A348" s="1" t="str">
        <f>HYPERLINK("http://www.twitter.com/banuakdenizli/status/1585932397123579904", "1585932397123579904")</f>
        <v>1585932397123579904</v>
      </c>
      <c r="B348" t="s">
        <v>15</v>
      </c>
      <c r="C348" s="2">
        <v>44862.411145833343</v>
      </c>
      <c r="D348">
        <v>2</v>
      </c>
      <c r="E348">
        <v>0</v>
      </c>
      <c r="G348" t="s">
        <v>421</v>
      </c>
      <c r="L348">
        <v>0</v>
      </c>
      <c r="M348">
        <v>0</v>
      </c>
      <c r="N348">
        <v>1</v>
      </c>
      <c r="O348">
        <v>0</v>
      </c>
    </row>
    <row r="349" spans="1:15" x14ac:dyDescent="0.2">
      <c r="A349" s="1" t="str">
        <f>HYPERLINK("http://www.twitter.com/banuakdenizli/status/1585930978173718529", "1585930978173718529")</f>
        <v>1585930978173718529</v>
      </c>
      <c r="B349" t="s">
        <v>15</v>
      </c>
      <c r="C349" s="2">
        <v>44862.407233796293</v>
      </c>
      <c r="D349">
        <v>15</v>
      </c>
      <c r="E349">
        <v>7</v>
      </c>
      <c r="G349" t="s">
        <v>422</v>
      </c>
      <c r="L349">
        <v>0</v>
      </c>
      <c r="M349">
        <v>0</v>
      </c>
      <c r="N349">
        <v>1</v>
      </c>
      <c r="O349">
        <v>0</v>
      </c>
    </row>
    <row r="350" spans="1:15" x14ac:dyDescent="0.2">
      <c r="A350" s="1" t="str">
        <f>HYPERLINK("http://www.twitter.com/banuakdenizli/status/1585909595720982528", "1585909595720982528")</f>
        <v>1585909595720982528</v>
      </c>
      <c r="B350" t="s">
        <v>15</v>
      </c>
      <c r="C350" s="2">
        <v>44862.348229166673</v>
      </c>
      <c r="D350">
        <v>4</v>
      </c>
      <c r="E350">
        <v>0</v>
      </c>
      <c r="G350" t="s">
        <v>423</v>
      </c>
      <c r="H350" t="str">
        <f>HYPERLINK("http://pbs.twimg.com/media/FgJIWY7X0AAwOgS.jpg", "http://pbs.twimg.com/media/FgJIWY7X0AAwOgS.jpg")</f>
        <v>http://pbs.twimg.com/media/FgJIWY7X0AAwOgS.jpg</v>
      </c>
      <c r="I350" t="str">
        <f>HYPERLINK("http://pbs.twimg.com/media/FgJIWqPXoAAWjdq.jpg", "http://pbs.twimg.com/media/FgJIWqPXoAAWjdq.jpg")</f>
        <v>http://pbs.twimg.com/media/FgJIWqPXoAAWjdq.jpg</v>
      </c>
      <c r="J350" t="str">
        <f>HYPERLINK("http://pbs.twimg.com/media/FgJIXL9XoAEliJh.jpg", "http://pbs.twimg.com/media/FgJIXL9XoAEliJh.jpg")</f>
        <v>http://pbs.twimg.com/media/FgJIXL9XoAEliJh.jpg</v>
      </c>
      <c r="K350" t="str">
        <f>HYPERLINK("http://pbs.twimg.com/media/FgJIXxtWAAECJZo.jpg", "http://pbs.twimg.com/media/FgJIXxtWAAECJZo.jpg")</f>
        <v>http://pbs.twimg.com/media/FgJIXxtWAAECJZo.jpg</v>
      </c>
      <c r="L350">
        <v>0</v>
      </c>
      <c r="M350">
        <v>0</v>
      </c>
      <c r="N350">
        <v>1</v>
      </c>
      <c r="O350">
        <v>0</v>
      </c>
    </row>
    <row r="351" spans="1:15" x14ac:dyDescent="0.2">
      <c r="A351" s="1" t="str">
        <f>HYPERLINK("http://www.twitter.com/banuakdenizli/status/1585645490439278595", "1585645490439278595")</f>
        <v>1585645490439278595</v>
      </c>
      <c r="B351" t="s">
        <v>15</v>
      </c>
      <c r="C351" s="2">
        <v>44861.619432870371</v>
      </c>
      <c r="D351">
        <v>9</v>
      </c>
      <c r="E351">
        <v>1</v>
      </c>
      <c r="G351" t="s">
        <v>424</v>
      </c>
      <c r="H351" t="str">
        <f>HYPERLINK("http://pbs.twimg.com/media/FgFYK0SacAIHtow.jpg", "http://pbs.twimg.com/media/FgFYK0SacAIHtow.jpg")</f>
        <v>http://pbs.twimg.com/media/FgFYK0SacAIHtow.jpg</v>
      </c>
      <c r="L351">
        <v>0</v>
      </c>
      <c r="M351">
        <v>0</v>
      </c>
      <c r="N351">
        <v>1</v>
      </c>
      <c r="O351">
        <v>0</v>
      </c>
    </row>
    <row r="352" spans="1:15" x14ac:dyDescent="0.2">
      <c r="A352" s="1" t="str">
        <f>HYPERLINK("http://www.twitter.com/banuakdenizli/status/1585630086476095488", "1585630086476095488")</f>
        <v>1585630086476095488</v>
      </c>
      <c r="B352" t="s">
        <v>15</v>
      </c>
      <c r="C352" s="2">
        <v>44861.576921296299</v>
      </c>
      <c r="D352">
        <v>1</v>
      </c>
      <c r="E352">
        <v>0</v>
      </c>
      <c r="G352" t="s">
        <v>425</v>
      </c>
      <c r="L352">
        <v>0</v>
      </c>
      <c r="M352">
        <v>0</v>
      </c>
      <c r="N352">
        <v>1</v>
      </c>
      <c r="O352">
        <v>0</v>
      </c>
    </row>
    <row r="353" spans="1:15" x14ac:dyDescent="0.2">
      <c r="A353" s="1" t="str">
        <f>HYPERLINK("http://www.twitter.com/banuakdenizli/status/1585616005992267776", "1585616005992267776")</f>
        <v>1585616005992267776</v>
      </c>
      <c r="B353" t="s">
        <v>15</v>
      </c>
      <c r="C353" s="2">
        <v>44861.53806712963</v>
      </c>
      <c r="D353">
        <v>0</v>
      </c>
      <c r="E353">
        <v>18</v>
      </c>
      <c r="F353" t="s">
        <v>47</v>
      </c>
      <c r="G353" t="s">
        <v>426</v>
      </c>
      <c r="H353" t="str">
        <f>HYPERLINK("http://pbs.twimg.com/media/FgExyHYWQAMMHrq.jpg", "http://pbs.twimg.com/media/FgExyHYWQAMMHrq.jpg")</f>
        <v>http://pbs.twimg.com/media/FgExyHYWQAMMHrq.jpg</v>
      </c>
      <c r="L353">
        <v>0</v>
      </c>
      <c r="M353">
        <v>0</v>
      </c>
      <c r="N353">
        <v>1</v>
      </c>
      <c r="O353">
        <v>0</v>
      </c>
    </row>
    <row r="354" spans="1:15" x14ac:dyDescent="0.2">
      <c r="A354" s="1" t="str">
        <f>HYPERLINK("http://www.twitter.com/banuakdenizli/status/1585601920055525377", "1585601920055525377")</f>
        <v>1585601920055525377</v>
      </c>
      <c r="B354" t="s">
        <v>15</v>
      </c>
      <c r="C354" s="2">
        <v>44861.499201388891</v>
      </c>
      <c r="D354">
        <v>3</v>
      </c>
      <c r="E354">
        <v>0</v>
      </c>
      <c r="G354" t="s">
        <v>427</v>
      </c>
      <c r="L354">
        <v>0</v>
      </c>
      <c r="M354">
        <v>0</v>
      </c>
      <c r="N354">
        <v>1</v>
      </c>
      <c r="O354">
        <v>0</v>
      </c>
    </row>
    <row r="355" spans="1:15" x14ac:dyDescent="0.2">
      <c r="A355" s="1" t="str">
        <f>HYPERLINK("http://www.twitter.com/banuakdenizli/status/1585601511618486276", "1585601511618486276")</f>
        <v>1585601511618486276</v>
      </c>
      <c r="B355" t="s">
        <v>15</v>
      </c>
      <c r="C355" s="2">
        <v>44861.498078703713</v>
      </c>
      <c r="D355">
        <v>3</v>
      </c>
      <c r="E355">
        <v>2</v>
      </c>
      <c r="G355" t="s">
        <v>428</v>
      </c>
      <c r="L355">
        <v>0</v>
      </c>
      <c r="M355">
        <v>0</v>
      </c>
      <c r="N355">
        <v>1</v>
      </c>
      <c r="O355">
        <v>0</v>
      </c>
    </row>
    <row r="356" spans="1:15" x14ac:dyDescent="0.2">
      <c r="A356" s="1" t="str">
        <f>HYPERLINK("http://www.twitter.com/banuakdenizli/status/1585581741078634501", "1585581741078634501")</f>
        <v>1585581741078634501</v>
      </c>
      <c r="B356" t="s">
        <v>15</v>
      </c>
      <c r="C356" s="2">
        <v>44861.443518518521</v>
      </c>
      <c r="D356">
        <v>2</v>
      </c>
      <c r="E356">
        <v>1</v>
      </c>
      <c r="G356" t="s">
        <v>429</v>
      </c>
      <c r="H356" t="str">
        <f>HYPERLINK("http://pbs.twimg.com/media/FgEeLtaWYAILvOE.jpg", "http://pbs.twimg.com/media/FgEeLtaWYAILvOE.jpg")</f>
        <v>http://pbs.twimg.com/media/FgEeLtaWYAILvOE.jpg</v>
      </c>
      <c r="L356">
        <v>0</v>
      </c>
      <c r="M356">
        <v>0</v>
      </c>
      <c r="N356">
        <v>1</v>
      </c>
      <c r="O356">
        <v>0</v>
      </c>
    </row>
    <row r="357" spans="1:15" x14ac:dyDescent="0.2">
      <c r="A357" s="1" t="str">
        <f>HYPERLINK("http://www.twitter.com/banuakdenizli/status/1585319720785678337", "1585319720785678337")</f>
        <v>1585319720785678337</v>
      </c>
      <c r="B357" t="s">
        <v>15</v>
      </c>
      <c r="C357" s="2">
        <v>44860.72047453704</v>
      </c>
      <c r="D357">
        <v>0</v>
      </c>
      <c r="E357">
        <v>0</v>
      </c>
      <c r="G357" t="s">
        <v>430</v>
      </c>
      <c r="L357">
        <v>0</v>
      </c>
      <c r="M357">
        <v>0</v>
      </c>
      <c r="N357">
        <v>1</v>
      </c>
      <c r="O357">
        <v>0</v>
      </c>
    </row>
    <row r="358" spans="1:15" x14ac:dyDescent="0.2">
      <c r="A358" s="1" t="str">
        <f>HYPERLINK("http://www.twitter.com/banuakdenizli/status/1585305449746030594", "1585305449746030594")</f>
        <v>1585305449746030594</v>
      </c>
      <c r="B358" t="s">
        <v>15</v>
      </c>
      <c r="C358" s="2">
        <v>44860.68109953704</v>
      </c>
      <c r="D358">
        <v>1</v>
      </c>
      <c r="E358">
        <v>0</v>
      </c>
      <c r="G358" t="s">
        <v>431</v>
      </c>
      <c r="L358">
        <v>0</v>
      </c>
      <c r="M358">
        <v>0</v>
      </c>
      <c r="N358">
        <v>1</v>
      </c>
      <c r="O358">
        <v>0</v>
      </c>
    </row>
    <row r="359" spans="1:15" x14ac:dyDescent="0.2">
      <c r="A359" s="1" t="str">
        <f>HYPERLINK("http://www.twitter.com/banuakdenizli/status/1585304294969864192", "1585304294969864192")</f>
        <v>1585304294969864192</v>
      </c>
      <c r="B359" t="s">
        <v>15</v>
      </c>
      <c r="C359" s="2">
        <v>44860.677916666667</v>
      </c>
      <c r="D359">
        <v>1</v>
      </c>
      <c r="E359">
        <v>0</v>
      </c>
      <c r="G359" t="s">
        <v>432</v>
      </c>
      <c r="H359" t="str">
        <f>HYPERLINK("http://pbs.twimg.com/media/FgAh2pcWIAI-mKB.jpg", "http://pbs.twimg.com/media/FgAh2pcWIAI-mKB.jpg")</f>
        <v>http://pbs.twimg.com/media/FgAh2pcWIAI-mKB.jpg</v>
      </c>
      <c r="L359">
        <v>0</v>
      </c>
      <c r="M359">
        <v>0</v>
      </c>
      <c r="N359">
        <v>1</v>
      </c>
      <c r="O359">
        <v>0</v>
      </c>
    </row>
    <row r="360" spans="1:15" x14ac:dyDescent="0.2">
      <c r="A360" s="1" t="str">
        <f>HYPERLINK("http://www.twitter.com/banuakdenizli/status/1585303801015472133", "1585303801015472133")</f>
        <v>1585303801015472133</v>
      </c>
      <c r="B360" t="s">
        <v>15</v>
      </c>
      <c r="C360" s="2">
        <v>44860.676550925928</v>
      </c>
      <c r="D360">
        <v>13</v>
      </c>
      <c r="E360">
        <v>6</v>
      </c>
      <c r="G360" t="s">
        <v>433</v>
      </c>
      <c r="H360" t="str">
        <f>HYPERLINK("http://pbs.twimg.com/media/FgAhZ1hXoAEIfxk.jpg", "http://pbs.twimg.com/media/FgAhZ1hXoAEIfxk.jpg")</f>
        <v>http://pbs.twimg.com/media/FgAhZ1hXoAEIfxk.jpg</v>
      </c>
      <c r="L360">
        <v>-0.4466</v>
      </c>
      <c r="M360">
        <v>0.13400000000000001</v>
      </c>
      <c r="N360">
        <v>0.86599999999999999</v>
      </c>
      <c r="O360">
        <v>0</v>
      </c>
    </row>
    <row r="361" spans="1:15" x14ac:dyDescent="0.2">
      <c r="A361" s="1" t="str">
        <f>HYPERLINK("http://www.twitter.com/banuakdenizli/status/1585253333169999877", "1585253333169999877")</f>
        <v>1585253333169999877</v>
      </c>
      <c r="B361" t="s">
        <v>15</v>
      </c>
      <c r="C361" s="2">
        <v>44860.537280092591</v>
      </c>
      <c r="D361">
        <v>0</v>
      </c>
      <c r="E361">
        <v>36</v>
      </c>
      <c r="F361" t="s">
        <v>434</v>
      </c>
      <c r="G361" t="s">
        <v>435</v>
      </c>
      <c r="H361" t="str">
        <f>HYPERLINK("http://pbs.twimg.com/media/Ff_xOVaWQAIqtW7.jpg", "http://pbs.twimg.com/media/Ff_xOVaWQAIqtW7.jpg")</f>
        <v>http://pbs.twimg.com/media/Ff_xOVaWQAIqtW7.jpg</v>
      </c>
      <c r="L361">
        <v>0</v>
      </c>
      <c r="M361">
        <v>0</v>
      </c>
      <c r="N361">
        <v>1</v>
      </c>
      <c r="O361">
        <v>0</v>
      </c>
    </row>
    <row r="362" spans="1:15" x14ac:dyDescent="0.2">
      <c r="A362" s="1" t="str">
        <f>HYPERLINK("http://www.twitter.com/banuakdenizli/status/1585242435533541377", "1585242435533541377")</f>
        <v>1585242435533541377</v>
      </c>
      <c r="B362" t="s">
        <v>15</v>
      </c>
      <c r="C362" s="2">
        <v>44860.507210648153</v>
      </c>
      <c r="D362">
        <v>0</v>
      </c>
      <c r="E362">
        <v>14</v>
      </c>
      <c r="F362" t="s">
        <v>27</v>
      </c>
      <c r="G362" t="s">
        <v>436</v>
      </c>
      <c r="H362" t="str">
        <f>HYPERLINK("http://pbs.twimg.com/media/Ff7_YIFXgA89LtL.jpg", "http://pbs.twimg.com/media/Ff7_YIFXgA89LtL.jpg")</f>
        <v>http://pbs.twimg.com/media/Ff7_YIFXgA89LtL.jpg</v>
      </c>
      <c r="I362" t="str">
        <f>HYPERLINK("http://pbs.twimg.com/media/Ff7_YWkXgAQKCLC.jpg", "http://pbs.twimg.com/media/Ff7_YWkXgAQKCLC.jpg")</f>
        <v>http://pbs.twimg.com/media/Ff7_YWkXgAQKCLC.jpg</v>
      </c>
      <c r="J362" t="str">
        <f>HYPERLINK("http://pbs.twimg.com/media/Ff7_YlhXgAUuSru.jpg", "http://pbs.twimg.com/media/Ff7_YlhXgAUuSru.jpg")</f>
        <v>http://pbs.twimg.com/media/Ff7_YlhXgAUuSru.jpg</v>
      </c>
      <c r="K362" t="str">
        <f>HYPERLINK("http://pbs.twimg.com/media/Ff7_Y3mXoAIbSsc.jpg", "http://pbs.twimg.com/media/Ff7_Y3mXoAIbSsc.jpg")</f>
        <v>http://pbs.twimg.com/media/Ff7_Y3mXoAIbSsc.jpg</v>
      </c>
      <c r="L362">
        <v>0.31819999999999998</v>
      </c>
      <c r="M362">
        <v>0</v>
      </c>
      <c r="N362">
        <v>0.94899999999999995</v>
      </c>
      <c r="O362">
        <v>5.0999999999999997E-2</v>
      </c>
    </row>
    <row r="363" spans="1:15" x14ac:dyDescent="0.2">
      <c r="A363" s="1" t="str">
        <f>HYPERLINK("http://www.twitter.com/banuakdenizli/status/1585242299327746048", "1585242299327746048")</f>
        <v>1585242299327746048</v>
      </c>
      <c r="B363" t="s">
        <v>15</v>
      </c>
      <c r="C363" s="2">
        <v>44860.506840277783</v>
      </c>
      <c r="D363">
        <v>0</v>
      </c>
      <c r="E363">
        <v>10</v>
      </c>
      <c r="F363" t="s">
        <v>31</v>
      </c>
      <c r="G363" t="s">
        <v>437</v>
      </c>
      <c r="H363" t="str">
        <f>HYPERLINK("http://pbs.twimg.com/media/Ff_na45XwAAgsCl.jpg", "http://pbs.twimg.com/media/Ff_na45XwAAgsCl.jpg")</f>
        <v>http://pbs.twimg.com/media/Ff_na45XwAAgsCl.jpg</v>
      </c>
      <c r="I363" t="str">
        <f>HYPERLINK("http://pbs.twimg.com/media/Ff_na5YWYAgLekL.jpg", "http://pbs.twimg.com/media/Ff_na5YWYAgLekL.jpg")</f>
        <v>http://pbs.twimg.com/media/Ff_na5YWYAgLekL.jpg</v>
      </c>
      <c r="J363" t="str">
        <f>HYPERLINK("http://pbs.twimg.com/media/Ff_na51WAAAfzC-.jpg", "http://pbs.twimg.com/media/Ff_na51WAAAfzC-.jpg")</f>
        <v>http://pbs.twimg.com/media/Ff_na51WAAAfzC-.jpg</v>
      </c>
      <c r="K363" t="str">
        <f>HYPERLINK("http://pbs.twimg.com/media/Ff_na6aWAAEi7YJ.jpg", "http://pbs.twimg.com/media/Ff_na6aWAAEi7YJ.jpg")</f>
        <v>http://pbs.twimg.com/media/Ff_na6aWAAEi7YJ.jpg</v>
      </c>
      <c r="L363">
        <v>0</v>
      </c>
      <c r="M363">
        <v>0</v>
      </c>
      <c r="N363">
        <v>1</v>
      </c>
      <c r="O363">
        <v>0</v>
      </c>
    </row>
    <row r="364" spans="1:15" x14ac:dyDescent="0.2">
      <c r="A364" s="1" t="str">
        <f>HYPERLINK("http://www.twitter.com/banuakdenizli/status/1585228244759953408", "1585228244759953408")</f>
        <v>1585228244759953408</v>
      </c>
      <c r="B364" t="s">
        <v>15</v>
      </c>
      <c r="C364" s="2">
        <v>44860.468055555553</v>
      </c>
      <c r="D364">
        <v>3</v>
      </c>
      <c r="E364">
        <v>1</v>
      </c>
      <c r="G364" t="s">
        <v>438</v>
      </c>
      <c r="H364" t="str">
        <f>HYPERLINK("http://pbs.twimg.com/media/Ff_cr8aXwAAF0Y_.jpg", "http://pbs.twimg.com/media/Ff_cr8aXwAAF0Y_.jpg")</f>
        <v>http://pbs.twimg.com/media/Ff_cr8aXwAAF0Y_.jpg</v>
      </c>
      <c r="L364">
        <v>0</v>
      </c>
      <c r="M364">
        <v>0</v>
      </c>
      <c r="N364">
        <v>1</v>
      </c>
      <c r="O364">
        <v>0</v>
      </c>
    </row>
    <row r="365" spans="1:15" x14ac:dyDescent="0.2">
      <c r="A365" s="1" t="str">
        <f>HYPERLINK("http://www.twitter.com/banuakdenizli/status/1585227732048175104", "1585227732048175104")</f>
        <v>1585227732048175104</v>
      </c>
      <c r="B365" t="s">
        <v>15</v>
      </c>
      <c r="C365" s="2">
        <v>44860.466643518521</v>
      </c>
      <c r="D365">
        <v>16</v>
      </c>
      <c r="E365">
        <v>2</v>
      </c>
      <c r="G365" t="s">
        <v>439</v>
      </c>
      <c r="H365" t="str">
        <f>HYPERLINK("http://pbs.twimg.com/media/Ff_cOHNWIAAC7R-.jpg", "http://pbs.twimg.com/media/Ff_cOHNWIAAC7R-.jpg")</f>
        <v>http://pbs.twimg.com/media/Ff_cOHNWIAAC7R-.jpg</v>
      </c>
      <c r="L365">
        <v>0</v>
      </c>
      <c r="M365">
        <v>0</v>
      </c>
      <c r="N365">
        <v>1</v>
      </c>
      <c r="O365">
        <v>0</v>
      </c>
    </row>
    <row r="366" spans="1:15" x14ac:dyDescent="0.2">
      <c r="A366" s="1" t="str">
        <f>HYPERLINK("http://www.twitter.com/banuakdenizli/status/1584964240427081728", "1584964240427081728")</f>
        <v>1584964240427081728</v>
      </c>
      <c r="B366" t="s">
        <v>15</v>
      </c>
      <c r="C366" s="2">
        <v>44859.739537037043</v>
      </c>
      <c r="D366">
        <v>3</v>
      </c>
      <c r="E366">
        <v>1</v>
      </c>
      <c r="G366" t="s">
        <v>440</v>
      </c>
      <c r="L366">
        <v>0</v>
      </c>
      <c r="M366">
        <v>0</v>
      </c>
      <c r="N366">
        <v>1</v>
      </c>
      <c r="O366">
        <v>0</v>
      </c>
    </row>
    <row r="367" spans="1:15" x14ac:dyDescent="0.2">
      <c r="A367" s="1" t="str">
        <f>HYPERLINK("http://www.twitter.com/banuakdenizli/status/1584957601112260608", "1584957601112260608")</f>
        <v>1584957601112260608</v>
      </c>
      <c r="B367" t="s">
        <v>15</v>
      </c>
      <c r="C367" s="2">
        <v>44859.721215277779</v>
      </c>
      <c r="D367">
        <v>3</v>
      </c>
      <c r="E367">
        <v>1</v>
      </c>
      <c r="G367" t="s">
        <v>441</v>
      </c>
      <c r="H367" t="str">
        <f>HYPERLINK("http://pbs.twimg.com/media/Ff7mib5XEBMzzU_.jpg", "http://pbs.twimg.com/media/Ff7mib5XEBMzzU_.jpg")</f>
        <v>http://pbs.twimg.com/media/Ff7mib5XEBMzzU_.jpg</v>
      </c>
      <c r="L367">
        <v>0</v>
      </c>
      <c r="M367">
        <v>0</v>
      </c>
      <c r="N367">
        <v>1</v>
      </c>
      <c r="O367">
        <v>0</v>
      </c>
    </row>
    <row r="368" spans="1:15" x14ac:dyDescent="0.2">
      <c r="A368" s="1" t="str">
        <f>HYPERLINK("http://www.twitter.com/banuakdenizli/status/1584956113812094977", "1584956113812094977")</f>
        <v>1584956113812094977</v>
      </c>
      <c r="B368" t="s">
        <v>15</v>
      </c>
      <c r="C368" s="2">
        <v>44859.717118055552</v>
      </c>
      <c r="D368">
        <v>0</v>
      </c>
      <c r="E368">
        <v>11</v>
      </c>
      <c r="F368" t="s">
        <v>24</v>
      </c>
      <c r="G368" t="s">
        <v>442</v>
      </c>
      <c r="H368" t="str">
        <f>HYPERLINK("http://pbs.twimg.com/media/Ff67rmeXoAgr3MS.jpg", "http://pbs.twimg.com/media/Ff67rmeXoAgr3MS.jpg")</f>
        <v>http://pbs.twimg.com/media/Ff67rmeXoAgr3MS.jpg</v>
      </c>
      <c r="L368">
        <v>0.126</v>
      </c>
      <c r="M368">
        <v>0</v>
      </c>
      <c r="N368">
        <v>0.94599999999999995</v>
      </c>
      <c r="O368">
        <v>5.3999999999999999E-2</v>
      </c>
    </row>
    <row r="369" spans="1:15" x14ac:dyDescent="0.2">
      <c r="A369" s="1" t="str">
        <f>HYPERLINK("http://www.twitter.com/banuakdenizli/status/1584835446382952448", "1584835446382952448")</f>
        <v>1584835446382952448</v>
      </c>
      <c r="B369" t="s">
        <v>15</v>
      </c>
      <c r="C369" s="2">
        <v>44859.384131944447</v>
      </c>
      <c r="D369">
        <v>24</v>
      </c>
      <c r="E369">
        <v>5</v>
      </c>
      <c r="G369" t="s">
        <v>443</v>
      </c>
      <c r="H369" t="str">
        <f>HYPERLINK("http://pbs.twimg.com/media/Ff53cEgWAAIPwOB.jpg", "http://pbs.twimg.com/media/Ff53cEgWAAIPwOB.jpg")</f>
        <v>http://pbs.twimg.com/media/Ff53cEgWAAIPwOB.jpg</v>
      </c>
      <c r="L369">
        <v>0</v>
      </c>
      <c r="M369">
        <v>0</v>
      </c>
      <c r="N369">
        <v>1</v>
      </c>
      <c r="O369">
        <v>0</v>
      </c>
    </row>
    <row r="370" spans="1:15" x14ac:dyDescent="0.2">
      <c r="A370" s="1" t="str">
        <f>HYPERLINK("http://www.twitter.com/banuakdenizli/status/1584833992209014784", "1584833992209014784")</f>
        <v>1584833992209014784</v>
      </c>
      <c r="B370" t="s">
        <v>15</v>
      </c>
      <c r="C370" s="2">
        <v>44859.380127314813</v>
      </c>
      <c r="D370">
        <v>2</v>
      </c>
      <c r="E370">
        <v>0</v>
      </c>
      <c r="G370" t="s">
        <v>444</v>
      </c>
      <c r="L370">
        <v>0</v>
      </c>
      <c r="M370">
        <v>0</v>
      </c>
      <c r="N370">
        <v>1</v>
      </c>
      <c r="O370">
        <v>0</v>
      </c>
    </row>
    <row r="371" spans="1:15" x14ac:dyDescent="0.2">
      <c r="A371" s="1" t="str">
        <f>HYPERLINK("http://www.twitter.com/banuakdenizli/status/1584762709316599808", "1584762709316599808")</f>
        <v>1584762709316599808</v>
      </c>
      <c r="B371" t="s">
        <v>15</v>
      </c>
      <c r="C371" s="2">
        <v>44859.183425925927</v>
      </c>
      <c r="D371">
        <v>0</v>
      </c>
      <c r="E371">
        <v>0</v>
      </c>
      <c r="G371" t="s">
        <v>445</v>
      </c>
      <c r="L371">
        <v>0</v>
      </c>
      <c r="M371">
        <v>0</v>
      </c>
      <c r="N371">
        <v>1</v>
      </c>
      <c r="O371">
        <v>0</v>
      </c>
    </row>
    <row r="372" spans="1:15" x14ac:dyDescent="0.2">
      <c r="A372" s="1" t="str">
        <f>HYPERLINK("http://www.twitter.com/banuakdenizli/status/1584603747698647041", "1584603747698647041")</f>
        <v>1584603747698647041</v>
      </c>
      <c r="B372" t="s">
        <v>15</v>
      </c>
      <c r="C372" s="2">
        <v>44858.744768518518</v>
      </c>
      <c r="D372">
        <v>8</v>
      </c>
      <c r="E372">
        <v>6</v>
      </c>
      <c r="G372" t="s">
        <v>446</v>
      </c>
      <c r="L372">
        <v>0</v>
      </c>
      <c r="M372">
        <v>0</v>
      </c>
      <c r="N372">
        <v>1</v>
      </c>
      <c r="O372">
        <v>0</v>
      </c>
    </row>
    <row r="373" spans="1:15" x14ac:dyDescent="0.2">
      <c r="A373" s="1" t="str">
        <f>HYPERLINK("http://www.twitter.com/banuakdenizli/status/1584603124710641664", "1584603124710641664")</f>
        <v>1584603124710641664</v>
      </c>
      <c r="B373" t="s">
        <v>15</v>
      </c>
      <c r="C373" s="2">
        <v>44858.743055555547</v>
      </c>
      <c r="D373">
        <v>1</v>
      </c>
      <c r="E373">
        <v>0</v>
      </c>
      <c r="G373" t="s">
        <v>447</v>
      </c>
      <c r="L373">
        <v>0</v>
      </c>
      <c r="M373">
        <v>0</v>
      </c>
      <c r="N373">
        <v>1</v>
      </c>
      <c r="O373">
        <v>0</v>
      </c>
    </row>
    <row r="374" spans="1:15" x14ac:dyDescent="0.2">
      <c r="A374" s="1" t="str">
        <f>HYPERLINK("http://www.twitter.com/banuakdenizli/status/1584581193043148802", "1584581193043148802")</f>
        <v>1584581193043148802</v>
      </c>
      <c r="B374" t="s">
        <v>15</v>
      </c>
      <c r="C374" s="2">
        <v>44858.682534722233</v>
      </c>
      <c r="D374">
        <v>0</v>
      </c>
      <c r="E374">
        <v>35</v>
      </c>
      <c r="F374" t="s">
        <v>16</v>
      </c>
      <c r="G374" t="s">
        <v>448</v>
      </c>
      <c r="H374" t="str">
        <f>HYPERLINK("http://pbs.twimg.com/media/Ff1J1JzXwAACt4j.jpg", "http://pbs.twimg.com/media/Ff1J1JzXwAACt4j.jpg")</f>
        <v>http://pbs.twimg.com/media/Ff1J1JzXwAACt4j.jpg</v>
      </c>
      <c r="I374" t="str">
        <f>HYPERLINK("http://pbs.twimg.com/media/Ff1J1J3WIAAsdtG.jpg", "http://pbs.twimg.com/media/Ff1J1J3WIAAsdtG.jpg")</f>
        <v>http://pbs.twimg.com/media/Ff1J1J3WIAAsdtG.jpg</v>
      </c>
      <c r="J374" t="str">
        <f>HYPERLINK("http://pbs.twimg.com/media/Ff1J1J1XoAA8PNh.jpg", "http://pbs.twimg.com/media/Ff1J1J1XoAA8PNh.jpg")</f>
        <v>http://pbs.twimg.com/media/Ff1J1J1XoAA8PNh.jpg</v>
      </c>
      <c r="K374" t="str">
        <f>HYPERLINK("http://pbs.twimg.com/media/Ff1J1J2WYAAcgVF.jpg", "http://pbs.twimg.com/media/Ff1J1J2WYAAcgVF.jpg")</f>
        <v>http://pbs.twimg.com/media/Ff1J1J2WYAAcgVF.jpg</v>
      </c>
      <c r="L374">
        <v>0</v>
      </c>
      <c r="M374">
        <v>0</v>
      </c>
      <c r="N374">
        <v>1</v>
      </c>
      <c r="O374">
        <v>0</v>
      </c>
    </row>
    <row r="375" spans="1:15" x14ac:dyDescent="0.2">
      <c r="A375" s="1" t="str">
        <f>HYPERLINK("http://www.twitter.com/banuakdenizli/status/1584498163183865856", "1584498163183865856")</f>
        <v>1584498163183865856</v>
      </c>
      <c r="B375" t="s">
        <v>15</v>
      </c>
      <c r="C375" s="2">
        <v>44858.453414351847</v>
      </c>
      <c r="D375">
        <v>12</v>
      </c>
      <c r="E375">
        <v>3</v>
      </c>
      <c r="G375" t="s">
        <v>449</v>
      </c>
      <c r="H375" t="str">
        <f>HYPERLINK("http://pbs.twimg.com/media/Ff1ErPxWYAIxyLU.jpg", "http://pbs.twimg.com/media/Ff1ErPxWYAIxyLU.jpg")</f>
        <v>http://pbs.twimg.com/media/Ff1ErPxWYAIxyLU.jpg</v>
      </c>
      <c r="L375">
        <v>0</v>
      </c>
      <c r="M375">
        <v>0</v>
      </c>
      <c r="N375">
        <v>1</v>
      </c>
      <c r="O375">
        <v>0</v>
      </c>
    </row>
    <row r="376" spans="1:15" x14ac:dyDescent="0.2">
      <c r="A376" s="1" t="str">
        <f>HYPERLINK("http://www.twitter.com/banuakdenizli/status/1584244626537738240", "1584244626537738240")</f>
        <v>1584244626537738240</v>
      </c>
      <c r="B376" t="s">
        <v>15</v>
      </c>
      <c r="C376" s="2">
        <v>44857.753784722219</v>
      </c>
      <c r="D376">
        <v>13</v>
      </c>
      <c r="E376">
        <v>1</v>
      </c>
      <c r="G376" t="s">
        <v>450</v>
      </c>
      <c r="H376" t="str">
        <f>HYPERLINK("http://pbs.twimg.com/media/FfxeF3CWYAMnUHj.jpg", "http://pbs.twimg.com/media/FfxeF3CWYAMnUHj.jpg")</f>
        <v>http://pbs.twimg.com/media/FfxeF3CWYAMnUHj.jpg</v>
      </c>
      <c r="L376">
        <v>0</v>
      </c>
      <c r="M376">
        <v>0</v>
      </c>
      <c r="N376">
        <v>1</v>
      </c>
      <c r="O376">
        <v>0</v>
      </c>
    </row>
    <row r="377" spans="1:15" x14ac:dyDescent="0.2">
      <c r="A377" s="1" t="str">
        <f>HYPERLINK("http://www.twitter.com/banuakdenizli/status/1584238058873815041", "1584238058873815041")</f>
        <v>1584238058873815041</v>
      </c>
      <c r="B377" t="s">
        <v>15</v>
      </c>
      <c r="C377" s="2">
        <v>44857.735659722217</v>
      </c>
      <c r="D377">
        <v>3</v>
      </c>
      <c r="E377">
        <v>0</v>
      </c>
      <c r="G377" t="s">
        <v>451</v>
      </c>
      <c r="H377" t="str">
        <f>HYPERLINK("http://pbs.twimg.com/media/FfxYGv5WYAMtA9i.jpg", "http://pbs.twimg.com/media/FfxYGv5WYAMtA9i.jpg")</f>
        <v>http://pbs.twimg.com/media/FfxYGv5WYAMtA9i.jpg</v>
      </c>
      <c r="I377" t="str">
        <f>HYPERLINK("http://pbs.twimg.com/media/FfxYHQvXoAA9W4T.jpg", "http://pbs.twimg.com/media/FfxYHQvXoAA9W4T.jpg")</f>
        <v>http://pbs.twimg.com/media/FfxYHQvXoAA9W4T.jpg</v>
      </c>
      <c r="J377" t="str">
        <f>HYPERLINK("http://pbs.twimg.com/media/FfxYHk1XEAMysqp.jpg", "http://pbs.twimg.com/media/FfxYHk1XEAMysqp.jpg")</f>
        <v>http://pbs.twimg.com/media/FfxYHk1XEAMysqp.jpg</v>
      </c>
      <c r="L377">
        <v>0</v>
      </c>
      <c r="M377">
        <v>0</v>
      </c>
      <c r="N377">
        <v>1</v>
      </c>
      <c r="O377">
        <v>0</v>
      </c>
    </row>
    <row r="378" spans="1:15" x14ac:dyDescent="0.2">
      <c r="A378" s="1" t="str">
        <f>HYPERLINK("http://www.twitter.com/banuakdenizli/status/1584234726914953216", "1584234726914953216")</f>
        <v>1584234726914953216</v>
      </c>
      <c r="B378" t="s">
        <v>15</v>
      </c>
      <c r="C378" s="2">
        <v>44857.726469907408</v>
      </c>
      <c r="D378">
        <v>0</v>
      </c>
      <c r="E378">
        <v>2</v>
      </c>
      <c r="F378" t="s">
        <v>192</v>
      </c>
      <c r="G378" t="s">
        <v>452</v>
      </c>
      <c r="H378" t="str">
        <f>HYPERLINK("http://pbs.twimg.com/media/FfxP5YtXgAMnkJH.jpg", "http://pbs.twimg.com/media/FfxP5YtXgAMnkJH.jpg")</f>
        <v>http://pbs.twimg.com/media/FfxP5YtXgAMnkJH.jpg</v>
      </c>
      <c r="L378">
        <v>0</v>
      </c>
      <c r="M378">
        <v>0</v>
      </c>
      <c r="N378">
        <v>1</v>
      </c>
      <c r="O378">
        <v>0</v>
      </c>
    </row>
    <row r="379" spans="1:15" x14ac:dyDescent="0.2">
      <c r="A379" s="1" t="str">
        <f>HYPERLINK("http://www.twitter.com/banuakdenizli/status/1584201423314505728", "1584201423314505728")</f>
        <v>1584201423314505728</v>
      </c>
      <c r="B379" t="s">
        <v>15</v>
      </c>
      <c r="C379" s="2">
        <v>44857.634571759263</v>
      </c>
      <c r="D379">
        <v>2</v>
      </c>
      <c r="E379">
        <v>0</v>
      </c>
      <c r="G379" t="s">
        <v>453</v>
      </c>
      <c r="L379">
        <v>0</v>
      </c>
      <c r="M379">
        <v>0</v>
      </c>
      <c r="N379">
        <v>1</v>
      </c>
      <c r="O379">
        <v>0</v>
      </c>
    </row>
    <row r="380" spans="1:15" x14ac:dyDescent="0.2">
      <c r="A380" s="1" t="str">
        <f>HYPERLINK("http://www.twitter.com/banuakdenizli/status/1584200642515853314", "1584200642515853314")</f>
        <v>1584200642515853314</v>
      </c>
      <c r="B380" t="s">
        <v>15</v>
      </c>
      <c r="C380" s="2">
        <v>44857.632407407407</v>
      </c>
      <c r="D380">
        <v>0</v>
      </c>
      <c r="E380">
        <v>4</v>
      </c>
      <c r="F380" t="s">
        <v>454</v>
      </c>
      <c r="G380" t="s">
        <v>455</v>
      </c>
      <c r="H380" t="str">
        <f>HYPERLINK("http://pbs.twimg.com/media/FfwwTa2XoAAtn9h.jpg", "http://pbs.twimg.com/media/FfwwTa2XoAAtn9h.jpg")</f>
        <v>http://pbs.twimg.com/media/FfwwTa2XoAAtn9h.jpg</v>
      </c>
      <c r="L380">
        <v>0.81259999999999999</v>
      </c>
      <c r="M380">
        <v>0</v>
      </c>
      <c r="N380">
        <v>0.79200000000000004</v>
      </c>
      <c r="O380">
        <v>0.20799999999999999</v>
      </c>
    </row>
    <row r="381" spans="1:15" x14ac:dyDescent="0.2">
      <c r="A381" s="1" t="str">
        <f>HYPERLINK("http://www.twitter.com/banuakdenizli/status/1584064511530893313", "1584064511530893313")</f>
        <v>1584064511530893313</v>
      </c>
      <c r="B381" t="s">
        <v>15</v>
      </c>
      <c r="C381" s="2">
        <v>44857.25675925926</v>
      </c>
      <c r="D381">
        <v>4</v>
      </c>
      <c r="E381">
        <v>0</v>
      </c>
      <c r="G381" t="s">
        <v>456</v>
      </c>
      <c r="H381" t="str">
        <f>HYPERLINK("https://video.twimg.com/ext_tw_video/1584064234861826049/pu/vid/1280x720/qLwDBylIh9YH76Sn.mp4?tag=12", "https://video.twimg.com/ext_tw_video/1584064234861826049/pu/vid/1280x720/qLwDBylIh9YH76Sn.mp4?tag=12")</f>
        <v>https://video.twimg.com/ext_tw_video/1584064234861826049/pu/vid/1280x720/qLwDBylIh9YH76Sn.mp4?tag=12</v>
      </c>
      <c r="L381">
        <v>0</v>
      </c>
      <c r="M381">
        <v>0</v>
      </c>
      <c r="N381">
        <v>1</v>
      </c>
      <c r="O381">
        <v>0</v>
      </c>
    </row>
    <row r="382" spans="1:15" x14ac:dyDescent="0.2">
      <c r="A382" s="1" t="str">
        <f>HYPERLINK("http://www.twitter.com/banuakdenizli/status/1584038727248412672", "1584038727248412672")</f>
        <v>1584038727248412672</v>
      </c>
      <c r="B382" t="s">
        <v>15</v>
      </c>
      <c r="C382" s="2">
        <v>44857.185613425929</v>
      </c>
      <c r="D382">
        <v>0</v>
      </c>
      <c r="E382">
        <v>1</v>
      </c>
      <c r="F382" t="s">
        <v>457</v>
      </c>
      <c r="G382" t="s">
        <v>458</v>
      </c>
      <c r="H382" t="str">
        <f>HYPERLINK("http://pbs.twimg.com/media/FfqxwdhXoAA4g8L.jpg", "http://pbs.twimg.com/media/FfqxwdhXoAA4g8L.jpg")</f>
        <v>http://pbs.twimg.com/media/FfqxwdhXoAA4g8L.jpg</v>
      </c>
      <c r="L382">
        <v>0</v>
      </c>
      <c r="M382">
        <v>0</v>
      </c>
      <c r="N382">
        <v>1</v>
      </c>
      <c r="O382">
        <v>0</v>
      </c>
    </row>
    <row r="383" spans="1:15" x14ac:dyDescent="0.2">
      <c r="A383" s="1" t="str">
        <f>HYPERLINK("http://www.twitter.com/banuakdenizli/status/1584038499816046595", "1584038499816046595")</f>
        <v>1584038499816046595</v>
      </c>
      <c r="B383" t="s">
        <v>15</v>
      </c>
      <c r="C383" s="2">
        <v>44857.184988425928</v>
      </c>
      <c r="D383">
        <v>0</v>
      </c>
      <c r="E383">
        <v>47</v>
      </c>
      <c r="F383" t="s">
        <v>22</v>
      </c>
      <c r="G383" t="s">
        <v>459</v>
      </c>
      <c r="H383" t="str">
        <f>HYPERLINK("https://video.twimg.com/amplify_video/1583823793575059456/vid/720x900/mnWL6wv0YjwGZV1t.mp4?tag=14", "https://video.twimg.com/amplify_video/1583823793575059456/vid/720x900/mnWL6wv0YjwGZV1t.mp4?tag=14")</f>
        <v>https://video.twimg.com/amplify_video/1583823793575059456/vid/720x900/mnWL6wv0YjwGZV1t.mp4?tag=14</v>
      </c>
      <c r="L383">
        <v>0</v>
      </c>
      <c r="M383">
        <v>0</v>
      </c>
      <c r="N383">
        <v>1</v>
      </c>
      <c r="O383">
        <v>0</v>
      </c>
    </row>
    <row r="384" spans="1:15" x14ac:dyDescent="0.2">
      <c r="A384" s="1" t="str">
        <f>HYPERLINK("http://www.twitter.com/banuakdenizli/status/1583924685888069632", "1583924685888069632")</f>
        <v>1583924685888069632</v>
      </c>
      <c r="B384" t="s">
        <v>15</v>
      </c>
      <c r="C384" s="2">
        <v>44856.87091435185</v>
      </c>
      <c r="D384">
        <v>0</v>
      </c>
      <c r="E384">
        <v>7</v>
      </c>
      <c r="F384" t="s">
        <v>16</v>
      </c>
      <c r="G384" t="s">
        <v>460</v>
      </c>
      <c r="H384" t="str">
        <f>HYPERLINK("http://pbs.twimg.com/media/FfrOODBX0AEkluu.jpg", "http://pbs.twimg.com/media/FfrOODBX0AEkluu.jpg")</f>
        <v>http://pbs.twimg.com/media/FfrOODBX0AEkluu.jpg</v>
      </c>
      <c r="L384">
        <v>0</v>
      </c>
      <c r="M384">
        <v>0</v>
      </c>
      <c r="N384">
        <v>1</v>
      </c>
      <c r="O384">
        <v>0</v>
      </c>
    </row>
    <row r="385" spans="1:15" x14ac:dyDescent="0.2">
      <c r="A385" s="1" t="str">
        <f>HYPERLINK("http://www.twitter.com/banuakdenizli/status/1583924666434920448", "1583924666434920448")</f>
        <v>1583924666434920448</v>
      </c>
      <c r="B385" t="s">
        <v>15</v>
      </c>
      <c r="C385" s="2">
        <v>44856.870868055557</v>
      </c>
      <c r="D385">
        <v>0</v>
      </c>
      <c r="E385">
        <v>30</v>
      </c>
      <c r="F385" t="s">
        <v>16</v>
      </c>
      <c r="G385" t="s">
        <v>461</v>
      </c>
      <c r="H385" t="str">
        <f>HYPERLINK("https://video.twimg.com/ext_tw_video/1583790947220987905/pu/vid/1280x720/kOaLXMKuxm7Vp6Jp.mp4?tag=12", "https://video.twimg.com/ext_tw_video/1583790947220987905/pu/vid/1280x720/kOaLXMKuxm7Vp6Jp.mp4?tag=12")</f>
        <v>https://video.twimg.com/ext_tw_video/1583790947220987905/pu/vid/1280x720/kOaLXMKuxm7Vp6Jp.mp4?tag=12</v>
      </c>
      <c r="L385">
        <v>0</v>
      </c>
      <c r="M385">
        <v>0</v>
      </c>
      <c r="N385">
        <v>1</v>
      </c>
      <c r="O385">
        <v>0</v>
      </c>
    </row>
    <row r="386" spans="1:15" x14ac:dyDescent="0.2">
      <c r="A386" s="1" t="str">
        <f>HYPERLINK("http://www.twitter.com/banuakdenizli/status/1583889048653164544", "1583889048653164544")</f>
        <v>1583889048653164544</v>
      </c>
      <c r="B386" t="s">
        <v>15</v>
      </c>
      <c r="C386" s="2">
        <v>44856.772581018522</v>
      </c>
      <c r="D386">
        <v>0</v>
      </c>
      <c r="E386">
        <v>4</v>
      </c>
      <c r="F386" t="s">
        <v>26</v>
      </c>
      <c r="G386" t="s">
        <v>462</v>
      </c>
      <c r="H386" t="str">
        <f>HYPERLINK("https://video.twimg.com/amplify_video/1583838340842868737/vid/720x1280/lbEW47IhnWauKAL2.mp4?tag=14", "https://video.twimg.com/amplify_video/1583838340842868737/vid/720x1280/lbEW47IhnWauKAL2.mp4?tag=14")</f>
        <v>https://video.twimg.com/amplify_video/1583838340842868737/vid/720x1280/lbEW47IhnWauKAL2.mp4?tag=14</v>
      </c>
      <c r="L386">
        <v>0</v>
      </c>
      <c r="M386">
        <v>0</v>
      </c>
      <c r="N386">
        <v>1</v>
      </c>
      <c r="O386">
        <v>0</v>
      </c>
    </row>
    <row r="387" spans="1:15" x14ac:dyDescent="0.2">
      <c r="A387" s="1" t="str">
        <f>HYPERLINK("http://www.twitter.com/banuakdenizli/status/1583824675318087682", "1583824675318087682")</f>
        <v>1583824675318087682</v>
      </c>
      <c r="B387" t="s">
        <v>15</v>
      </c>
      <c r="C387" s="2">
        <v>44856.594942129632</v>
      </c>
      <c r="D387">
        <v>0</v>
      </c>
      <c r="E387">
        <v>40</v>
      </c>
      <c r="F387" t="s">
        <v>16</v>
      </c>
      <c r="G387" t="s">
        <v>463</v>
      </c>
      <c r="H387" t="str">
        <f>HYPERLINK("http://pbs.twimg.com/media/Ffrf8CTWIAA0cw0.jpg", "http://pbs.twimg.com/media/Ffrf8CTWIAA0cw0.jpg")</f>
        <v>http://pbs.twimg.com/media/Ffrf8CTWIAA0cw0.jpg</v>
      </c>
      <c r="L387">
        <v>0</v>
      </c>
      <c r="M387">
        <v>0</v>
      </c>
      <c r="N387">
        <v>1</v>
      </c>
      <c r="O387">
        <v>0</v>
      </c>
    </row>
    <row r="388" spans="1:15" x14ac:dyDescent="0.2">
      <c r="A388" s="1" t="str">
        <f>HYPERLINK("http://www.twitter.com/banuakdenizli/status/1583824162266963968", "1583824162266963968")</f>
        <v>1583824162266963968</v>
      </c>
      <c r="B388" t="s">
        <v>15</v>
      </c>
      <c r="C388" s="2">
        <v>44856.593518518523</v>
      </c>
      <c r="D388">
        <v>17</v>
      </c>
      <c r="E388">
        <v>10</v>
      </c>
      <c r="G388" t="s">
        <v>464</v>
      </c>
      <c r="H388" t="str">
        <f>HYPERLINK("http://pbs.twimg.com/media/FfrfrpYWQAQBxJh.jpg", "http://pbs.twimg.com/media/FfrfrpYWQAQBxJh.jpg")</f>
        <v>http://pbs.twimg.com/media/FfrfrpYWQAQBxJh.jpg</v>
      </c>
      <c r="L388">
        <v>0</v>
      </c>
      <c r="M388">
        <v>0</v>
      </c>
      <c r="N388">
        <v>1</v>
      </c>
      <c r="O388">
        <v>0</v>
      </c>
    </row>
    <row r="389" spans="1:15" x14ac:dyDescent="0.2">
      <c r="A389" s="1" t="str">
        <f>HYPERLINK("http://www.twitter.com/banuakdenizli/status/1583759461738754049", "1583759461738754049")</f>
        <v>1583759461738754049</v>
      </c>
      <c r="B389" t="s">
        <v>15</v>
      </c>
      <c r="C389" s="2">
        <v>44856.414988425917</v>
      </c>
      <c r="D389">
        <v>3</v>
      </c>
      <c r="E389">
        <v>1</v>
      </c>
      <c r="G389" t="s">
        <v>465</v>
      </c>
      <c r="L389">
        <v>0</v>
      </c>
      <c r="M389">
        <v>0</v>
      </c>
      <c r="N389">
        <v>1</v>
      </c>
      <c r="O389">
        <v>0</v>
      </c>
    </row>
    <row r="390" spans="1:15" x14ac:dyDescent="0.2">
      <c r="A390" s="1" t="str">
        <f>HYPERLINK("http://www.twitter.com/banuakdenizli/status/1583685107461693440", "1583685107461693440")</f>
        <v>1583685107461693440</v>
      </c>
      <c r="B390" t="s">
        <v>15</v>
      </c>
      <c r="C390" s="2">
        <v>44856.209803240738</v>
      </c>
      <c r="D390">
        <v>3</v>
      </c>
      <c r="E390">
        <v>0</v>
      </c>
      <c r="G390" t="s">
        <v>466</v>
      </c>
      <c r="L390">
        <v>-0.29599999999999999</v>
      </c>
      <c r="M390">
        <v>8.1000000000000003E-2</v>
      </c>
      <c r="N390">
        <v>0.91900000000000004</v>
      </c>
      <c r="O390">
        <v>0</v>
      </c>
    </row>
    <row r="391" spans="1:15" x14ac:dyDescent="0.2">
      <c r="A391" s="1" t="str">
        <f>HYPERLINK("http://www.twitter.com/banuakdenizli/status/1583682564484517888", "1583682564484517888")</f>
        <v>1583682564484517888</v>
      </c>
      <c r="B391" t="s">
        <v>15</v>
      </c>
      <c r="C391" s="2">
        <v>44856.202789351853</v>
      </c>
      <c r="D391">
        <v>0</v>
      </c>
      <c r="E391">
        <v>372</v>
      </c>
      <c r="F391" t="s">
        <v>24</v>
      </c>
      <c r="G391" t="s">
        <v>467</v>
      </c>
      <c r="H391" t="str">
        <f>HYPERLINK("https://video.twimg.com/amplify_video/1583497584743940097/vid/720x720/9AsrpmSLvdJ-tcFA.mp4?tag=14", "https://video.twimg.com/amplify_video/1583497584743940097/vid/720x720/9AsrpmSLvdJ-tcFA.mp4?tag=14")</f>
        <v>https://video.twimg.com/amplify_video/1583497584743940097/vid/720x720/9AsrpmSLvdJ-tcFA.mp4?tag=14</v>
      </c>
      <c r="L391">
        <v>0</v>
      </c>
      <c r="M391">
        <v>0</v>
      </c>
      <c r="N391">
        <v>1</v>
      </c>
      <c r="O391">
        <v>0</v>
      </c>
    </row>
    <row r="392" spans="1:15" x14ac:dyDescent="0.2">
      <c r="A392" s="1" t="str">
        <f>HYPERLINK("http://www.twitter.com/banuakdenizli/status/1583493745688707083", "1583493745688707083")</f>
        <v>1583493745688707083</v>
      </c>
      <c r="B392" t="s">
        <v>15</v>
      </c>
      <c r="C392" s="2">
        <v>44855.681747685187</v>
      </c>
      <c r="D392">
        <v>0</v>
      </c>
      <c r="E392">
        <v>142</v>
      </c>
      <c r="F392" t="s">
        <v>23</v>
      </c>
      <c r="G392" t="s">
        <v>468</v>
      </c>
      <c r="H392" t="str">
        <f>HYPERLINK("http://pbs.twimg.com/media/FfmqYXVXkAAMXHr.jpg", "http://pbs.twimg.com/media/FfmqYXVXkAAMXHr.jpg")</f>
        <v>http://pbs.twimg.com/media/FfmqYXVXkAAMXHr.jpg</v>
      </c>
      <c r="L392">
        <v>0</v>
      </c>
      <c r="M392">
        <v>0</v>
      </c>
      <c r="N392">
        <v>1</v>
      </c>
      <c r="O392">
        <v>0</v>
      </c>
    </row>
    <row r="393" spans="1:15" x14ac:dyDescent="0.2">
      <c r="A393" s="1" t="str">
        <f>HYPERLINK("http://www.twitter.com/banuakdenizli/status/1583485144518000641", "1583485144518000641")</f>
        <v>1583485144518000641</v>
      </c>
      <c r="B393" t="s">
        <v>15</v>
      </c>
      <c r="C393" s="2">
        <v>44855.658009259263</v>
      </c>
      <c r="D393">
        <v>21</v>
      </c>
      <c r="E393">
        <v>4</v>
      </c>
      <c r="G393" t="s">
        <v>469</v>
      </c>
      <c r="H393" t="str">
        <f>HYPERLINK("http://pbs.twimg.com/media/FfmrWNZWIAEbeHF.jpg", "http://pbs.twimg.com/media/FfmrWNZWIAEbeHF.jpg")</f>
        <v>http://pbs.twimg.com/media/FfmrWNZWIAEbeHF.jpg</v>
      </c>
      <c r="L393">
        <v>0</v>
      </c>
      <c r="M393">
        <v>0</v>
      </c>
      <c r="N393">
        <v>1</v>
      </c>
      <c r="O393">
        <v>0</v>
      </c>
    </row>
    <row r="394" spans="1:15" x14ac:dyDescent="0.2">
      <c r="A394" s="1" t="str">
        <f>HYPERLINK("http://www.twitter.com/banuakdenizli/status/1583481387923165185", "1583481387923165185")</f>
        <v>1583481387923165185</v>
      </c>
      <c r="B394" t="s">
        <v>15</v>
      </c>
      <c r="C394" s="2">
        <v>44855.647650462961</v>
      </c>
      <c r="D394">
        <v>0</v>
      </c>
      <c r="E394">
        <v>155</v>
      </c>
      <c r="F394" t="s">
        <v>42</v>
      </c>
      <c r="G394" t="s">
        <v>470</v>
      </c>
      <c r="H394" t="str">
        <f>HYPERLINK("http://pbs.twimg.com/media/FflsYJ8XoAAWDL0.jpg", "http://pbs.twimg.com/media/FflsYJ8XoAAWDL0.jpg")</f>
        <v>http://pbs.twimg.com/media/FflsYJ8XoAAWDL0.jpg</v>
      </c>
      <c r="I394" t="str">
        <f>HYPERLINK("http://pbs.twimg.com/media/FflsbkOXkAEvWE0.jpg", "http://pbs.twimg.com/media/FflsbkOXkAEvWE0.jpg")</f>
        <v>http://pbs.twimg.com/media/FflsbkOXkAEvWE0.jpg</v>
      </c>
      <c r="J394" t="str">
        <f>HYPERLINK("http://pbs.twimg.com/media/Fflsdl2WAAUfGxm.jpg", "http://pbs.twimg.com/media/Fflsdl2WAAUfGxm.jpg")</f>
        <v>http://pbs.twimg.com/media/Fflsdl2WAAUfGxm.jpg</v>
      </c>
      <c r="K394" t="str">
        <f>HYPERLINK("http://pbs.twimg.com/media/Fflsed9WAAAb2wW.jpg", "http://pbs.twimg.com/media/Fflsed9WAAAb2wW.jpg")</f>
        <v>http://pbs.twimg.com/media/Fflsed9WAAAb2wW.jpg</v>
      </c>
      <c r="L394">
        <v>0</v>
      </c>
      <c r="M394">
        <v>0</v>
      </c>
      <c r="N394">
        <v>1</v>
      </c>
      <c r="O394">
        <v>0</v>
      </c>
    </row>
    <row r="395" spans="1:15" x14ac:dyDescent="0.2">
      <c r="A395" s="1" t="str">
        <f>HYPERLINK("http://www.twitter.com/banuakdenizli/status/1583317210289737729", "1583317210289737729")</f>
        <v>1583317210289737729</v>
      </c>
      <c r="B395" t="s">
        <v>15</v>
      </c>
      <c r="C395" s="2">
        <v>44855.194606481477</v>
      </c>
      <c r="D395">
        <v>6</v>
      </c>
      <c r="E395">
        <v>2</v>
      </c>
      <c r="G395" t="s">
        <v>471</v>
      </c>
      <c r="H395" t="str">
        <f>HYPERLINK("http://pbs.twimg.com/media/FfkSnJKWYAAAqM8.jpg", "http://pbs.twimg.com/media/FfkSnJKWYAAAqM8.jpg")</f>
        <v>http://pbs.twimg.com/media/FfkSnJKWYAAAqM8.jpg</v>
      </c>
      <c r="L395">
        <v>0</v>
      </c>
      <c r="M395">
        <v>0</v>
      </c>
      <c r="N395">
        <v>1</v>
      </c>
      <c r="O395">
        <v>0</v>
      </c>
    </row>
    <row r="396" spans="1:15" x14ac:dyDescent="0.2">
      <c r="A396" s="1" t="str">
        <f>HYPERLINK("http://www.twitter.com/banuakdenizli/status/1583175086667812865", "1583175086667812865")</f>
        <v>1583175086667812865</v>
      </c>
      <c r="B396" t="s">
        <v>15</v>
      </c>
      <c r="C396" s="2">
        <v>44854.802418981482</v>
      </c>
      <c r="D396">
        <v>2</v>
      </c>
      <c r="E396">
        <v>1</v>
      </c>
      <c r="G396" t="s">
        <v>472</v>
      </c>
      <c r="L396">
        <v>0.34</v>
      </c>
      <c r="M396">
        <v>0</v>
      </c>
      <c r="N396">
        <v>0.89300000000000002</v>
      </c>
      <c r="O396">
        <v>0.107</v>
      </c>
    </row>
    <row r="397" spans="1:15" x14ac:dyDescent="0.2">
      <c r="A397" s="1" t="str">
        <f>HYPERLINK("http://www.twitter.com/banuakdenizli/status/1583174131377262592", "1583174131377262592")</f>
        <v>1583174131377262592</v>
      </c>
      <c r="B397" t="s">
        <v>15</v>
      </c>
      <c r="C397" s="2">
        <v>44854.799780092602</v>
      </c>
      <c r="D397">
        <v>7</v>
      </c>
      <c r="E397">
        <v>4</v>
      </c>
      <c r="G397" t="s">
        <v>473</v>
      </c>
      <c r="H397" t="str">
        <f>HYPERLINK("http://pbs.twimg.com/media/FfiQdvHXEAormJU.jpg", "http://pbs.twimg.com/media/FfiQdvHXEAormJU.jpg")</f>
        <v>http://pbs.twimg.com/media/FfiQdvHXEAormJU.jpg</v>
      </c>
      <c r="I397" t="str">
        <f>HYPERLINK("http://pbs.twimg.com/media/FfiQeTVXkAA8_4o.jpg", "http://pbs.twimg.com/media/FfiQeTVXkAA8_4o.jpg")</f>
        <v>http://pbs.twimg.com/media/FfiQeTVXkAA8_4o.jpg</v>
      </c>
      <c r="L397">
        <v>0</v>
      </c>
      <c r="M397">
        <v>0</v>
      </c>
      <c r="N397">
        <v>1</v>
      </c>
      <c r="O397">
        <v>0</v>
      </c>
    </row>
    <row r="398" spans="1:15" x14ac:dyDescent="0.2">
      <c r="A398" s="1" t="str">
        <f>HYPERLINK("http://www.twitter.com/banuakdenizli/status/1583172116890865664", "1583172116890865664")</f>
        <v>1583172116890865664</v>
      </c>
      <c r="B398" t="s">
        <v>15</v>
      </c>
      <c r="C398" s="2">
        <v>44854.794224537043</v>
      </c>
      <c r="D398">
        <v>0</v>
      </c>
      <c r="E398">
        <v>5</v>
      </c>
      <c r="F398" t="s">
        <v>31</v>
      </c>
      <c r="G398" t="s">
        <v>474</v>
      </c>
      <c r="H398" t="str">
        <f>HYPERLINK("http://pbs.twimg.com/media/Fff5EQYWYAIf05p.jpg", "http://pbs.twimg.com/media/Fff5EQYWYAIf05p.jpg")</f>
        <v>http://pbs.twimg.com/media/Fff5EQYWYAIf05p.jpg</v>
      </c>
      <c r="L398">
        <v>0.8478</v>
      </c>
      <c r="M398">
        <v>0</v>
      </c>
      <c r="N398">
        <v>0.75800000000000001</v>
      </c>
      <c r="O398">
        <v>0.24199999999999999</v>
      </c>
    </row>
    <row r="399" spans="1:15" x14ac:dyDescent="0.2">
      <c r="A399" s="1" t="str">
        <f>HYPERLINK("http://www.twitter.com/banuakdenizli/status/1583171813236158464", "1583171813236158464")</f>
        <v>1583171813236158464</v>
      </c>
      <c r="B399" t="s">
        <v>15</v>
      </c>
      <c r="C399" s="2">
        <v>44854.793379629627</v>
      </c>
      <c r="D399">
        <v>1</v>
      </c>
      <c r="E399">
        <v>1</v>
      </c>
      <c r="G399" t="s">
        <v>475</v>
      </c>
      <c r="L399">
        <v>0</v>
      </c>
      <c r="M399">
        <v>0</v>
      </c>
      <c r="N399">
        <v>1</v>
      </c>
      <c r="O399">
        <v>0</v>
      </c>
    </row>
    <row r="400" spans="1:15" x14ac:dyDescent="0.2">
      <c r="A400" s="1" t="str">
        <f>HYPERLINK("http://www.twitter.com/banuakdenizli/status/1583170903676157953", "1583170903676157953")</f>
        <v>1583170903676157953</v>
      </c>
      <c r="B400" t="s">
        <v>15</v>
      </c>
      <c r="C400" s="2">
        <v>44854.790868055563</v>
      </c>
      <c r="D400">
        <v>0</v>
      </c>
      <c r="E400">
        <v>147</v>
      </c>
      <c r="F400" t="s">
        <v>22</v>
      </c>
      <c r="G400" t="s">
        <v>476</v>
      </c>
      <c r="H400" t="str">
        <f>HYPERLINK("http://pbs.twimg.com/media/FfiB676XwBUxfVC.jpg", "http://pbs.twimg.com/media/FfiB676XwBUxfVC.jpg")</f>
        <v>http://pbs.twimg.com/media/FfiB676XwBUxfVC.jpg</v>
      </c>
      <c r="L400">
        <v>0</v>
      </c>
      <c r="M400">
        <v>0</v>
      </c>
      <c r="N400">
        <v>1</v>
      </c>
      <c r="O400">
        <v>0</v>
      </c>
    </row>
    <row r="401" spans="1:15" x14ac:dyDescent="0.2">
      <c r="A401" s="1" t="str">
        <f>HYPERLINK("http://www.twitter.com/banuakdenizli/status/1583170857626923008", "1583170857626923008")</f>
        <v>1583170857626923008</v>
      </c>
      <c r="B401" t="s">
        <v>15</v>
      </c>
      <c r="C401" s="2">
        <v>44854.790752314817</v>
      </c>
      <c r="D401">
        <v>0</v>
      </c>
      <c r="E401">
        <v>11</v>
      </c>
      <c r="F401" t="s">
        <v>24</v>
      </c>
      <c r="G401" t="s">
        <v>477</v>
      </c>
      <c r="H401" t="str">
        <f>HYPERLINK("https://video.twimg.com/amplify_video/1583142291111223296/vid/720x720/tJc_m0LThf9snoDv.mp4?tag=14", "https://video.twimg.com/amplify_video/1583142291111223296/vid/720x720/tJc_m0LThf9snoDv.mp4?tag=14")</f>
        <v>https://video.twimg.com/amplify_video/1583142291111223296/vid/720x720/tJc_m0LThf9snoDv.mp4?tag=14</v>
      </c>
      <c r="L401">
        <v>0</v>
      </c>
      <c r="M401">
        <v>0</v>
      </c>
      <c r="N401">
        <v>1</v>
      </c>
      <c r="O401">
        <v>0</v>
      </c>
    </row>
    <row r="402" spans="1:15" x14ac:dyDescent="0.2">
      <c r="A402" s="1" t="str">
        <f>HYPERLINK("http://www.twitter.com/banuakdenizli/status/1583106663476654082", "1583106663476654082")</f>
        <v>1583106663476654082</v>
      </c>
      <c r="B402" t="s">
        <v>15</v>
      </c>
      <c r="C402" s="2">
        <v>44854.613599537042</v>
      </c>
      <c r="D402">
        <v>0</v>
      </c>
      <c r="E402">
        <v>10927</v>
      </c>
      <c r="F402" t="s">
        <v>22</v>
      </c>
      <c r="G402" t="s">
        <v>478</v>
      </c>
      <c r="L402">
        <v>0</v>
      </c>
      <c r="M402">
        <v>0</v>
      </c>
      <c r="N402">
        <v>1</v>
      </c>
      <c r="O402">
        <v>0</v>
      </c>
    </row>
    <row r="403" spans="1:15" x14ac:dyDescent="0.2">
      <c r="A403" s="1" t="str">
        <f>HYPERLINK("http://www.twitter.com/banuakdenizli/status/1583106510800162816", "1583106510800162816")</f>
        <v>1583106510800162816</v>
      </c>
      <c r="B403" t="s">
        <v>15</v>
      </c>
      <c r="C403" s="2">
        <v>44854.613182870373</v>
      </c>
      <c r="D403">
        <v>0</v>
      </c>
      <c r="E403">
        <v>387</v>
      </c>
      <c r="F403" t="s">
        <v>24</v>
      </c>
      <c r="G403" t="s">
        <v>479</v>
      </c>
      <c r="H403" t="str">
        <f>HYPERLINK("http://pbs.twimg.com/media/FfhNZhyXwAAcHeK.jpg", "http://pbs.twimg.com/media/FfhNZhyXwAAcHeK.jpg")</f>
        <v>http://pbs.twimg.com/media/FfhNZhyXwAAcHeK.jpg</v>
      </c>
      <c r="L403">
        <v>0</v>
      </c>
      <c r="M403">
        <v>0</v>
      </c>
      <c r="N403">
        <v>1</v>
      </c>
      <c r="O403">
        <v>0</v>
      </c>
    </row>
    <row r="404" spans="1:15" x14ac:dyDescent="0.2">
      <c r="A404" s="1" t="str">
        <f>HYPERLINK("http://www.twitter.com/banuakdenizli/status/1583067620240429061", "1583067620240429061")</f>
        <v>1583067620240429061</v>
      </c>
      <c r="B404" t="s">
        <v>15</v>
      </c>
      <c r="C404" s="2">
        <v>44854.505868055552</v>
      </c>
      <c r="D404">
        <v>26</v>
      </c>
      <c r="E404">
        <v>6</v>
      </c>
      <c r="G404" t="s">
        <v>480</v>
      </c>
      <c r="H404" t="str">
        <f>HYPERLINK("http://pbs.twimg.com/media/FfgvmydXoAE9DjL.jpg", "http://pbs.twimg.com/media/FfgvmydXoAE9DjL.jpg")</f>
        <v>http://pbs.twimg.com/media/FfgvmydXoAE9DjL.jpg</v>
      </c>
      <c r="I404" t="str">
        <f>HYPERLINK("http://pbs.twimg.com/media/FfgvnBmWIAAH6vJ.jpg", "http://pbs.twimg.com/media/FfgvnBmWIAAH6vJ.jpg")</f>
        <v>http://pbs.twimg.com/media/FfgvnBmWIAAH6vJ.jpg</v>
      </c>
      <c r="L404">
        <v>0</v>
      </c>
      <c r="M404">
        <v>0</v>
      </c>
      <c r="N404">
        <v>1</v>
      </c>
      <c r="O404">
        <v>0</v>
      </c>
    </row>
    <row r="405" spans="1:15" x14ac:dyDescent="0.2">
      <c r="A405" s="1" t="str">
        <f>HYPERLINK("http://www.twitter.com/banuakdenizli/status/1582944108091703296", "1582944108091703296")</f>
        <v>1582944108091703296</v>
      </c>
      <c r="B405" t="s">
        <v>15</v>
      </c>
      <c r="C405" s="2">
        <v>44854.165034722217</v>
      </c>
      <c r="D405">
        <v>0</v>
      </c>
      <c r="E405">
        <v>2</v>
      </c>
      <c r="F405" t="s">
        <v>481</v>
      </c>
      <c r="G405" t="s">
        <v>482</v>
      </c>
      <c r="L405">
        <v>0</v>
      </c>
      <c r="M405">
        <v>0</v>
      </c>
      <c r="N405">
        <v>1</v>
      </c>
      <c r="O405">
        <v>0</v>
      </c>
    </row>
    <row r="406" spans="1:15" x14ac:dyDescent="0.2">
      <c r="A406" s="1" t="str">
        <f>HYPERLINK("http://www.twitter.com/banuakdenizli/status/1582808929309904896", "1582808929309904896")</f>
        <v>1582808929309904896</v>
      </c>
      <c r="B406" t="s">
        <v>15</v>
      </c>
      <c r="C406" s="2">
        <v>44853.792013888888</v>
      </c>
      <c r="D406">
        <v>0</v>
      </c>
      <c r="E406">
        <v>2</v>
      </c>
      <c r="F406" t="s">
        <v>483</v>
      </c>
      <c r="G406" t="s">
        <v>484</v>
      </c>
      <c r="H406" t="str">
        <f>HYPERLINK("http://pbs.twimg.com/media/Ffb5GMyXEAA5PR5.jpg", "http://pbs.twimg.com/media/Ffb5GMyXEAA5PR5.jpg")</f>
        <v>http://pbs.twimg.com/media/Ffb5GMyXEAA5PR5.jpg</v>
      </c>
      <c r="L406">
        <v>0</v>
      </c>
      <c r="M406">
        <v>0</v>
      </c>
      <c r="N406">
        <v>1</v>
      </c>
      <c r="O406">
        <v>0</v>
      </c>
    </row>
    <row r="407" spans="1:15" x14ac:dyDescent="0.2">
      <c r="A407" s="1" t="str">
        <f>HYPERLINK("http://www.twitter.com/banuakdenizli/status/1582805333483073536", "1582805333483073536")</f>
        <v>1582805333483073536</v>
      </c>
      <c r="B407" t="s">
        <v>15</v>
      </c>
      <c r="C407" s="2">
        <v>44853.782094907408</v>
      </c>
      <c r="D407">
        <v>0</v>
      </c>
      <c r="E407">
        <v>1</v>
      </c>
      <c r="F407" t="s">
        <v>413</v>
      </c>
      <c r="G407" t="s">
        <v>485</v>
      </c>
      <c r="H407" t="str">
        <f>HYPERLINK("http://pbs.twimg.com/media/FfarE5wXwAESeAh.jpg", "http://pbs.twimg.com/media/FfarE5wXwAESeAh.jpg")</f>
        <v>http://pbs.twimg.com/media/FfarE5wXwAESeAh.jpg</v>
      </c>
      <c r="L407">
        <v>0</v>
      </c>
      <c r="M407">
        <v>0</v>
      </c>
      <c r="N407">
        <v>1</v>
      </c>
      <c r="O407">
        <v>0</v>
      </c>
    </row>
    <row r="408" spans="1:15" x14ac:dyDescent="0.2">
      <c r="A408" s="1" t="str">
        <f>HYPERLINK("http://www.twitter.com/banuakdenizli/status/1582801368166735874", "1582801368166735874")</f>
        <v>1582801368166735874</v>
      </c>
      <c r="B408" t="s">
        <v>15</v>
      </c>
      <c r="C408" s="2">
        <v>44853.771145833343</v>
      </c>
      <c r="D408">
        <v>50</v>
      </c>
      <c r="E408">
        <v>4</v>
      </c>
      <c r="G408" t="s">
        <v>486</v>
      </c>
      <c r="L408">
        <v>0</v>
      </c>
      <c r="M408">
        <v>0</v>
      </c>
      <c r="N408">
        <v>1</v>
      </c>
      <c r="O408">
        <v>0</v>
      </c>
    </row>
    <row r="409" spans="1:15" x14ac:dyDescent="0.2">
      <c r="A409" s="1" t="str">
        <f>HYPERLINK("http://www.twitter.com/banuakdenizli/status/1582760986221871104", "1582760986221871104")</f>
        <v>1582760986221871104</v>
      </c>
      <c r="B409" t="s">
        <v>15</v>
      </c>
      <c r="C409" s="2">
        <v>44853.659722222219</v>
      </c>
      <c r="D409">
        <v>20</v>
      </c>
      <c r="E409">
        <v>6</v>
      </c>
      <c r="G409" t="s">
        <v>487</v>
      </c>
      <c r="H409" t="str">
        <f>HYPERLINK("http://pbs.twimg.com/media/FfcYugXaAAAUuX9.jpg", "http://pbs.twimg.com/media/FfcYugXaAAAUuX9.jpg")</f>
        <v>http://pbs.twimg.com/media/FfcYugXaAAAUuX9.jpg</v>
      </c>
      <c r="L409">
        <v>0</v>
      </c>
      <c r="M409">
        <v>0</v>
      </c>
      <c r="N409">
        <v>1</v>
      </c>
      <c r="O409">
        <v>0</v>
      </c>
    </row>
    <row r="410" spans="1:15" x14ac:dyDescent="0.2">
      <c r="A410" s="1" t="str">
        <f>HYPERLINK("http://www.twitter.com/banuakdenizli/status/1582760357625737217", "1582760357625737217")</f>
        <v>1582760357625737217</v>
      </c>
      <c r="B410" t="s">
        <v>15</v>
      </c>
      <c r="C410" s="2">
        <v>44853.657986111109</v>
      </c>
      <c r="D410">
        <v>0</v>
      </c>
      <c r="E410">
        <v>19</v>
      </c>
      <c r="F410" t="s">
        <v>23</v>
      </c>
      <c r="G410" t="s">
        <v>488</v>
      </c>
      <c r="H410" t="str">
        <f>HYPERLINK("https://video.twimg.com/amplify_video/1582683430222852096/vid/720x720/BeEVCa4IZgILJsEN.mp4?tag=14", "https://video.twimg.com/amplify_video/1582683430222852096/vid/720x720/BeEVCa4IZgILJsEN.mp4?tag=14")</f>
        <v>https://video.twimg.com/amplify_video/1582683430222852096/vid/720x720/BeEVCa4IZgILJsEN.mp4?tag=14</v>
      </c>
      <c r="L410">
        <v>0</v>
      </c>
      <c r="M410">
        <v>0</v>
      </c>
      <c r="N410">
        <v>1</v>
      </c>
      <c r="O410">
        <v>0</v>
      </c>
    </row>
    <row r="411" spans="1:15" x14ac:dyDescent="0.2">
      <c r="A411" s="1" t="str">
        <f>HYPERLINK("http://www.twitter.com/banuakdenizli/status/1582760329016397824", "1582760329016397824")</f>
        <v>1582760329016397824</v>
      </c>
      <c r="B411" t="s">
        <v>15</v>
      </c>
      <c r="C411" s="2">
        <v>44853.657905092587</v>
      </c>
      <c r="D411">
        <v>0</v>
      </c>
      <c r="E411">
        <v>9</v>
      </c>
      <c r="F411" t="s">
        <v>24</v>
      </c>
      <c r="G411" t="s">
        <v>489</v>
      </c>
      <c r="H411" t="str">
        <f>HYPERLINK("http://pbs.twimg.com/media/FfcC579XwAESNnF.jpg", "http://pbs.twimg.com/media/FfcC579XwAESNnF.jpg")</f>
        <v>http://pbs.twimg.com/media/FfcC579XwAESNnF.jpg</v>
      </c>
      <c r="L411">
        <v>-0.29599999999999999</v>
      </c>
      <c r="M411">
        <v>0.104</v>
      </c>
      <c r="N411">
        <v>0.89600000000000002</v>
      </c>
      <c r="O411">
        <v>0</v>
      </c>
    </row>
    <row r="412" spans="1:15" x14ac:dyDescent="0.2">
      <c r="A412" s="1" t="str">
        <f>HYPERLINK("http://www.twitter.com/banuakdenizli/status/1582760213387829248", "1582760213387829248")</f>
        <v>1582760213387829248</v>
      </c>
      <c r="B412" t="s">
        <v>15</v>
      </c>
      <c r="C412" s="2">
        <v>44853.657581018517</v>
      </c>
      <c r="D412">
        <v>0</v>
      </c>
      <c r="E412">
        <v>173</v>
      </c>
      <c r="F412" t="s">
        <v>23</v>
      </c>
      <c r="G412" t="s">
        <v>490</v>
      </c>
      <c r="H412" t="str">
        <f>HYPERLINK("https://video.twimg.com/amplify_video/1582672134903586816/vid/720x720/2W7sVo836ElZvsaJ.mp4?tag=14", "https://video.twimg.com/amplify_video/1582672134903586816/vid/720x720/2W7sVo836ElZvsaJ.mp4?tag=14")</f>
        <v>https://video.twimg.com/amplify_video/1582672134903586816/vid/720x720/2W7sVo836ElZvsaJ.mp4?tag=14</v>
      </c>
      <c r="L412">
        <v>0</v>
      </c>
      <c r="M412">
        <v>0</v>
      </c>
      <c r="N412">
        <v>1</v>
      </c>
      <c r="O412">
        <v>0</v>
      </c>
    </row>
    <row r="413" spans="1:15" x14ac:dyDescent="0.2">
      <c r="A413" s="1" t="str">
        <f>HYPERLINK("http://www.twitter.com/banuakdenizli/status/1582760006696726528", "1582760006696726528")</f>
        <v>1582760006696726528</v>
      </c>
      <c r="B413" t="s">
        <v>15</v>
      </c>
      <c r="C413" s="2">
        <v>44853.657013888893</v>
      </c>
      <c r="D413">
        <v>0</v>
      </c>
      <c r="E413">
        <v>147</v>
      </c>
      <c r="F413" t="s">
        <v>24</v>
      </c>
      <c r="G413" t="s">
        <v>491</v>
      </c>
      <c r="H413" t="str">
        <f>HYPERLINK("https://video.twimg.com/amplify_video/1582757393535942657/vid/720x720/hV73ZbIqmINsAzLm.mp4?tag=14", "https://video.twimg.com/amplify_video/1582757393535942657/vid/720x720/hV73ZbIqmINsAzLm.mp4?tag=14")</f>
        <v>https://video.twimg.com/amplify_video/1582757393535942657/vid/720x720/hV73ZbIqmINsAzLm.mp4?tag=14</v>
      </c>
      <c r="L413">
        <v>0</v>
      </c>
      <c r="M413">
        <v>0</v>
      </c>
      <c r="N413">
        <v>1</v>
      </c>
      <c r="O413">
        <v>0</v>
      </c>
    </row>
    <row r="414" spans="1:15" x14ac:dyDescent="0.2">
      <c r="A414" s="1" t="str">
        <f>HYPERLINK("http://www.twitter.com/banuakdenizli/status/1582594216127266821", "1582594216127266821")</f>
        <v>1582594216127266821</v>
      </c>
      <c r="B414" t="s">
        <v>15</v>
      </c>
      <c r="C414" s="2">
        <v>44853.199513888889</v>
      </c>
      <c r="D414">
        <v>0</v>
      </c>
      <c r="E414">
        <v>16</v>
      </c>
      <c r="F414" t="s">
        <v>24</v>
      </c>
      <c r="G414" t="s">
        <v>492</v>
      </c>
      <c r="H414" t="str">
        <f>HYPERLINK("https://video.twimg.com/amplify_video/1582491735632101376/vid/720x1280/XCsvM3mG7XHXaqFi.mp4?tag=14", "https://video.twimg.com/amplify_video/1582491735632101376/vid/720x1280/XCsvM3mG7XHXaqFi.mp4?tag=14")</f>
        <v>https://video.twimg.com/amplify_video/1582491735632101376/vid/720x1280/XCsvM3mG7XHXaqFi.mp4?tag=14</v>
      </c>
      <c r="L414">
        <v>0</v>
      </c>
      <c r="M414">
        <v>0</v>
      </c>
      <c r="N414">
        <v>1</v>
      </c>
      <c r="O414">
        <v>0</v>
      </c>
    </row>
    <row r="415" spans="1:15" x14ac:dyDescent="0.2">
      <c r="A415" s="1" t="str">
        <f>HYPERLINK("http://www.twitter.com/banuakdenizli/status/1582593855278678019", "1582593855278678019")</f>
        <v>1582593855278678019</v>
      </c>
      <c r="B415" t="s">
        <v>15</v>
      </c>
      <c r="C415" s="2">
        <v>44853.198518518519</v>
      </c>
      <c r="D415">
        <v>0</v>
      </c>
      <c r="E415">
        <v>9</v>
      </c>
      <c r="F415" t="s">
        <v>31</v>
      </c>
      <c r="G415" t="s">
        <v>493</v>
      </c>
      <c r="H415" t="str">
        <f>HYPERLINK("http://pbs.twimg.com/media/FfX4HzYXwAUU1Db.jpg", "http://pbs.twimg.com/media/FfX4HzYXwAUU1Db.jpg")</f>
        <v>http://pbs.twimg.com/media/FfX4HzYXwAUU1Db.jpg</v>
      </c>
      <c r="L415">
        <v>0.55740000000000001</v>
      </c>
      <c r="M415">
        <v>0</v>
      </c>
      <c r="N415">
        <v>0.71399999999999997</v>
      </c>
      <c r="O415">
        <v>0.28599999999999998</v>
      </c>
    </row>
    <row r="416" spans="1:15" x14ac:dyDescent="0.2">
      <c r="A416" s="1" t="str">
        <f>HYPERLINK("http://www.twitter.com/banuakdenizli/status/1582423265175568385", "1582423265175568385")</f>
        <v>1582423265175568385</v>
      </c>
      <c r="B416" t="s">
        <v>15</v>
      </c>
      <c r="C416" s="2">
        <v>44852.727789351848</v>
      </c>
      <c r="D416">
        <v>0</v>
      </c>
      <c r="E416">
        <v>10</v>
      </c>
      <c r="F416" t="s">
        <v>24</v>
      </c>
      <c r="G416" t="s">
        <v>494</v>
      </c>
      <c r="H416" t="str">
        <f>HYPERLINK("http://pbs.twimg.com/media/FfWzCngXgAAlY23.jpg", "http://pbs.twimg.com/media/FfWzCngXgAAlY23.jpg")</f>
        <v>http://pbs.twimg.com/media/FfWzCngXgAAlY23.jpg</v>
      </c>
      <c r="L416">
        <v>5.16E-2</v>
      </c>
      <c r="M416">
        <v>0</v>
      </c>
      <c r="N416">
        <v>0.97</v>
      </c>
      <c r="O416">
        <v>0.03</v>
      </c>
    </row>
    <row r="417" spans="1:15" x14ac:dyDescent="0.2">
      <c r="A417" s="1" t="str">
        <f>HYPERLINK("http://www.twitter.com/banuakdenizli/status/1582423027404242944", "1582423027404242944")</f>
        <v>1582423027404242944</v>
      </c>
      <c r="B417" t="s">
        <v>15</v>
      </c>
      <c r="C417" s="2">
        <v>44852.727129629631</v>
      </c>
      <c r="D417">
        <v>0</v>
      </c>
      <c r="E417">
        <v>8</v>
      </c>
      <c r="F417" t="s">
        <v>31</v>
      </c>
      <c r="G417" t="s">
        <v>495</v>
      </c>
      <c r="H417" t="str">
        <f>HYPERLINK("http://pbs.twimg.com/media/FfWpSCVXoAEJT_U.jpg", "http://pbs.twimg.com/media/FfWpSCVXoAEJT_U.jpg")</f>
        <v>http://pbs.twimg.com/media/FfWpSCVXoAEJT_U.jpg</v>
      </c>
      <c r="I417" t="str">
        <f>HYPERLINK("http://pbs.twimg.com/media/FfWpSCNXEAIv3yV.jpg", "http://pbs.twimg.com/media/FfWpSCNXEAIv3yV.jpg")</f>
        <v>http://pbs.twimg.com/media/FfWpSCNXEAIv3yV.jpg</v>
      </c>
      <c r="L417">
        <v>0</v>
      </c>
      <c r="M417">
        <v>0</v>
      </c>
      <c r="N417">
        <v>1</v>
      </c>
      <c r="O417">
        <v>0</v>
      </c>
    </row>
    <row r="418" spans="1:15" x14ac:dyDescent="0.2">
      <c r="A418" s="1" t="str">
        <f>HYPERLINK("http://www.twitter.com/banuakdenizli/status/1582394884555567104", "1582394884555567104")</f>
        <v>1582394884555567104</v>
      </c>
      <c r="B418" t="s">
        <v>15</v>
      </c>
      <c r="C418" s="2">
        <v>44852.649467592593</v>
      </c>
      <c r="D418">
        <v>0</v>
      </c>
      <c r="E418">
        <v>2</v>
      </c>
      <c r="F418" t="s">
        <v>496</v>
      </c>
      <c r="G418" t="s">
        <v>497</v>
      </c>
      <c r="H418" t="str">
        <f>HYPERLINK("http://pbs.twimg.com/media/FfW_d41X0AQjWTu.jpg", "http://pbs.twimg.com/media/FfW_d41X0AQjWTu.jpg")</f>
        <v>http://pbs.twimg.com/media/FfW_d41X0AQjWTu.jpg</v>
      </c>
      <c r="I418" t="str">
        <f>HYPERLINK("http://pbs.twimg.com/media/FfW_d58XwAASGDd.jpg", "http://pbs.twimg.com/media/FfW_d58XwAASGDd.jpg")</f>
        <v>http://pbs.twimg.com/media/FfW_d58XwAASGDd.jpg</v>
      </c>
      <c r="L418">
        <v>0</v>
      </c>
      <c r="M418">
        <v>0</v>
      </c>
      <c r="N418">
        <v>1</v>
      </c>
      <c r="O418">
        <v>0</v>
      </c>
    </row>
    <row r="419" spans="1:15" x14ac:dyDescent="0.2">
      <c r="A419" s="1" t="str">
        <f>HYPERLINK("http://www.twitter.com/banuakdenizli/status/1582394568653541376", "1582394568653541376")</f>
        <v>1582394568653541376</v>
      </c>
      <c r="B419" t="s">
        <v>15</v>
      </c>
      <c r="C419" s="2">
        <v>44852.648599537039</v>
      </c>
      <c r="D419">
        <v>0</v>
      </c>
      <c r="E419">
        <v>7</v>
      </c>
      <c r="F419" t="s">
        <v>31</v>
      </c>
      <c r="G419" t="s">
        <v>498</v>
      </c>
      <c r="H419" t="str">
        <f>HYPERLINK("https://video.twimg.com/ext_tw_video/1582275405536530432/pu/vid/720x720/BNVvi4-zQHHWy-uQ.mp4?tag=12", "https://video.twimg.com/ext_tw_video/1582275405536530432/pu/vid/720x720/BNVvi4-zQHHWy-uQ.mp4?tag=12")</f>
        <v>https://video.twimg.com/ext_tw_video/1582275405536530432/pu/vid/720x720/BNVvi4-zQHHWy-uQ.mp4?tag=12</v>
      </c>
      <c r="L419">
        <v>0.8478</v>
      </c>
      <c r="M419">
        <v>0</v>
      </c>
      <c r="N419">
        <v>0.75800000000000001</v>
      </c>
      <c r="O419">
        <v>0.24199999999999999</v>
      </c>
    </row>
    <row r="420" spans="1:15" x14ac:dyDescent="0.2">
      <c r="A420" s="1" t="str">
        <f>HYPERLINK("http://www.twitter.com/banuakdenizli/status/1582366408238714880", "1582366408238714880")</f>
        <v>1582366408238714880</v>
      </c>
      <c r="B420" t="s">
        <v>15</v>
      </c>
      <c r="C420" s="2">
        <v>44852.570891203701</v>
      </c>
      <c r="D420">
        <v>0</v>
      </c>
      <c r="E420">
        <v>71</v>
      </c>
      <c r="F420" t="s">
        <v>29</v>
      </c>
      <c r="G420" t="s">
        <v>499</v>
      </c>
      <c r="H420" t="str">
        <f>HYPERLINK("http://pbs.twimg.com/media/FfWRlsMWAAA0n4J.jpg", "http://pbs.twimg.com/media/FfWRlsMWAAA0n4J.jpg")</f>
        <v>http://pbs.twimg.com/media/FfWRlsMWAAA0n4J.jpg</v>
      </c>
      <c r="I420" t="str">
        <f>HYPERLINK("http://pbs.twimg.com/media/FfWRmBwX0AEHnlD.jpg", "http://pbs.twimg.com/media/FfWRmBwX0AEHnlD.jpg")</f>
        <v>http://pbs.twimg.com/media/FfWRmBwX0AEHnlD.jpg</v>
      </c>
      <c r="J420" t="str">
        <f>HYPERLINK("http://pbs.twimg.com/media/FfWRmWZXgAYR_jl.jpg", "http://pbs.twimg.com/media/FfWRmWZXgAYR_jl.jpg")</f>
        <v>http://pbs.twimg.com/media/FfWRmWZXgAYR_jl.jpg</v>
      </c>
      <c r="K420" t="str">
        <f>HYPERLINK("http://pbs.twimg.com/media/FfWRmuuWIAM6LGz.jpg", "http://pbs.twimg.com/media/FfWRmuuWIAM6LGz.jpg")</f>
        <v>http://pbs.twimg.com/media/FfWRmuuWIAM6LGz.jpg</v>
      </c>
      <c r="L420">
        <v>0</v>
      </c>
      <c r="M420">
        <v>0</v>
      </c>
      <c r="N420">
        <v>1</v>
      </c>
      <c r="O420">
        <v>0</v>
      </c>
    </row>
    <row r="421" spans="1:15" x14ac:dyDescent="0.2">
      <c r="A421" s="1" t="str">
        <f>HYPERLINK("http://www.twitter.com/banuakdenizli/status/1582020864547393543", "1582020864547393543")</f>
        <v>1582020864547393543</v>
      </c>
      <c r="B421" t="s">
        <v>15</v>
      </c>
      <c r="C421" s="2">
        <v>44851.617372685178</v>
      </c>
      <c r="D421">
        <v>2</v>
      </c>
      <c r="E421">
        <v>0</v>
      </c>
      <c r="G421" t="s">
        <v>500</v>
      </c>
      <c r="L421">
        <v>0</v>
      </c>
      <c r="M421">
        <v>0</v>
      </c>
      <c r="N421">
        <v>1</v>
      </c>
      <c r="O421">
        <v>0</v>
      </c>
    </row>
    <row r="422" spans="1:15" x14ac:dyDescent="0.2">
      <c r="A422" s="1" t="str">
        <f>HYPERLINK("http://www.twitter.com/banuakdenizli/status/1581940994571849728", "1581940994571849728")</f>
        <v>1581940994571849728</v>
      </c>
      <c r="B422" t="s">
        <v>15</v>
      </c>
      <c r="C422" s="2">
        <v>44851.396967592591</v>
      </c>
      <c r="D422">
        <v>1</v>
      </c>
      <c r="E422">
        <v>0</v>
      </c>
      <c r="G422" t="s">
        <v>501</v>
      </c>
      <c r="L422">
        <v>0</v>
      </c>
      <c r="M422">
        <v>0</v>
      </c>
      <c r="N422">
        <v>1</v>
      </c>
      <c r="O422">
        <v>0</v>
      </c>
    </row>
    <row r="423" spans="1:15" x14ac:dyDescent="0.2">
      <c r="A423" s="1" t="str">
        <f>HYPERLINK("http://www.twitter.com/banuakdenizli/status/1581873035954438144", "1581873035954438144")</f>
        <v>1581873035954438144</v>
      </c>
      <c r="B423" t="s">
        <v>15</v>
      </c>
      <c r="C423" s="2">
        <v>44851.209444444437</v>
      </c>
      <c r="D423">
        <v>1</v>
      </c>
      <c r="E423">
        <v>0</v>
      </c>
      <c r="G423" t="s">
        <v>502</v>
      </c>
      <c r="H423" t="str">
        <f>HYPERLINK("http://pbs.twimg.com/media/FfPxIcrXgAUHEyl.jpg", "http://pbs.twimg.com/media/FfPxIcrXgAUHEyl.jpg")</f>
        <v>http://pbs.twimg.com/media/FfPxIcrXgAUHEyl.jpg</v>
      </c>
      <c r="I423" t="str">
        <f>HYPERLINK("http://pbs.twimg.com/media/FfPxIqFWAAARGsF.jpg", "http://pbs.twimg.com/media/FfPxIqFWAAARGsF.jpg")</f>
        <v>http://pbs.twimg.com/media/FfPxIqFWAAARGsF.jpg</v>
      </c>
      <c r="J423" t="str">
        <f>HYPERLINK("http://pbs.twimg.com/media/FfPxI5NXoAEVal8.jpg", "http://pbs.twimg.com/media/FfPxI5NXoAEVal8.jpg")</f>
        <v>http://pbs.twimg.com/media/FfPxI5NXoAEVal8.jpg</v>
      </c>
      <c r="K423" t="str">
        <f>HYPERLINK("http://pbs.twimg.com/media/FfPxJFmXEAAbVZP.jpg", "http://pbs.twimg.com/media/FfPxJFmXEAAbVZP.jpg")</f>
        <v>http://pbs.twimg.com/media/FfPxJFmXEAAbVZP.jpg</v>
      </c>
      <c r="L423">
        <v>0</v>
      </c>
      <c r="M423">
        <v>0</v>
      </c>
      <c r="N423">
        <v>1</v>
      </c>
      <c r="O423">
        <v>0</v>
      </c>
    </row>
    <row r="424" spans="1:15" x14ac:dyDescent="0.2">
      <c r="A424" s="1" t="str">
        <f>HYPERLINK("http://www.twitter.com/banuakdenizli/status/1581872794228310017", "1581872794228310017")</f>
        <v>1581872794228310017</v>
      </c>
      <c r="B424" t="s">
        <v>15</v>
      </c>
      <c r="C424" s="2">
        <v>44851.208773148152</v>
      </c>
      <c r="D424">
        <v>4</v>
      </c>
      <c r="E424">
        <v>3</v>
      </c>
      <c r="G424" t="s">
        <v>503</v>
      </c>
      <c r="H424" t="str">
        <f>HYPERLINK("http://pbs.twimg.com/media/FfPw6bLWYAEmQaa.jpg", "http://pbs.twimg.com/media/FfPw6bLWYAEmQaa.jpg")</f>
        <v>http://pbs.twimg.com/media/FfPw6bLWYAEmQaa.jpg</v>
      </c>
      <c r="I424" t="str">
        <f>HYPERLINK("http://pbs.twimg.com/media/FfPw6pcWYAEeEis.jpg", "http://pbs.twimg.com/media/FfPw6pcWYAEeEis.jpg")</f>
        <v>http://pbs.twimg.com/media/FfPw6pcWYAEeEis.jpg</v>
      </c>
      <c r="J424" t="str">
        <f>HYPERLINK("http://pbs.twimg.com/media/FfPw62IX0AEx5Pw.jpg", "http://pbs.twimg.com/media/FfPw62IX0AEx5Pw.jpg")</f>
        <v>http://pbs.twimg.com/media/FfPw62IX0AEx5Pw.jpg</v>
      </c>
      <c r="K424" t="str">
        <f>HYPERLINK("http://pbs.twimg.com/media/FfPw7EAWAAEOOwI.jpg", "http://pbs.twimg.com/media/FfPw7EAWAAEOOwI.jpg")</f>
        <v>http://pbs.twimg.com/media/FfPw7EAWAAEOOwI.jpg</v>
      </c>
      <c r="L424">
        <v>0.34</v>
      </c>
      <c r="M424">
        <v>0</v>
      </c>
      <c r="N424">
        <v>0.93600000000000005</v>
      </c>
      <c r="O424">
        <v>6.4000000000000001E-2</v>
      </c>
    </row>
    <row r="425" spans="1:15" x14ac:dyDescent="0.2">
      <c r="A425" s="1" t="str">
        <f>HYPERLINK("http://www.twitter.com/banuakdenizli/status/1581864029554823168", "1581864029554823168")</f>
        <v>1581864029554823168</v>
      </c>
      <c r="B425" t="s">
        <v>15</v>
      </c>
      <c r="C425" s="2">
        <v>44851.184583333343</v>
      </c>
      <c r="D425">
        <v>0</v>
      </c>
      <c r="E425">
        <v>13</v>
      </c>
      <c r="F425" t="s">
        <v>182</v>
      </c>
      <c r="G425" t="s">
        <v>504</v>
      </c>
      <c r="H425" t="str">
        <f>HYPERLINK("http://pbs.twimg.com/media/FfMVKiOXwAIn6_S.jpg", "http://pbs.twimg.com/media/FfMVKiOXwAIn6_S.jpg")</f>
        <v>http://pbs.twimg.com/media/FfMVKiOXwAIn6_S.jpg</v>
      </c>
      <c r="I425" t="str">
        <f>HYPERLINK("http://pbs.twimg.com/media/FfMVL7GWQAAdH9g.jpg", "http://pbs.twimg.com/media/FfMVL7GWQAAdH9g.jpg")</f>
        <v>http://pbs.twimg.com/media/FfMVL7GWQAAdH9g.jpg</v>
      </c>
      <c r="J425" t="str">
        <f>HYPERLINK("http://pbs.twimg.com/media/FfMVN4dWYAAZStB.jpg", "http://pbs.twimg.com/media/FfMVN4dWYAAZStB.jpg")</f>
        <v>http://pbs.twimg.com/media/FfMVN4dWYAAZStB.jpg</v>
      </c>
      <c r="L425">
        <v>0</v>
      </c>
      <c r="M425">
        <v>0</v>
      </c>
      <c r="N425">
        <v>1</v>
      </c>
      <c r="O425">
        <v>0</v>
      </c>
    </row>
    <row r="426" spans="1:15" x14ac:dyDescent="0.2">
      <c r="A426" s="1" t="str">
        <f>HYPERLINK("http://www.twitter.com/banuakdenizli/status/1581864000844808192", "1581864000844808192")</f>
        <v>1581864000844808192</v>
      </c>
      <c r="B426" t="s">
        <v>15</v>
      </c>
      <c r="C426" s="2">
        <v>44851.184513888889</v>
      </c>
      <c r="D426">
        <v>0</v>
      </c>
      <c r="E426">
        <v>3</v>
      </c>
      <c r="F426" t="s">
        <v>182</v>
      </c>
      <c r="G426" t="s">
        <v>505</v>
      </c>
      <c r="H426" t="str">
        <f>HYPERLINK("http://pbs.twimg.com/media/FfMtTrlWQAMQ6_X.jpg", "http://pbs.twimg.com/media/FfMtTrlWQAMQ6_X.jpg")</f>
        <v>http://pbs.twimg.com/media/FfMtTrlWQAMQ6_X.jpg</v>
      </c>
      <c r="I426" t="str">
        <f>HYPERLINK("http://pbs.twimg.com/media/FfMtYK1WIAYs4kG.jpg", "http://pbs.twimg.com/media/FfMtYK1WIAYs4kG.jpg")</f>
        <v>http://pbs.twimg.com/media/FfMtYK1WIAYs4kG.jpg</v>
      </c>
      <c r="J426" t="str">
        <f>HYPERLINK("http://pbs.twimg.com/media/FfMtassWAAEBctV.jpg", "http://pbs.twimg.com/media/FfMtassWAAEBctV.jpg")</f>
        <v>http://pbs.twimg.com/media/FfMtassWAAEBctV.jpg</v>
      </c>
      <c r="L426">
        <v>0</v>
      </c>
      <c r="M426">
        <v>0</v>
      </c>
      <c r="N426">
        <v>1</v>
      </c>
      <c r="O426">
        <v>0</v>
      </c>
    </row>
    <row r="427" spans="1:15" x14ac:dyDescent="0.2">
      <c r="A427" s="1" t="str">
        <f>HYPERLINK("http://www.twitter.com/banuakdenizli/status/1581863771173068801", "1581863771173068801")</f>
        <v>1581863771173068801</v>
      </c>
      <c r="B427" t="s">
        <v>15</v>
      </c>
      <c r="C427" s="2">
        <v>44851.183877314812</v>
      </c>
      <c r="D427">
        <v>0</v>
      </c>
      <c r="E427">
        <v>5</v>
      </c>
      <c r="F427" t="s">
        <v>182</v>
      </c>
      <c r="G427" t="s">
        <v>506</v>
      </c>
      <c r="H427" t="str">
        <f>HYPERLINK("http://pbs.twimg.com/media/FfNiIVJXEAAXnq7.jpg", "http://pbs.twimg.com/media/FfNiIVJXEAAXnq7.jpg")</f>
        <v>http://pbs.twimg.com/media/FfNiIVJXEAAXnq7.jpg</v>
      </c>
      <c r="L427">
        <v>0.65969999999999995</v>
      </c>
      <c r="M427">
        <v>0</v>
      </c>
      <c r="N427">
        <v>0.88800000000000001</v>
      </c>
      <c r="O427">
        <v>0.112</v>
      </c>
    </row>
    <row r="428" spans="1:15" x14ac:dyDescent="0.2">
      <c r="A428" s="1" t="str">
        <f>HYPERLINK("http://www.twitter.com/banuakdenizli/status/1581863735219851264", "1581863735219851264")</f>
        <v>1581863735219851264</v>
      </c>
      <c r="B428" t="s">
        <v>15</v>
      </c>
      <c r="C428" s="2">
        <v>44851.18377314815</v>
      </c>
      <c r="D428">
        <v>0</v>
      </c>
      <c r="E428">
        <v>7</v>
      </c>
      <c r="F428" t="s">
        <v>182</v>
      </c>
      <c r="G428" t="s">
        <v>507</v>
      </c>
      <c r="H428" t="str">
        <f>HYPERLINK("http://pbs.twimg.com/media/FfNgxZcXwAAyFF2.jpg", "http://pbs.twimg.com/media/FfNgxZcXwAAyFF2.jpg")</f>
        <v>http://pbs.twimg.com/media/FfNgxZcXwAAyFF2.jpg</v>
      </c>
      <c r="L428">
        <v>0.2732</v>
      </c>
      <c r="M428">
        <v>0</v>
      </c>
      <c r="N428">
        <v>0.93700000000000006</v>
      </c>
      <c r="O428">
        <v>6.3E-2</v>
      </c>
    </row>
    <row r="429" spans="1:15" x14ac:dyDescent="0.2">
      <c r="A429" s="1" t="str">
        <f>HYPERLINK("http://www.twitter.com/banuakdenizli/status/1581863697232039936", "1581863697232039936")</f>
        <v>1581863697232039936</v>
      </c>
      <c r="B429" t="s">
        <v>15</v>
      </c>
      <c r="C429" s="2">
        <v>44851.183668981481</v>
      </c>
      <c r="D429">
        <v>0</v>
      </c>
      <c r="E429">
        <v>5</v>
      </c>
      <c r="F429" t="s">
        <v>182</v>
      </c>
      <c r="G429" t="s">
        <v>508</v>
      </c>
      <c r="H429" t="str">
        <f>HYPERLINK("http://pbs.twimg.com/media/FfNbc5YWQAIQyZS.jpg", "http://pbs.twimg.com/media/FfNbc5YWQAIQyZS.jpg")</f>
        <v>http://pbs.twimg.com/media/FfNbc5YWQAIQyZS.jpg</v>
      </c>
      <c r="L429">
        <v>0</v>
      </c>
      <c r="M429">
        <v>0</v>
      </c>
      <c r="N429">
        <v>1</v>
      </c>
      <c r="O429">
        <v>0</v>
      </c>
    </row>
    <row r="430" spans="1:15" x14ac:dyDescent="0.2">
      <c r="A430" s="1" t="str">
        <f>HYPERLINK("http://www.twitter.com/banuakdenizli/status/1581863678382854146", "1581863678382854146")</f>
        <v>1581863678382854146</v>
      </c>
      <c r="B430" t="s">
        <v>15</v>
      </c>
      <c r="C430" s="2">
        <v>44851.183622685188</v>
      </c>
      <c r="D430">
        <v>0</v>
      </c>
      <c r="E430">
        <v>7</v>
      </c>
      <c r="F430" t="s">
        <v>182</v>
      </c>
      <c r="G430" t="s">
        <v>509</v>
      </c>
      <c r="H430" t="str">
        <f>HYPERLINK("http://pbs.twimg.com/media/FfNdnzdWQAIuzVV.jpg", "http://pbs.twimg.com/media/FfNdnzdWQAIuzVV.jpg")</f>
        <v>http://pbs.twimg.com/media/FfNdnzdWQAIuzVV.jpg</v>
      </c>
      <c r="L430">
        <v>0</v>
      </c>
      <c r="M430">
        <v>0</v>
      </c>
      <c r="N430">
        <v>1</v>
      </c>
      <c r="O430">
        <v>0</v>
      </c>
    </row>
    <row r="431" spans="1:15" x14ac:dyDescent="0.2">
      <c r="A431" s="1" t="str">
        <f>HYPERLINK("http://www.twitter.com/banuakdenizli/status/1581863630496100354", "1581863630496100354")</f>
        <v>1581863630496100354</v>
      </c>
      <c r="B431" t="s">
        <v>15</v>
      </c>
      <c r="C431" s="2">
        <v>44851.183483796303</v>
      </c>
      <c r="D431">
        <v>0</v>
      </c>
      <c r="E431">
        <v>12</v>
      </c>
      <c r="F431" t="s">
        <v>182</v>
      </c>
      <c r="G431" t="s">
        <v>510</v>
      </c>
      <c r="H431" t="str">
        <f>HYPERLINK("http://pbs.twimg.com/media/FfNgJebWAAA2oCB.jpg", "http://pbs.twimg.com/media/FfNgJebWAAA2oCB.jpg")</f>
        <v>http://pbs.twimg.com/media/FfNgJebWAAA2oCB.jpg</v>
      </c>
      <c r="L431">
        <v>0.67049999999999998</v>
      </c>
      <c r="M431">
        <v>0</v>
      </c>
      <c r="N431">
        <v>0.83099999999999996</v>
      </c>
      <c r="O431">
        <v>0.16900000000000001</v>
      </c>
    </row>
    <row r="432" spans="1:15" x14ac:dyDescent="0.2">
      <c r="A432" s="1" t="str">
        <f>HYPERLINK("http://www.twitter.com/banuakdenizli/status/1581647265395265547", "1581647265395265547")</f>
        <v>1581647265395265547</v>
      </c>
      <c r="B432" t="s">
        <v>15</v>
      </c>
      <c r="C432" s="2">
        <v>44850.586435185192</v>
      </c>
      <c r="D432">
        <v>0</v>
      </c>
      <c r="E432">
        <v>198</v>
      </c>
      <c r="F432" t="s">
        <v>28</v>
      </c>
      <c r="G432" t="s">
        <v>511</v>
      </c>
      <c r="H432" t="str">
        <f>HYPERLINK("http://pbs.twimg.com/media/FfMily9XgAESxHf.jpg", "http://pbs.twimg.com/media/FfMily9XgAESxHf.jpg")</f>
        <v>http://pbs.twimg.com/media/FfMily9XgAESxHf.jpg</v>
      </c>
      <c r="L432">
        <v>0</v>
      </c>
      <c r="M432">
        <v>0</v>
      </c>
      <c r="N432">
        <v>1</v>
      </c>
      <c r="O432">
        <v>0</v>
      </c>
    </row>
    <row r="433" spans="1:15" x14ac:dyDescent="0.2">
      <c r="A433" s="1" t="str">
        <f>HYPERLINK("http://www.twitter.com/banuakdenizli/status/1581574573891338242", "1581574573891338242")</f>
        <v>1581574573891338242</v>
      </c>
      <c r="B433" t="s">
        <v>15</v>
      </c>
      <c r="C433" s="2">
        <v>44850.385844907411</v>
      </c>
      <c r="D433">
        <v>9</v>
      </c>
      <c r="E433">
        <v>1</v>
      </c>
      <c r="G433" t="s">
        <v>512</v>
      </c>
      <c r="L433">
        <v>0</v>
      </c>
      <c r="M433">
        <v>0</v>
      </c>
      <c r="N433">
        <v>1</v>
      </c>
      <c r="O433">
        <v>0</v>
      </c>
    </row>
    <row r="434" spans="1:15" x14ac:dyDescent="0.2">
      <c r="A434" s="1" t="str">
        <f>HYPERLINK("http://www.twitter.com/banuakdenizli/status/1581573589811474433", "1581573589811474433")</f>
        <v>1581573589811474433</v>
      </c>
      <c r="B434" t="s">
        <v>15</v>
      </c>
      <c r="C434" s="2">
        <v>44850.383125</v>
      </c>
      <c r="D434">
        <v>4</v>
      </c>
      <c r="E434">
        <v>2</v>
      </c>
      <c r="G434" t="s">
        <v>513</v>
      </c>
      <c r="L434">
        <v>5.16E-2</v>
      </c>
      <c r="M434">
        <v>5.7000000000000002E-2</v>
      </c>
      <c r="N434">
        <v>0.88100000000000001</v>
      </c>
      <c r="O434">
        <v>6.2E-2</v>
      </c>
    </row>
    <row r="435" spans="1:15" x14ac:dyDescent="0.2">
      <c r="A435" s="1" t="str">
        <f>HYPERLINK("http://www.twitter.com/banuakdenizli/status/1581412001275817985", "1581412001275817985")</f>
        <v>1581412001275817985</v>
      </c>
      <c r="B435" t="s">
        <v>15</v>
      </c>
      <c r="C435" s="2">
        <v>44849.937222222223</v>
      </c>
      <c r="D435">
        <v>0</v>
      </c>
      <c r="E435">
        <v>3</v>
      </c>
      <c r="F435" t="s">
        <v>514</v>
      </c>
      <c r="G435" t="s">
        <v>515</v>
      </c>
      <c r="H435" t="str">
        <f>HYPERLINK("http://pbs.twimg.com/media/FfIUULGXwAAc9x0.jpg", "http://pbs.twimg.com/media/FfIUULGXwAAc9x0.jpg")</f>
        <v>http://pbs.twimg.com/media/FfIUULGXwAAc9x0.jpg</v>
      </c>
      <c r="L435">
        <v>0</v>
      </c>
      <c r="M435">
        <v>0</v>
      </c>
      <c r="N435">
        <v>1</v>
      </c>
      <c r="O435">
        <v>0</v>
      </c>
    </row>
    <row r="436" spans="1:15" x14ac:dyDescent="0.2">
      <c r="A436" s="1" t="str">
        <f>HYPERLINK("http://www.twitter.com/banuakdenizli/status/1581180734265442306", "1581180734265442306")</f>
        <v>1581180734265442306</v>
      </c>
      <c r="B436" t="s">
        <v>15</v>
      </c>
      <c r="C436" s="2">
        <v>44849.299050925933</v>
      </c>
      <c r="D436">
        <v>0</v>
      </c>
      <c r="E436">
        <v>3</v>
      </c>
      <c r="F436" t="s">
        <v>192</v>
      </c>
      <c r="G436" t="s">
        <v>516</v>
      </c>
      <c r="H436" t="str">
        <f>HYPERLINK("http://pbs.twimg.com/media/FfF7LyTWYAAAw46.jpg", "http://pbs.twimg.com/media/FfF7LyTWYAAAw46.jpg")</f>
        <v>http://pbs.twimg.com/media/FfF7LyTWYAAAw46.jpg</v>
      </c>
      <c r="L436">
        <v>0</v>
      </c>
      <c r="M436">
        <v>0</v>
      </c>
      <c r="N436">
        <v>1</v>
      </c>
      <c r="O436">
        <v>0</v>
      </c>
    </row>
    <row r="437" spans="1:15" x14ac:dyDescent="0.2">
      <c r="A437" s="1" t="str">
        <f>HYPERLINK("http://www.twitter.com/banuakdenizli/status/1581161360477802497", "1581161360477802497")</f>
        <v>1581161360477802497</v>
      </c>
      <c r="B437" t="s">
        <v>15</v>
      </c>
      <c r="C437" s="2">
        <v>44849.24559027778</v>
      </c>
      <c r="D437">
        <v>4</v>
      </c>
      <c r="E437">
        <v>1</v>
      </c>
      <c r="G437" t="s">
        <v>517</v>
      </c>
      <c r="L437">
        <v>0</v>
      </c>
      <c r="M437">
        <v>0</v>
      </c>
      <c r="N437">
        <v>1</v>
      </c>
      <c r="O437">
        <v>0</v>
      </c>
    </row>
    <row r="438" spans="1:15" x14ac:dyDescent="0.2">
      <c r="A438" s="1" t="str">
        <f>HYPERLINK("http://www.twitter.com/banuakdenizli/status/1581157363569946624", "1581157363569946624")</f>
        <v>1581157363569946624</v>
      </c>
      <c r="B438" t="s">
        <v>15</v>
      </c>
      <c r="C438" s="2">
        <v>44849.234560185178</v>
      </c>
      <c r="D438">
        <v>6</v>
      </c>
      <c r="E438">
        <v>2</v>
      </c>
      <c r="G438" t="s">
        <v>518</v>
      </c>
      <c r="L438">
        <v>-0.29599999999999999</v>
      </c>
      <c r="M438">
        <v>6.8000000000000005E-2</v>
      </c>
      <c r="N438">
        <v>0.93200000000000005</v>
      </c>
      <c r="O438">
        <v>0</v>
      </c>
    </row>
    <row r="439" spans="1:15" x14ac:dyDescent="0.2">
      <c r="A439" s="1" t="str">
        <f>HYPERLINK("http://www.twitter.com/banuakdenizli/status/1580992154809159685", "1580992154809159685")</f>
        <v>1580992154809159685</v>
      </c>
      <c r="B439" t="s">
        <v>15</v>
      </c>
      <c r="C439" s="2">
        <v>44848.778668981482</v>
      </c>
      <c r="D439">
        <v>0</v>
      </c>
      <c r="E439">
        <v>0</v>
      </c>
      <c r="G439" t="s">
        <v>519</v>
      </c>
      <c r="L439">
        <v>0</v>
      </c>
      <c r="M439">
        <v>0</v>
      </c>
      <c r="N439">
        <v>1</v>
      </c>
      <c r="O439">
        <v>0</v>
      </c>
    </row>
    <row r="440" spans="1:15" x14ac:dyDescent="0.2">
      <c r="A440" s="1" t="str">
        <f>HYPERLINK("http://www.twitter.com/banuakdenizli/status/1580991950421135361", "1580991950421135361")</f>
        <v>1580991950421135361</v>
      </c>
      <c r="B440" t="s">
        <v>15</v>
      </c>
      <c r="C440" s="2">
        <v>44848.778113425928</v>
      </c>
      <c r="D440">
        <v>6</v>
      </c>
      <c r="E440">
        <v>2</v>
      </c>
      <c r="G440" t="s">
        <v>520</v>
      </c>
      <c r="L440">
        <v>0</v>
      </c>
      <c r="M440">
        <v>0</v>
      </c>
      <c r="N440">
        <v>1</v>
      </c>
      <c r="O440">
        <v>0</v>
      </c>
    </row>
    <row r="441" spans="1:15" x14ac:dyDescent="0.2">
      <c r="A441" s="1" t="str">
        <f>HYPERLINK("http://www.twitter.com/banuakdenizli/status/1580989092086841344", "1580989092086841344")</f>
        <v>1580989092086841344</v>
      </c>
      <c r="B441" t="s">
        <v>15</v>
      </c>
      <c r="C441" s="2">
        <v>44848.770219907397</v>
      </c>
      <c r="D441">
        <v>3</v>
      </c>
      <c r="E441">
        <v>1</v>
      </c>
      <c r="G441" t="s">
        <v>521</v>
      </c>
      <c r="H441" t="str">
        <f>HYPERLINK("http://pbs.twimg.com/media/FfDNK7rWAAAl3pn.jpg", "http://pbs.twimg.com/media/FfDNK7rWAAAl3pn.jpg")</f>
        <v>http://pbs.twimg.com/media/FfDNK7rWAAAl3pn.jpg</v>
      </c>
      <c r="I441" t="str">
        <f>HYPERLINK("http://pbs.twimg.com/media/FfDNLi0WAAQvLjL.jpg", "http://pbs.twimg.com/media/FfDNLi0WAAQvLjL.jpg")</f>
        <v>http://pbs.twimg.com/media/FfDNLi0WAAQvLjL.jpg</v>
      </c>
      <c r="J441" t="str">
        <f>HYPERLINK("http://pbs.twimg.com/media/FfDNMOCWAAorCs9.jpg", "http://pbs.twimg.com/media/FfDNMOCWAAorCs9.jpg")</f>
        <v>http://pbs.twimg.com/media/FfDNMOCWAAorCs9.jpg</v>
      </c>
      <c r="K441" t="str">
        <f>HYPERLINK("http://pbs.twimg.com/media/FfDNMyyWAAMSdJ7.jpg", "http://pbs.twimg.com/media/FfDNMyyWAAMSdJ7.jpg")</f>
        <v>http://pbs.twimg.com/media/FfDNMyyWAAMSdJ7.jpg</v>
      </c>
      <c r="L441">
        <v>0</v>
      </c>
      <c r="M441">
        <v>0</v>
      </c>
      <c r="N441">
        <v>1</v>
      </c>
      <c r="O441">
        <v>0</v>
      </c>
    </row>
    <row r="442" spans="1:15" x14ac:dyDescent="0.2">
      <c r="A442" s="1" t="str">
        <f>HYPERLINK("http://www.twitter.com/banuakdenizli/status/1580987815357485056", "1580987815357485056")</f>
        <v>1580987815357485056</v>
      </c>
      <c r="B442" t="s">
        <v>15</v>
      </c>
      <c r="C442" s="2">
        <v>44848.766701388893</v>
      </c>
      <c r="D442">
        <v>0</v>
      </c>
      <c r="E442">
        <v>352</v>
      </c>
      <c r="F442" t="s">
        <v>514</v>
      </c>
      <c r="G442" t="s">
        <v>522</v>
      </c>
      <c r="H442" t="str">
        <f>HYPERLINK("https://video.twimg.com/ext_tw_video/1580977534967185408/pu/vid/608x480/8qbD3EPhw4pea8KT.mp4?tag=12", "https://video.twimg.com/ext_tw_video/1580977534967185408/pu/vid/608x480/8qbD3EPhw4pea8KT.mp4?tag=12")</f>
        <v>https://video.twimg.com/ext_tw_video/1580977534967185408/pu/vid/608x480/8qbD3EPhw4pea8KT.mp4?tag=12</v>
      </c>
      <c r="L442">
        <v>0</v>
      </c>
      <c r="M442">
        <v>0</v>
      </c>
      <c r="N442">
        <v>1</v>
      </c>
      <c r="O442">
        <v>0</v>
      </c>
    </row>
    <row r="443" spans="1:15" x14ac:dyDescent="0.2">
      <c r="A443" s="1" t="str">
        <f>HYPERLINK("http://www.twitter.com/banuakdenizli/status/1580987617209856000", "1580987617209856000")</f>
        <v>1580987617209856000</v>
      </c>
      <c r="B443" t="s">
        <v>15</v>
      </c>
      <c r="C443" s="2">
        <v>44848.766145833331</v>
      </c>
      <c r="D443">
        <v>0</v>
      </c>
      <c r="E443">
        <v>7</v>
      </c>
      <c r="F443" t="s">
        <v>523</v>
      </c>
      <c r="G443" t="s">
        <v>524</v>
      </c>
      <c r="H443" t="str">
        <f>HYPERLINK("http://pbs.twimg.com/media/FfCyJHLWIAEE34V.jpg", "http://pbs.twimg.com/media/FfCyJHLWIAEE34V.jpg")</f>
        <v>http://pbs.twimg.com/media/FfCyJHLWIAEE34V.jpg</v>
      </c>
      <c r="L443">
        <v>0</v>
      </c>
      <c r="M443">
        <v>0</v>
      </c>
      <c r="N443">
        <v>1</v>
      </c>
      <c r="O443">
        <v>0</v>
      </c>
    </row>
    <row r="444" spans="1:15" x14ac:dyDescent="0.2">
      <c r="A444" s="1" t="str">
        <f>HYPERLINK("http://www.twitter.com/banuakdenizli/status/1580987584712695810", "1580987584712695810")</f>
        <v>1580987584712695810</v>
      </c>
      <c r="B444" t="s">
        <v>15</v>
      </c>
      <c r="C444" s="2">
        <v>44848.766064814823</v>
      </c>
      <c r="D444">
        <v>0</v>
      </c>
      <c r="E444">
        <v>13</v>
      </c>
      <c r="F444" t="s">
        <v>525</v>
      </c>
      <c r="G444" t="s">
        <v>526</v>
      </c>
      <c r="H444" t="str">
        <f>HYPERLINK("http://pbs.twimg.com/media/FfDK4wnWAAQu1mP.jpg", "http://pbs.twimg.com/media/FfDK4wnWAAQu1mP.jpg")</f>
        <v>http://pbs.twimg.com/media/FfDK4wnWAAQu1mP.jpg</v>
      </c>
      <c r="L444">
        <v>0</v>
      </c>
      <c r="M444">
        <v>0</v>
      </c>
      <c r="N444">
        <v>1</v>
      </c>
      <c r="O444">
        <v>0</v>
      </c>
    </row>
    <row r="445" spans="1:15" x14ac:dyDescent="0.2">
      <c r="A445" s="1" t="str">
        <f>HYPERLINK("http://www.twitter.com/banuakdenizli/status/1580984353680564224", "1580984353680564224")</f>
        <v>1580984353680564224</v>
      </c>
      <c r="B445" t="s">
        <v>15</v>
      </c>
      <c r="C445" s="2">
        <v>44848.757141203707</v>
      </c>
      <c r="D445">
        <v>0</v>
      </c>
      <c r="E445">
        <v>0</v>
      </c>
      <c r="G445" t="s">
        <v>527</v>
      </c>
      <c r="L445">
        <v>0</v>
      </c>
      <c r="M445">
        <v>0</v>
      </c>
      <c r="N445">
        <v>1</v>
      </c>
      <c r="O445">
        <v>0</v>
      </c>
    </row>
    <row r="446" spans="1:15" x14ac:dyDescent="0.2">
      <c r="A446" s="1" t="str">
        <f>HYPERLINK("http://www.twitter.com/banuakdenizli/status/1580984034263715841", "1580984034263715841")</f>
        <v>1580984034263715841</v>
      </c>
      <c r="B446" t="s">
        <v>15</v>
      </c>
      <c r="C446" s="2">
        <v>44848.756261574083</v>
      </c>
      <c r="D446">
        <v>3</v>
      </c>
      <c r="E446">
        <v>0</v>
      </c>
      <c r="G446" t="s">
        <v>528</v>
      </c>
      <c r="H446" t="str">
        <f>HYPERLINK("http://pbs.twimg.com/media/FfDImZeWAAMgQJG.jpg", "http://pbs.twimg.com/media/FfDImZeWAAMgQJG.jpg")</f>
        <v>http://pbs.twimg.com/media/FfDImZeWAAMgQJG.jpg</v>
      </c>
      <c r="L446">
        <v>0</v>
      </c>
      <c r="M446">
        <v>0</v>
      </c>
      <c r="N446">
        <v>1</v>
      </c>
      <c r="O446">
        <v>0</v>
      </c>
    </row>
    <row r="447" spans="1:15" x14ac:dyDescent="0.2">
      <c r="A447" s="1" t="str">
        <f>HYPERLINK("http://www.twitter.com/banuakdenizli/status/1580983129052835840", "1580983129052835840")</f>
        <v>1580983129052835840</v>
      </c>
      <c r="B447" t="s">
        <v>15</v>
      </c>
      <c r="C447" s="2">
        <v>44848.753761574073</v>
      </c>
      <c r="D447">
        <v>4</v>
      </c>
      <c r="E447">
        <v>1</v>
      </c>
      <c r="G447" t="s">
        <v>529</v>
      </c>
      <c r="H447" t="str">
        <f>HYPERLINK("https://video.twimg.com/ext_tw_video/1580983084522012679/pu/vid/848x480/CoviZU0RpvN9VlgZ.mp4?tag=12", "https://video.twimg.com/ext_tw_video/1580983084522012679/pu/vid/848x480/CoviZU0RpvN9VlgZ.mp4?tag=12")</f>
        <v>https://video.twimg.com/ext_tw_video/1580983084522012679/pu/vid/848x480/CoviZU0RpvN9VlgZ.mp4?tag=12</v>
      </c>
      <c r="L447">
        <v>0</v>
      </c>
      <c r="M447">
        <v>0</v>
      </c>
      <c r="N447">
        <v>1</v>
      </c>
      <c r="O447">
        <v>0</v>
      </c>
    </row>
    <row r="448" spans="1:15" x14ac:dyDescent="0.2">
      <c r="A448" s="1" t="str">
        <f>HYPERLINK("http://www.twitter.com/banuakdenizli/status/1580981489365237788", "1580981489365237788")</f>
        <v>1580981489365237788</v>
      </c>
      <c r="B448" t="s">
        <v>15</v>
      </c>
      <c r="C448" s="2">
        <v>44848.749236111107</v>
      </c>
      <c r="D448">
        <v>9</v>
      </c>
      <c r="E448">
        <v>3</v>
      </c>
      <c r="G448" t="s">
        <v>530</v>
      </c>
      <c r="H448" t="str">
        <f>HYPERLINK("https://video.twimg.com/ext_tw_video/1580981441642496010/pu/vid/848x480/CkyBD9WaPOIM8zfQ.mp4?tag=12", "https://video.twimg.com/ext_tw_video/1580981441642496010/pu/vid/848x480/CkyBD9WaPOIM8zfQ.mp4?tag=12")</f>
        <v>https://video.twimg.com/ext_tw_video/1580981441642496010/pu/vid/848x480/CkyBD9WaPOIM8zfQ.mp4?tag=12</v>
      </c>
      <c r="L448">
        <v>0</v>
      </c>
      <c r="M448">
        <v>0</v>
      </c>
      <c r="N448">
        <v>1</v>
      </c>
      <c r="O448">
        <v>0</v>
      </c>
    </row>
    <row r="449" spans="1:15" x14ac:dyDescent="0.2">
      <c r="A449" s="1" t="str">
        <f>HYPERLINK("http://www.twitter.com/banuakdenizli/status/1580588158604886017", "1580588158604886017")</f>
        <v>1580588158604886017</v>
      </c>
      <c r="B449" t="s">
        <v>15</v>
      </c>
      <c r="C449" s="2">
        <v>44847.663854166669</v>
      </c>
      <c r="D449">
        <v>0</v>
      </c>
      <c r="E449">
        <v>10</v>
      </c>
      <c r="F449" t="s">
        <v>23</v>
      </c>
      <c r="G449" t="s">
        <v>531</v>
      </c>
      <c r="H449" t="str">
        <f>HYPERLINK("https://video.twimg.com/ext_tw_video/1580577587583123456/pu/vid/720x720/Pz-IUF5evFFMk_D9.mp4?tag=12", "https://video.twimg.com/ext_tw_video/1580577587583123456/pu/vid/720x720/Pz-IUF5evFFMk_D9.mp4?tag=12")</f>
        <v>https://video.twimg.com/ext_tw_video/1580577587583123456/pu/vid/720x720/Pz-IUF5evFFMk_D9.mp4?tag=12</v>
      </c>
      <c r="L449">
        <v>0.83599999999999997</v>
      </c>
      <c r="M449">
        <v>0</v>
      </c>
      <c r="N449">
        <v>0.55300000000000005</v>
      </c>
      <c r="O449">
        <v>0.44700000000000001</v>
      </c>
    </row>
    <row r="450" spans="1:15" x14ac:dyDescent="0.2">
      <c r="A450" s="1" t="str">
        <f>HYPERLINK("http://www.twitter.com/banuakdenizli/status/1580586412797480961", "1580586412797480961")</f>
        <v>1580586412797480961</v>
      </c>
      <c r="B450" t="s">
        <v>15</v>
      </c>
      <c r="C450" s="2">
        <v>44847.659039351849</v>
      </c>
      <c r="D450">
        <v>0</v>
      </c>
      <c r="E450">
        <v>27</v>
      </c>
      <c r="F450" t="s">
        <v>22</v>
      </c>
      <c r="G450" t="s">
        <v>532</v>
      </c>
      <c r="L450">
        <v>0</v>
      </c>
      <c r="M450">
        <v>0</v>
      </c>
      <c r="N450">
        <v>1</v>
      </c>
      <c r="O450">
        <v>0</v>
      </c>
    </row>
    <row r="451" spans="1:15" x14ac:dyDescent="0.2">
      <c r="A451" s="1" t="str">
        <f>HYPERLINK("http://www.twitter.com/banuakdenizli/status/1580541799768412160", "1580541799768412160")</f>
        <v>1580541799768412160</v>
      </c>
      <c r="B451" t="s">
        <v>15</v>
      </c>
      <c r="C451" s="2">
        <v>44847.535925925928</v>
      </c>
      <c r="D451">
        <v>0</v>
      </c>
      <c r="E451">
        <v>1</v>
      </c>
      <c r="F451" t="s">
        <v>36</v>
      </c>
      <c r="G451" t="s">
        <v>533</v>
      </c>
      <c r="L451">
        <v>0</v>
      </c>
      <c r="M451">
        <v>0</v>
      </c>
      <c r="N451">
        <v>1</v>
      </c>
      <c r="O451">
        <v>0</v>
      </c>
    </row>
    <row r="452" spans="1:15" x14ac:dyDescent="0.2">
      <c r="A452" s="1" t="str">
        <f>HYPERLINK("http://www.twitter.com/banuakdenizli/status/1580527340823584768", "1580527340823584768")</f>
        <v>1580527340823584768</v>
      </c>
      <c r="B452" t="s">
        <v>15</v>
      </c>
      <c r="C452" s="2">
        <v>44847.496030092603</v>
      </c>
      <c r="D452">
        <v>0</v>
      </c>
      <c r="E452">
        <v>43</v>
      </c>
      <c r="F452" t="s">
        <v>22</v>
      </c>
      <c r="G452" t="s">
        <v>534</v>
      </c>
      <c r="H452" t="str">
        <f>HYPERLINK("http://pbs.twimg.com/media/Fe3gUwqXoAMSqaF.jpg", "http://pbs.twimg.com/media/Fe3gUwqXoAMSqaF.jpg")</f>
        <v>http://pbs.twimg.com/media/Fe3gUwqXoAMSqaF.jpg</v>
      </c>
      <c r="L452">
        <v>0</v>
      </c>
      <c r="M452">
        <v>0</v>
      </c>
      <c r="N452">
        <v>1</v>
      </c>
      <c r="O452">
        <v>0</v>
      </c>
    </row>
    <row r="453" spans="1:15" x14ac:dyDescent="0.2">
      <c r="A453" s="1" t="str">
        <f>HYPERLINK("http://www.twitter.com/banuakdenizli/status/1580512867572273152", "1580512867572273152")</f>
        <v>1580512867572273152</v>
      </c>
      <c r="B453" t="s">
        <v>15</v>
      </c>
      <c r="C453" s="2">
        <v>44847.456087962957</v>
      </c>
      <c r="D453">
        <v>6</v>
      </c>
      <c r="E453">
        <v>2</v>
      </c>
      <c r="G453" t="s">
        <v>535</v>
      </c>
      <c r="H453" t="str">
        <f>HYPERLINK("http://pbs.twimg.com/media/Fe8cCJ6WAAA6HCy.jpg", "http://pbs.twimg.com/media/Fe8cCJ6WAAA6HCy.jpg")</f>
        <v>http://pbs.twimg.com/media/Fe8cCJ6WAAA6HCy.jpg</v>
      </c>
      <c r="I453" t="str">
        <f>HYPERLINK("http://pbs.twimg.com/media/Fe8cDNPXwAAFuuo.jpg", "http://pbs.twimg.com/media/Fe8cDNPXwAAFuuo.jpg")</f>
        <v>http://pbs.twimg.com/media/Fe8cDNPXwAAFuuo.jpg</v>
      </c>
      <c r="J453" t="str">
        <f>HYPERLINK("http://pbs.twimg.com/media/Fe8cETcWQAsXT_H.jpg", "http://pbs.twimg.com/media/Fe8cETcWQAsXT_H.jpg")</f>
        <v>http://pbs.twimg.com/media/Fe8cETcWQAsXT_H.jpg</v>
      </c>
      <c r="K453" t="str">
        <f>HYPERLINK("http://pbs.twimg.com/media/Fe8cE2zWIAMyEJZ.jpg", "http://pbs.twimg.com/media/Fe8cE2zWIAMyEJZ.jpg")</f>
        <v>http://pbs.twimg.com/media/Fe8cE2zWIAMyEJZ.jpg</v>
      </c>
      <c r="L453">
        <v>0</v>
      </c>
      <c r="M453">
        <v>0</v>
      </c>
      <c r="N453">
        <v>1</v>
      </c>
      <c r="O453">
        <v>0</v>
      </c>
    </row>
    <row r="454" spans="1:15" x14ac:dyDescent="0.2">
      <c r="A454" s="1" t="str">
        <f>HYPERLINK("http://www.twitter.com/banuakdenizli/status/1580511531732963330", "1580511531732963330")</f>
        <v>1580511531732963330</v>
      </c>
      <c r="B454" t="s">
        <v>15</v>
      </c>
      <c r="C454" s="2">
        <v>44847.452407407407</v>
      </c>
      <c r="D454">
        <v>12</v>
      </c>
      <c r="E454">
        <v>3</v>
      </c>
      <c r="G454" t="s">
        <v>536</v>
      </c>
      <c r="H454" t="str">
        <f>HYPERLINK("http://pbs.twimg.com/media/Fe8azwPWAAACarj.jpg", "http://pbs.twimg.com/media/Fe8azwPWAAACarj.jpg")</f>
        <v>http://pbs.twimg.com/media/Fe8azwPWAAACarj.jpg</v>
      </c>
      <c r="I454" t="str">
        <f>HYPERLINK("http://pbs.twimg.com/media/Fe8a02PWQAEcis9.jpg", "http://pbs.twimg.com/media/Fe8a02PWQAEcis9.jpg")</f>
        <v>http://pbs.twimg.com/media/Fe8a02PWQAEcis9.jpg</v>
      </c>
      <c r="J454" t="str">
        <f>HYPERLINK("http://pbs.twimg.com/media/Fe8a1zjWQAIAQRj.jpg", "http://pbs.twimg.com/media/Fe8a1zjWQAIAQRj.jpg")</f>
        <v>http://pbs.twimg.com/media/Fe8a1zjWQAIAQRj.jpg</v>
      </c>
      <c r="K454" t="str">
        <f>HYPERLINK("http://pbs.twimg.com/media/Fe8a3HyXkAMegNL.jpg", "http://pbs.twimg.com/media/Fe8a3HyXkAMegNL.jpg")</f>
        <v>http://pbs.twimg.com/media/Fe8a3HyXkAMegNL.jpg</v>
      </c>
      <c r="L454">
        <v>0</v>
      </c>
      <c r="M454">
        <v>0</v>
      </c>
      <c r="N454">
        <v>1</v>
      </c>
      <c r="O454">
        <v>0</v>
      </c>
    </row>
    <row r="455" spans="1:15" x14ac:dyDescent="0.2">
      <c r="A455" s="1" t="str">
        <f>HYPERLINK("http://www.twitter.com/banuakdenizli/status/1580459149007065088", "1580459149007065088")</f>
        <v>1580459149007065088</v>
      </c>
      <c r="B455" t="s">
        <v>15</v>
      </c>
      <c r="C455" s="2">
        <v>44847.307858796303</v>
      </c>
      <c r="D455">
        <v>13</v>
      </c>
      <c r="E455">
        <v>4</v>
      </c>
      <c r="G455" t="s">
        <v>537</v>
      </c>
      <c r="H455" t="str">
        <f>HYPERLINK("http://pbs.twimg.com/media/Fe7rODZWYAADXu8.jpg", "http://pbs.twimg.com/media/Fe7rODZWYAADXu8.jpg")</f>
        <v>http://pbs.twimg.com/media/Fe7rODZWYAADXu8.jpg</v>
      </c>
      <c r="L455">
        <v>0</v>
      </c>
      <c r="M455">
        <v>0</v>
      </c>
      <c r="N455">
        <v>1</v>
      </c>
      <c r="O455">
        <v>0</v>
      </c>
    </row>
    <row r="456" spans="1:15" x14ac:dyDescent="0.2">
      <c r="A456" s="1" t="str">
        <f>HYPERLINK("http://www.twitter.com/banuakdenizli/status/1580426703960432641", "1580426703960432641")</f>
        <v>1580426703960432641</v>
      </c>
      <c r="B456" t="s">
        <v>15</v>
      </c>
      <c r="C456" s="2">
        <v>44847.218321759261</v>
      </c>
      <c r="D456">
        <v>12</v>
      </c>
      <c r="E456">
        <v>2</v>
      </c>
      <c r="G456" t="s">
        <v>538</v>
      </c>
      <c r="H456" t="str">
        <f>HYPERLINK("http://pbs.twimg.com/media/Fe7NtFiWIAIuDLN.jpg", "http://pbs.twimg.com/media/Fe7NtFiWIAIuDLN.jpg")</f>
        <v>http://pbs.twimg.com/media/Fe7NtFiWIAIuDLN.jpg</v>
      </c>
      <c r="I456" t="str">
        <f>HYPERLINK("http://pbs.twimg.com/media/Fe7NtheWYAMYJJH.jpg", "http://pbs.twimg.com/media/Fe7NtheWYAMYJJH.jpg")</f>
        <v>http://pbs.twimg.com/media/Fe7NtheWYAMYJJH.jpg</v>
      </c>
      <c r="L456">
        <v>0</v>
      </c>
      <c r="M456">
        <v>0</v>
      </c>
      <c r="N456">
        <v>1</v>
      </c>
      <c r="O456">
        <v>0</v>
      </c>
    </row>
    <row r="457" spans="1:15" x14ac:dyDescent="0.2">
      <c r="A457" s="1" t="str">
        <f>HYPERLINK("http://www.twitter.com/banuakdenizli/status/1580413095033581574", "1580413095033581574")</f>
        <v>1580413095033581574</v>
      </c>
      <c r="B457" t="s">
        <v>15</v>
      </c>
      <c r="C457" s="2">
        <v>44847.180775462963</v>
      </c>
      <c r="D457">
        <v>0</v>
      </c>
      <c r="E457">
        <v>18</v>
      </c>
      <c r="F457" t="s">
        <v>23</v>
      </c>
      <c r="G457" t="s">
        <v>539</v>
      </c>
      <c r="H457" t="str">
        <f>HYPERLINK("http://pbs.twimg.com/media/Fe4Mo-6XkAAjrGt.jpg", "http://pbs.twimg.com/media/Fe4Mo-6XkAAjrGt.jpg")</f>
        <v>http://pbs.twimg.com/media/Fe4Mo-6XkAAjrGt.jpg</v>
      </c>
      <c r="L457">
        <v>0.84260000000000002</v>
      </c>
      <c r="M457">
        <v>0</v>
      </c>
      <c r="N457">
        <v>0.73399999999999999</v>
      </c>
      <c r="O457">
        <v>0.26600000000000001</v>
      </c>
    </row>
    <row r="458" spans="1:15" x14ac:dyDescent="0.2">
      <c r="A458" s="1" t="str">
        <f>HYPERLINK("http://www.twitter.com/banuakdenizli/status/1580167069462847488", "1580167069462847488")</f>
        <v>1580167069462847488</v>
      </c>
      <c r="B458" t="s">
        <v>15</v>
      </c>
      <c r="C458" s="2">
        <v>44846.501875000002</v>
      </c>
      <c r="D458">
        <v>0</v>
      </c>
      <c r="E458">
        <v>8</v>
      </c>
      <c r="F458" t="s">
        <v>31</v>
      </c>
      <c r="G458" t="s">
        <v>540</v>
      </c>
      <c r="H458" t="str">
        <f>HYPERLINK("http://pbs.twimg.com/media/Fe3GzgDWYAAdFIf.jpg", "http://pbs.twimg.com/media/Fe3GzgDWYAAdFIf.jpg")</f>
        <v>http://pbs.twimg.com/media/Fe3GzgDWYAAdFIf.jpg</v>
      </c>
      <c r="L458">
        <v>0.49390000000000001</v>
      </c>
      <c r="M458">
        <v>0</v>
      </c>
      <c r="N458">
        <v>0.90500000000000003</v>
      </c>
      <c r="O458">
        <v>9.5000000000000001E-2</v>
      </c>
    </row>
    <row r="459" spans="1:15" x14ac:dyDescent="0.2">
      <c r="A459" s="1" t="str">
        <f>HYPERLINK("http://www.twitter.com/banuakdenizli/status/1580112843071844354", "1580112843071844354")</f>
        <v>1580112843071844354</v>
      </c>
      <c r="B459" t="s">
        <v>15</v>
      </c>
      <c r="C459" s="2">
        <v>44846.352233796293</v>
      </c>
      <c r="D459">
        <v>6</v>
      </c>
      <c r="E459">
        <v>2</v>
      </c>
      <c r="G459" t="s">
        <v>541</v>
      </c>
      <c r="H459" t="str">
        <f>HYPERLINK("http://pbs.twimg.com/media/Fe2wP3XXoAEKRSE.jpg", "http://pbs.twimg.com/media/Fe2wP3XXoAEKRSE.jpg")</f>
        <v>http://pbs.twimg.com/media/Fe2wP3XXoAEKRSE.jpg</v>
      </c>
      <c r="L459">
        <v>0</v>
      </c>
      <c r="M459">
        <v>0</v>
      </c>
      <c r="N459">
        <v>1</v>
      </c>
      <c r="O459">
        <v>0</v>
      </c>
    </row>
    <row r="460" spans="1:15" x14ac:dyDescent="0.2">
      <c r="A460" s="1" t="str">
        <f>HYPERLINK("http://www.twitter.com/banuakdenizli/status/1580111460629303296", "1580111460629303296")</f>
        <v>1580111460629303296</v>
      </c>
      <c r="B460" t="s">
        <v>15</v>
      </c>
      <c r="C460" s="2">
        <v>44846.348414351851</v>
      </c>
      <c r="D460">
        <v>8</v>
      </c>
      <c r="E460">
        <v>4</v>
      </c>
      <c r="G460" t="s">
        <v>542</v>
      </c>
      <c r="H460" t="str">
        <f>HYPERLINK("http://pbs.twimg.com/media/Fe2u-faXEAEWuxt.jpg", "http://pbs.twimg.com/media/Fe2u-faXEAEWuxt.jpg")</f>
        <v>http://pbs.twimg.com/media/Fe2u-faXEAEWuxt.jpg</v>
      </c>
      <c r="I460" t="str">
        <f>HYPERLINK("http://pbs.twimg.com/media/Fe2u_VdWIAAXGUN.jpg", "http://pbs.twimg.com/media/Fe2u_VdWIAAXGUN.jpg")</f>
        <v>http://pbs.twimg.com/media/Fe2u_VdWIAAXGUN.jpg</v>
      </c>
      <c r="L460">
        <v>0.31819999999999998</v>
      </c>
      <c r="M460">
        <v>0</v>
      </c>
      <c r="N460">
        <v>0.874</v>
      </c>
      <c r="O460">
        <v>0.126</v>
      </c>
    </row>
    <row r="461" spans="1:15" x14ac:dyDescent="0.2">
      <c r="A461" s="1" t="str">
        <f>HYPERLINK("http://www.twitter.com/banuakdenizli/status/1580111019564994560", "1580111019564994560")</f>
        <v>1580111019564994560</v>
      </c>
      <c r="B461" t="s">
        <v>15</v>
      </c>
      <c r="C461" s="2">
        <v>44846.347199074073</v>
      </c>
      <c r="D461">
        <v>5</v>
      </c>
      <c r="E461">
        <v>2</v>
      </c>
      <c r="G461" t="s">
        <v>543</v>
      </c>
      <c r="H461" t="str">
        <f>HYPERLINK("http://pbs.twimg.com/media/Fe2ujuAXwAANF6L.jpg", "http://pbs.twimg.com/media/Fe2ujuAXwAANF6L.jpg")</f>
        <v>http://pbs.twimg.com/media/Fe2ujuAXwAANF6L.jpg</v>
      </c>
      <c r="I461" t="str">
        <f>HYPERLINK("http://pbs.twimg.com/media/Fe2uklSWQAAsRqQ.jpg", "http://pbs.twimg.com/media/Fe2uklSWQAAsRqQ.jpg")</f>
        <v>http://pbs.twimg.com/media/Fe2uklSWQAAsRqQ.jpg</v>
      </c>
      <c r="J461" t="str">
        <f>HYPERLINK("http://pbs.twimg.com/media/Fe2ulqnWAAEtUIb.jpg", "http://pbs.twimg.com/media/Fe2ulqnWAAEtUIb.jpg")</f>
        <v>http://pbs.twimg.com/media/Fe2ulqnWAAEtUIb.jpg</v>
      </c>
      <c r="L461">
        <v>0</v>
      </c>
      <c r="M461">
        <v>0</v>
      </c>
      <c r="N461">
        <v>1</v>
      </c>
      <c r="O461">
        <v>0</v>
      </c>
    </row>
    <row r="462" spans="1:15" x14ac:dyDescent="0.2">
      <c r="A462" s="1" t="str">
        <f>HYPERLINK("http://www.twitter.com/banuakdenizli/status/1580053209863061504", "1580053209863061504")</f>
        <v>1580053209863061504</v>
      </c>
      <c r="B462" t="s">
        <v>15</v>
      </c>
      <c r="C462" s="2">
        <v>44846.187673611108</v>
      </c>
      <c r="D462">
        <v>0</v>
      </c>
      <c r="E462">
        <v>189</v>
      </c>
      <c r="F462" t="s">
        <v>32</v>
      </c>
      <c r="G462" t="s">
        <v>544</v>
      </c>
      <c r="L462">
        <v>0</v>
      </c>
      <c r="M462">
        <v>0</v>
      </c>
      <c r="N462">
        <v>1</v>
      </c>
      <c r="O462">
        <v>0</v>
      </c>
    </row>
    <row r="463" spans="1:15" x14ac:dyDescent="0.2">
      <c r="A463" s="1" t="str">
        <f>HYPERLINK("http://www.twitter.com/banuakdenizli/status/1580053182947811329", "1580053182947811329")</f>
        <v>1580053182947811329</v>
      </c>
      <c r="B463" t="s">
        <v>15</v>
      </c>
      <c r="C463" s="2">
        <v>44846.187604166669</v>
      </c>
      <c r="D463">
        <v>0</v>
      </c>
      <c r="E463">
        <v>16</v>
      </c>
      <c r="F463" t="s">
        <v>23</v>
      </c>
      <c r="G463" t="s">
        <v>545</v>
      </c>
      <c r="H463" t="str">
        <f>HYPERLINK("http://pbs.twimg.com/media/FeuiIO5XoAEvfKa.jpg", "http://pbs.twimg.com/media/FeuiIO5XoAEvfKa.jpg")</f>
        <v>http://pbs.twimg.com/media/FeuiIO5XoAEvfKa.jpg</v>
      </c>
      <c r="L463">
        <v>0</v>
      </c>
      <c r="M463">
        <v>0</v>
      </c>
      <c r="N463">
        <v>1</v>
      </c>
      <c r="O463">
        <v>0</v>
      </c>
    </row>
    <row r="464" spans="1:15" x14ac:dyDescent="0.2">
      <c r="A464" s="1" t="str">
        <f>HYPERLINK("http://www.twitter.com/banuakdenizli/status/1580052931851665409", "1580052931851665409")</f>
        <v>1580052931851665409</v>
      </c>
      <c r="B464" t="s">
        <v>15</v>
      </c>
      <c r="C464" s="2">
        <v>44846.186909722222</v>
      </c>
      <c r="D464">
        <v>0</v>
      </c>
      <c r="E464">
        <v>62</v>
      </c>
      <c r="F464" t="s">
        <v>24</v>
      </c>
      <c r="G464" t="s">
        <v>546</v>
      </c>
      <c r="H464" t="str">
        <f>HYPERLINK("https://video.twimg.com/amplify_video/1579904182538145811/vid/720x1280/H1L-EE0okSVj0vat.mp4?tag=14", "https://video.twimg.com/amplify_video/1579904182538145811/vid/720x1280/H1L-EE0okSVj0vat.mp4?tag=14")</f>
        <v>https://video.twimg.com/amplify_video/1579904182538145811/vid/720x1280/H1L-EE0okSVj0vat.mp4?tag=14</v>
      </c>
      <c r="L464">
        <v>0</v>
      </c>
      <c r="M464">
        <v>0</v>
      </c>
      <c r="N464">
        <v>1</v>
      </c>
      <c r="O464">
        <v>0</v>
      </c>
    </row>
    <row r="465" spans="1:15" x14ac:dyDescent="0.2">
      <c r="A465" s="1" t="str">
        <f>HYPERLINK("http://www.twitter.com/banuakdenizli/status/1579863388087537665", "1579863388087537665")</f>
        <v>1579863388087537665</v>
      </c>
      <c r="B465" t="s">
        <v>15</v>
      </c>
      <c r="C465" s="2">
        <v>44845.663865740738</v>
      </c>
      <c r="D465">
        <v>0</v>
      </c>
      <c r="E465">
        <v>8</v>
      </c>
      <c r="F465" t="s">
        <v>24</v>
      </c>
      <c r="G465" t="s">
        <v>547</v>
      </c>
      <c r="H465" t="str">
        <f>HYPERLINK("http://pbs.twimg.com/media/FezCBlGXkAIgd1l.jpg", "http://pbs.twimg.com/media/FezCBlGXkAIgd1l.jpg")</f>
        <v>http://pbs.twimg.com/media/FezCBlGXkAIgd1l.jpg</v>
      </c>
      <c r="L465">
        <v>0.126</v>
      </c>
      <c r="M465">
        <v>0</v>
      </c>
      <c r="N465">
        <v>0.94599999999999995</v>
      </c>
      <c r="O465">
        <v>5.3999999999999999E-2</v>
      </c>
    </row>
    <row r="466" spans="1:15" x14ac:dyDescent="0.2">
      <c r="A466" s="1" t="str">
        <f>HYPERLINK("http://www.twitter.com/banuakdenizli/status/1579825177265049600", "1579825177265049600")</f>
        <v>1579825177265049600</v>
      </c>
      <c r="B466" t="s">
        <v>15</v>
      </c>
      <c r="C466" s="2">
        <v>44845.558425925927</v>
      </c>
      <c r="D466">
        <v>0</v>
      </c>
      <c r="E466">
        <v>1</v>
      </c>
      <c r="F466" t="s">
        <v>312</v>
      </c>
      <c r="G466" t="s">
        <v>548</v>
      </c>
      <c r="H466" t="str">
        <f>HYPERLINK("http://pbs.twimg.com/media/Feyo74EWQAExnUh.jpg", "http://pbs.twimg.com/media/Feyo74EWQAExnUh.jpg")</f>
        <v>http://pbs.twimg.com/media/Feyo74EWQAExnUh.jpg</v>
      </c>
      <c r="I466" t="str">
        <f>HYPERLINK("http://pbs.twimg.com/media/Feyo74OWAAAWqpQ.jpg", "http://pbs.twimg.com/media/Feyo74OWAAAWqpQ.jpg")</f>
        <v>http://pbs.twimg.com/media/Feyo74OWAAAWqpQ.jpg</v>
      </c>
      <c r="J466" t="str">
        <f>HYPERLINK("http://pbs.twimg.com/media/Feyo74KWIAIGwKI.jpg", "http://pbs.twimg.com/media/Feyo74KWIAIGwKI.jpg")</f>
        <v>http://pbs.twimg.com/media/Feyo74KWIAIGwKI.jpg</v>
      </c>
      <c r="K466" t="str">
        <f>HYPERLINK("http://pbs.twimg.com/media/Feyo74OWQAI_hUN.jpg", "http://pbs.twimg.com/media/Feyo74OWQAI_hUN.jpg")</f>
        <v>http://pbs.twimg.com/media/Feyo74OWQAI_hUN.jpg</v>
      </c>
      <c r="L466">
        <v>0.77829999999999999</v>
      </c>
      <c r="M466">
        <v>0</v>
      </c>
      <c r="N466">
        <v>0.72899999999999998</v>
      </c>
      <c r="O466">
        <v>0.27100000000000002</v>
      </c>
    </row>
    <row r="467" spans="1:15" x14ac:dyDescent="0.2">
      <c r="A467" s="1" t="str">
        <f>HYPERLINK("http://www.twitter.com/banuakdenizli/status/1579824728193527809", "1579824728193527809")</f>
        <v>1579824728193527809</v>
      </c>
      <c r="B467" t="s">
        <v>15</v>
      </c>
      <c r="C467" s="2">
        <v>44845.557187500002</v>
      </c>
      <c r="D467">
        <v>8</v>
      </c>
      <c r="E467">
        <v>0</v>
      </c>
      <c r="G467" t="s">
        <v>549</v>
      </c>
      <c r="L467">
        <v>0.36120000000000002</v>
      </c>
      <c r="M467">
        <v>0</v>
      </c>
      <c r="N467">
        <v>0.84799999999999998</v>
      </c>
      <c r="O467">
        <v>0.152</v>
      </c>
    </row>
    <row r="468" spans="1:15" x14ac:dyDescent="0.2">
      <c r="A468" s="1" t="str">
        <f>HYPERLINK("http://www.twitter.com/banuakdenizli/status/1579824334142857216", "1579824334142857216")</f>
        <v>1579824334142857216</v>
      </c>
      <c r="B468" t="s">
        <v>15</v>
      </c>
      <c r="C468" s="2">
        <v>44845.55609953704</v>
      </c>
      <c r="D468">
        <v>5</v>
      </c>
      <c r="E468">
        <v>1</v>
      </c>
      <c r="G468" t="s">
        <v>550</v>
      </c>
      <c r="H468" t="str">
        <f>HYPERLINK("http://pbs.twimg.com/media/Feyp286XEAAYIOP.jpg", "http://pbs.twimg.com/media/Feyp286XEAAYIOP.jpg")</f>
        <v>http://pbs.twimg.com/media/Feyp286XEAAYIOP.jpg</v>
      </c>
      <c r="L468">
        <v>0</v>
      </c>
      <c r="M468">
        <v>0</v>
      </c>
      <c r="N468">
        <v>1</v>
      </c>
      <c r="O468">
        <v>0</v>
      </c>
    </row>
    <row r="469" spans="1:15" x14ac:dyDescent="0.2">
      <c r="A469" s="1" t="str">
        <f>HYPERLINK("http://www.twitter.com/banuakdenizli/status/1579823875613163520", "1579823875613163520")</f>
        <v>1579823875613163520</v>
      </c>
      <c r="B469" t="s">
        <v>15</v>
      </c>
      <c r="C469" s="2">
        <v>44845.554837962962</v>
      </c>
      <c r="D469">
        <v>0</v>
      </c>
      <c r="E469">
        <v>56</v>
      </c>
      <c r="F469" t="s">
        <v>47</v>
      </c>
      <c r="G469" t="s">
        <v>551</v>
      </c>
      <c r="H469" t="str">
        <f>HYPERLINK("http://pbs.twimg.com/media/FeyloIpXwAAiatI.jpg", "http://pbs.twimg.com/media/FeyloIpXwAAiatI.jpg")</f>
        <v>http://pbs.twimg.com/media/FeyloIpXwAAiatI.jpg</v>
      </c>
      <c r="L469">
        <v>0</v>
      </c>
      <c r="M469">
        <v>0</v>
      </c>
      <c r="N469">
        <v>1</v>
      </c>
      <c r="O469">
        <v>0</v>
      </c>
    </row>
    <row r="470" spans="1:15" x14ac:dyDescent="0.2">
      <c r="A470" s="1" t="str">
        <f>HYPERLINK("http://www.twitter.com/banuakdenizli/status/1579823838782971904", "1579823838782971904")</f>
        <v>1579823838782971904</v>
      </c>
      <c r="B470" t="s">
        <v>15</v>
      </c>
      <c r="C470" s="2">
        <v>44845.5547337963</v>
      </c>
      <c r="D470">
        <v>0</v>
      </c>
      <c r="E470">
        <v>9</v>
      </c>
      <c r="F470" t="s">
        <v>25</v>
      </c>
      <c r="G470" t="s">
        <v>552</v>
      </c>
      <c r="H470" t="str">
        <f>HYPERLINK("https://video.twimg.com/ext_tw_video/1579806656392724484/pu/vid/720x720/eCCEJYskz1cdz6uD.mp4?tag=12", "https://video.twimg.com/ext_tw_video/1579806656392724484/pu/vid/720x720/eCCEJYskz1cdz6uD.mp4?tag=12")</f>
        <v>https://video.twimg.com/ext_tw_video/1579806656392724484/pu/vid/720x720/eCCEJYskz1cdz6uD.mp4?tag=12</v>
      </c>
      <c r="L470">
        <v>0</v>
      </c>
      <c r="M470">
        <v>0</v>
      </c>
      <c r="N470">
        <v>1</v>
      </c>
      <c r="O470">
        <v>0</v>
      </c>
    </row>
    <row r="471" spans="1:15" x14ac:dyDescent="0.2">
      <c r="A471" s="1" t="str">
        <f>HYPERLINK("http://www.twitter.com/banuakdenizli/status/1579688646437130240", "1579688646437130240")</f>
        <v>1579688646437130240</v>
      </c>
      <c r="B471" t="s">
        <v>15</v>
      </c>
      <c r="C471" s="2">
        <v>44845.18167824074</v>
      </c>
      <c r="D471">
        <v>0</v>
      </c>
      <c r="E471">
        <v>9</v>
      </c>
      <c r="F471" t="s">
        <v>553</v>
      </c>
      <c r="G471" t="s">
        <v>554</v>
      </c>
      <c r="L471">
        <v>0</v>
      </c>
      <c r="M471">
        <v>0</v>
      </c>
      <c r="N471">
        <v>1</v>
      </c>
      <c r="O471">
        <v>0</v>
      </c>
    </row>
    <row r="472" spans="1:15" x14ac:dyDescent="0.2">
      <c r="A472" s="1" t="str">
        <f>HYPERLINK("http://www.twitter.com/banuakdenizli/status/1579688522180890625", "1579688522180890625")</f>
        <v>1579688522180890625</v>
      </c>
      <c r="B472" t="s">
        <v>15</v>
      </c>
      <c r="C472" s="2">
        <v>44845.181331018517</v>
      </c>
      <c r="D472">
        <v>0</v>
      </c>
      <c r="E472">
        <v>15</v>
      </c>
      <c r="F472" t="s">
        <v>555</v>
      </c>
      <c r="G472" t="s">
        <v>556</v>
      </c>
      <c r="H472" t="str">
        <f>HYPERLINK("http://pbs.twimg.com/media/Fevlr_gWIAM0vm5.jpg", "http://pbs.twimg.com/media/Fevlr_gWIAM0vm5.jpg")</f>
        <v>http://pbs.twimg.com/media/Fevlr_gWIAM0vm5.jpg</v>
      </c>
      <c r="L472">
        <v>0</v>
      </c>
      <c r="M472">
        <v>0</v>
      </c>
      <c r="N472">
        <v>1</v>
      </c>
      <c r="O472">
        <v>0</v>
      </c>
    </row>
    <row r="473" spans="1:15" x14ac:dyDescent="0.2">
      <c r="A473" s="1" t="str">
        <f>HYPERLINK("http://www.twitter.com/banuakdenizli/status/1579524338168238080", "1579524338168238080")</f>
        <v>1579524338168238080</v>
      </c>
      <c r="B473" t="s">
        <v>15</v>
      </c>
      <c r="C473" s="2">
        <v>44844.728275462963</v>
      </c>
      <c r="D473">
        <v>0</v>
      </c>
      <c r="E473">
        <v>2</v>
      </c>
      <c r="F473" t="s">
        <v>36</v>
      </c>
      <c r="G473" t="s">
        <v>557</v>
      </c>
      <c r="L473">
        <v>0</v>
      </c>
      <c r="M473">
        <v>0</v>
      </c>
      <c r="N473">
        <v>1</v>
      </c>
      <c r="O473">
        <v>0</v>
      </c>
    </row>
    <row r="474" spans="1:15" x14ac:dyDescent="0.2">
      <c r="A474" s="1" t="str">
        <f>HYPERLINK("http://www.twitter.com/banuakdenizli/status/1579523838777229314", "1579523838777229314")</f>
        <v>1579523838777229314</v>
      </c>
      <c r="B474" t="s">
        <v>15</v>
      </c>
      <c r="C474" s="2">
        <v>44844.726886574077</v>
      </c>
      <c r="D474">
        <v>9</v>
      </c>
      <c r="E474">
        <v>2</v>
      </c>
      <c r="G474" t="s">
        <v>558</v>
      </c>
      <c r="L474">
        <v>0</v>
      </c>
      <c r="M474">
        <v>0</v>
      </c>
      <c r="N474">
        <v>1</v>
      </c>
      <c r="O474">
        <v>0</v>
      </c>
    </row>
    <row r="475" spans="1:15" x14ac:dyDescent="0.2">
      <c r="A475" s="1" t="str">
        <f>HYPERLINK("http://www.twitter.com/banuakdenizli/status/1579480745747582978", "1579480745747582978")</f>
        <v>1579480745747582978</v>
      </c>
      <c r="B475" t="s">
        <v>15</v>
      </c>
      <c r="C475" s="2">
        <v>44844.607974537037</v>
      </c>
      <c r="D475">
        <v>10</v>
      </c>
      <c r="E475">
        <v>3</v>
      </c>
      <c r="G475" t="s">
        <v>559</v>
      </c>
      <c r="H475" t="str">
        <f>HYPERLINK("http://pbs.twimg.com/media/FetxUEKWYAs8CmL.jpg", "http://pbs.twimg.com/media/FetxUEKWYAs8CmL.jpg")</f>
        <v>http://pbs.twimg.com/media/FetxUEKWYAs8CmL.jpg</v>
      </c>
      <c r="I475" t="str">
        <f>HYPERLINK("http://pbs.twimg.com/media/FetxVLgWAAIBHrD.jpg", "http://pbs.twimg.com/media/FetxVLgWAAIBHrD.jpg")</f>
        <v>http://pbs.twimg.com/media/FetxVLgWAAIBHrD.jpg</v>
      </c>
      <c r="J475" t="str">
        <f>HYPERLINK("http://pbs.twimg.com/media/FetxWF5X0AEui8h.jpg", "http://pbs.twimg.com/media/FetxWF5X0AEui8h.jpg")</f>
        <v>http://pbs.twimg.com/media/FetxWF5X0AEui8h.jpg</v>
      </c>
      <c r="K475" t="str">
        <f>HYPERLINK("http://pbs.twimg.com/media/FetxW_oWAAAIUnf.jpg", "http://pbs.twimg.com/media/FetxW_oWAAAIUnf.jpg")</f>
        <v>http://pbs.twimg.com/media/FetxW_oWAAAIUnf.jpg</v>
      </c>
      <c r="L475">
        <v>0</v>
      </c>
      <c r="M475">
        <v>0</v>
      </c>
      <c r="N475">
        <v>1</v>
      </c>
      <c r="O475">
        <v>0</v>
      </c>
    </row>
    <row r="476" spans="1:15" x14ac:dyDescent="0.2">
      <c r="A476" s="1" t="str">
        <f>HYPERLINK("http://www.twitter.com/banuakdenizli/status/1579470301502771201", "1579470301502771201")</f>
        <v>1579470301502771201</v>
      </c>
      <c r="B476" t="s">
        <v>15</v>
      </c>
      <c r="C476" s="2">
        <v>44844.579155092593</v>
      </c>
      <c r="D476">
        <v>10</v>
      </c>
      <c r="E476">
        <v>2</v>
      </c>
      <c r="G476" t="s">
        <v>560</v>
      </c>
      <c r="H476" t="str">
        <f>HYPERLINK("http://pbs.twimg.com/media/Fetn3lrWAAMyOG8.jpg", "http://pbs.twimg.com/media/Fetn3lrWAAMyOG8.jpg")</f>
        <v>http://pbs.twimg.com/media/Fetn3lrWAAMyOG8.jpg</v>
      </c>
      <c r="L476">
        <v>0</v>
      </c>
      <c r="M476">
        <v>0</v>
      </c>
      <c r="N476">
        <v>1</v>
      </c>
      <c r="O476">
        <v>0</v>
      </c>
    </row>
    <row r="477" spans="1:15" x14ac:dyDescent="0.2">
      <c r="A477" s="1" t="str">
        <f>HYPERLINK("http://www.twitter.com/banuakdenizli/status/1579464820621180928", "1579464820621180928")</f>
        <v>1579464820621180928</v>
      </c>
      <c r="B477" t="s">
        <v>15</v>
      </c>
      <c r="C477" s="2">
        <v>44844.564027777778</v>
      </c>
      <c r="D477">
        <v>0</v>
      </c>
      <c r="E477">
        <v>17</v>
      </c>
      <c r="F477" t="s">
        <v>514</v>
      </c>
      <c r="G477" t="s">
        <v>561</v>
      </c>
      <c r="H477" t="str">
        <f>HYPERLINK("http://pbs.twimg.com/media/FejvuV-XkAIIrhb.jpg", "http://pbs.twimg.com/media/FejvuV-XkAIIrhb.jpg")</f>
        <v>http://pbs.twimg.com/media/FejvuV-XkAIIrhb.jpg</v>
      </c>
      <c r="L477">
        <v>0</v>
      </c>
      <c r="M477">
        <v>0</v>
      </c>
      <c r="N477">
        <v>1</v>
      </c>
      <c r="O477">
        <v>0</v>
      </c>
    </row>
    <row r="478" spans="1:15" x14ac:dyDescent="0.2">
      <c r="A478" s="1" t="str">
        <f>HYPERLINK("http://www.twitter.com/banuakdenizli/status/1579464684520243200", "1579464684520243200")</f>
        <v>1579464684520243200</v>
      </c>
      <c r="B478" t="s">
        <v>15</v>
      </c>
      <c r="C478" s="2">
        <v>44844.563657407409</v>
      </c>
      <c r="D478">
        <v>0</v>
      </c>
      <c r="E478">
        <v>460</v>
      </c>
      <c r="F478" t="s">
        <v>22</v>
      </c>
      <c r="G478" t="s">
        <v>562</v>
      </c>
      <c r="H478" t="str">
        <f>HYPERLINK("https://video.twimg.com/amplify_video/1579432264114528258/vid/720x720/VewQgfIL6aWGVsmh.mp4?tag=14", "https://video.twimg.com/amplify_video/1579432264114528258/vid/720x720/VewQgfIL6aWGVsmh.mp4?tag=14")</f>
        <v>https://video.twimg.com/amplify_video/1579432264114528258/vid/720x720/VewQgfIL6aWGVsmh.mp4?tag=14</v>
      </c>
      <c r="L478">
        <v>0</v>
      </c>
      <c r="M478">
        <v>0</v>
      </c>
      <c r="N478">
        <v>1</v>
      </c>
      <c r="O478">
        <v>0</v>
      </c>
    </row>
    <row r="479" spans="1:15" x14ac:dyDescent="0.2">
      <c r="A479" s="1" t="str">
        <f>HYPERLINK("http://www.twitter.com/banuakdenizli/status/1579403013839802368", "1579403013839802368")</f>
        <v>1579403013839802368</v>
      </c>
      <c r="B479" t="s">
        <v>15</v>
      </c>
      <c r="C479" s="2">
        <v>44844.393483796302</v>
      </c>
      <c r="D479">
        <v>3</v>
      </c>
      <c r="E479">
        <v>1</v>
      </c>
      <c r="G479" t="s">
        <v>563</v>
      </c>
      <c r="L479">
        <v>0</v>
      </c>
      <c r="M479">
        <v>0</v>
      </c>
      <c r="N479">
        <v>1</v>
      </c>
      <c r="O479">
        <v>0</v>
      </c>
    </row>
    <row r="480" spans="1:15" x14ac:dyDescent="0.2">
      <c r="A480" s="1" t="str">
        <f>HYPERLINK("http://www.twitter.com/banuakdenizli/status/1579335468696875008", "1579335468696875008")</f>
        <v>1579335468696875008</v>
      </c>
      <c r="B480" t="s">
        <v>15</v>
      </c>
      <c r="C480" s="2">
        <v>44844.207094907397</v>
      </c>
      <c r="D480">
        <v>4</v>
      </c>
      <c r="E480">
        <v>1</v>
      </c>
      <c r="G480" t="s">
        <v>564</v>
      </c>
      <c r="L480">
        <v>0</v>
      </c>
      <c r="M480">
        <v>0</v>
      </c>
      <c r="N480">
        <v>1</v>
      </c>
      <c r="O480">
        <v>0</v>
      </c>
    </row>
    <row r="481" spans="1:15" x14ac:dyDescent="0.2">
      <c r="A481" s="1" t="str">
        <f>HYPERLINK("http://www.twitter.com/banuakdenizli/status/1579175524957835266", "1579175524957835266")</f>
        <v>1579175524957835266</v>
      </c>
      <c r="B481" t="s">
        <v>15</v>
      </c>
      <c r="C481" s="2">
        <v>44843.765729166669</v>
      </c>
      <c r="D481">
        <v>4</v>
      </c>
      <c r="E481">
        <v>0</v>
      </c>
      <c r="G481" t="s">
        <v>565</v>
      </c>
      <c r="H481" t="str">
        <f>HYPERLINK("http://pbs.twimg.com/media/FepbxReWQAAjSmr.jpg", "http://pbs.twimg.com/media/FepbxReWQAAjSmr.jpg")</f>
        <v>http://pbs.twimg.com/media/FepbxReWQAAjSmr.jpg</v>
      </c>
      <c r="L481">
        <v>0</v>
      </c>
      <c r="M481">
        <v>0</v>
      </c>
      <c r="N481">
        <v>1</v>
      </c>
      <c r="O481">
        <v>0</v>
      </c>
    </row>
    <row r="482" spans="1:15" x14ac:dyDescent="0.2">
      <c r="A482" s="1" t="str">
        <f>HYPERLINK("http://www.twitter.com/banuakdenizli/status/1579165527511269376", "1579165527511269376")</f>
        <v>1579165527511269376</v>
      </c>
      <c r="B482" t="s">
        <v>15</v>
      </c>
      <c r="C482" s="2">
        <v>44843.738136574073</v>
      </c>
      <c r="D482">
        <v>1</v>
      </c>
      <c r="E482">
        <v>1</v>
      </c>
      <c r="G482" t="s">
        <v>566</v>
      </c>
      <c r="L482">
        <v>0</v>
      </c>
      <c r="M482">
        <v>0</v>
      </c>
      <c r="N482">
        <v>1</v>
      </c>
      <c r="O482">
        <v>0</v>
      </c>
    </row>
    <row r="483" spans="1:15" x14ac:dyDescent="0.2">
      <c r="A483" s="1" t="str">
        <f>HYPERLINK("http://www.twitter.com/banuakdenizli/status/1578799651561811970", "1578799651561811970")</f>
        <v>1578799651561811970</v>
      </c>
      <c r="B483" t="s">
        <v>15</v>
      </c>
      <c r="C483" s="2">
        <v>44842.728518518517</v>
      </c>
      <c r="D483">
        <v>2</v>
      </c>
      <c r="E483">
        <v>0</v>
      </c>
      <c r="G483" t="s">
        <v>567</v>
      </c>
      <c r="L483">
        <v>0</v>
      </c>
      <c r="M483">
        <v>0</v>
      </c>
      <c r="N483">
        <v>1</v>
      </c>
      <c r="O483">
        <v>0</v>
      </c>
    </row>
    <row r="484" spans="1:15" x14ac:dyDescent="0.2">
      <c r="A484" s="1" t="str">
        <f>HYPERLINK("http://www.twitter.com/banuakdenizli/status/1578636503474786304", "1578636503474786304")</f>
        <v>1578636503474786304</v>
      </c>
      <c r="B484" t="s">
        <v>15</v>
      </c>
      <c r="C484" s="2">
        <v>44842.278310185182</v>
      </c>
      <c r="D484">
        <v>0</v>
      </c>
      <c r="E484">
        <v>104</v>
      </c>
      <c r="F484" t="s">
        <v>16</v>
      </c>
      <c r="G484" t="s">
        <v>568</v>
      </c>
      <c r="H484" t="str">
        <f>HYPERLINK("http://pbs.twimg.com/media/FegSYU0WQAE4iSD.jpg", "http://pbs.twimg.com/media/FegSYU0WQAE4iSD.jpg")</f>
        <v>http://pbs.twimg.com/media/FegSYU0WQAE4iSD.jpg</v>
      </c>
      <c r="L484">
        <v>0</v>
      </c>
      <c r="M484">
        <v>0</v>
      </c>
      <c r="N484">
        <v>1</v>
      </c>
      <c r="O484">
        <v>0</v>
      </c>
    </row>
    <row r="485" spans="1:15" x14ac:dyDescent="0.2">
      <c r="A485" s="1" t="str">
        <f>HYPERLINK("http://www.twitter.com/banuakdenizli/status/1578455595241205761", "1578455595241205761")</f>
        <v>1578455595241205761</v>
      </c>
      <c r="B485" t="s">
        <v>15</v>
      </c>
      <c r="C485" s="2">
        <v>44841.779097222221</v>
      </c>
      <c r="D485">
        <v>0</v>
      </c>
      <c r="E485">
        <v>111</v>
      </c>
      <c r="F485" t="s">
        <v>23</v>
      </c>
      <c r="G485" t="s">
        <v>569</v>
      </c>
      <c r="H485" t="str">
        <f>HYPERLINK("http://pbs.twimg.com/media/FefMK-5XgBctBRi.jpg", "http://pbs.twimg.com/media/FefMK-5XgBctBRi.jpg")</f>
        <v>http://pbs.twimg.com/media/FefMK-5XgBctBRi.jpg</v>
      </c>
      <c r="L485">
        <v>0</v>
      </c>
      <c r="M485">
        <v>0</v>
      </c>
      <c r="N485">
        <v>1</v>
      </c>
      <c r="O485">
        <v>0</v>
      </c>
    </row>
    <row r="486" spans="1:15" x14ac:dyDescent="0.2">
      <c r="A486" s="1" t="str">
        <f>HYPERLINK("http://www.twitter.com/banuakdenizli/status/1578408030063976449", "1578408030063976449")</f>
        <v>1578408030063976449</v>
      </c>
      <c r="B486" t="s">
        <v>15</v>
      </c>
      <c r="C486" s="2">
        <v>44841.647847222222</v>
      </c>
      <c r="D486">
        <v>0</v>
      </c>
      <c r="E486">
        <v>9</v>
      </c>
      <c r="F486" t="s">
        <v>24</v>
      </c>
      <c r="G486" t="s">
        <v>570</v>
      </c>
      <c r="H486" t="str">
        <f>HYPERLINK("http://pbs.twimg.com/media/FeaZUTvWAAALzmF.jpg", "http://pbs.twimg.com/media/FeaZUTvWAAALzmF.jpg")</f>
        <v>http://pbs.twimg.com/media/FeaZUTvWAAALzmF.jpg</v>
      </c>
      <c r="I486" t="str">
        <f>HYPERLINK("http://pbs.twimg.com/media/FeaZViQXgA4YMl9.jpg", "http://pbs.twimg.com/media/FeaZViQXgA4YMl9.jpg")</f>
        <v>http://pbs.twimg.com/media/FeaZViQXgA4YMl9.jpg</v>
      </c>
      <c r="J486" t="str">
        <f>HYPERLINK("http://pbs.twimg.com/media/FeaZW1aXgAsibp3.jpg", "http://pbs.twimg.com/media/FeaZW1aXgAsibp3.jpg")</f>
        <v>http://pbs.twimg.com/media/FeaZW1aXgAsibp3.jpg</v>
      </c>
      <c r="L486">
        <v>0</v>
      </c>
      <c r="M486">
        <v>0</v>
      </c>
      <c r="N486">
        <v>1</v>
      </c>
      <c r="O486">
        <v>0</v>
      </c>
    </row>
    <row r="487" spans="1:15" x14ac:dyDescent="0.2">
      <c r="A487" s="1" t="str">
        <f>HYPERLINK("http://www.twitter.com/banuakdenizli/status/1578407946857291776", "1578407946857291776")</f>
        <v>1578407946857291776</v>
      </c>
      <c r="B487" t="s">
        <v>15</v>
      </c>
      <c r="C487" s="2">
        <v>44841.647615740738</v>
      </c>
      <c r="D487">
        <v>0</v>
      </c>
      <c r="E487">
        <v>5944</v>
      </c>
      <c r="F487" t="s">
        <v>22</v>
      </c>
      <c r="G487" t="s">
        <v>571</v>
      </c>
      <c r="H487" t="str">
        <f>HYPERLINK("http://pbs.twimg.com/media/FeeMZsgX0AE6vck.jpg", "http://pbs.twimg.com/media/FeeMZsgX0AE6vck.jpg")</f>
        <v>http://pbs.twimg.com/media/FeeMZsgX0AE6vck.jpg</v>
      </c>
      <c r="L487">
        <v>0</v>
      </c>
      <c r="M487">
        <v>0</v>
      </c>
      <c r="N487">
        <v>1</v>
      </c>
      <c r="O487">
        <v>0</v>
      </c>
    </row>
    <row r="488" spans="1:15" x14ac:dyDescent="0.2">
      <c r="A488" s="1" t="str">
        <f>HYPERLINK("http://www.twitter.com/banuakdenizli/status/1578264762512994304", "1578264762512994304")</f>
        <v>1578264762512994304</v>
      </c>
      <c r="B488" t="s">
        <v>15</v>
      </c>
      <c r="C488" s="2">
        <v>44841.252500000002</v>
      </c>
      <c r="D488">
        <v>1</v>
      </c>
      <c r="E488">
        <v>0</v>
      </c>
      <c r="G488" t="s">
        <v>572</v>
      </c>
      <c r="H488" t="str">
        <f>HYPERLINK("http://pbs.twimg.com/media/Fecfb9jWQAASG9s.jpg", "http://pbs.twimg.com/media/Fecfb9jWQAASG9s.jpg")</f>
        <v>http://pbs.twimg.com/media/Fecfb9jWQAASG9s.jpg</v>
      </c>
      <c r="L488">
        <v>0</v>
      </c>
      <c r="M488">
        <v>0</v>
      </c>
      <c r="N488">
        <v>1</v>
      </c>
      <c r="O488">
        <v>0</v>
      </c>
    </row>
    <row r="489" spans="1:15" x14ac:dyDescent="0.2">
      <c r="A489" s="1" t="str">
        <f>HYPERLINK("http://www.twitter.com/banuakdenizli/status/1578263484626014208", "1578263484626014208")</f>
        <v>1578263484626014208</v>
      </c>
      <c r="B489" t="s">
        <v>15</v>
      </c>
      <c r="C489" s="2">
        <v>44841.248981481483</v>
      </c>
      <c r="D489">
        <v>0</v>
      </c>
      <c r="E489">
        <v>324</v>
      </c>
      <c r="F489" t="s">
        <v>29</v>
      </c>
      <c r="G489" t="s">
        <v>573</v>
      </c>
      <c r="H489" t="str">
        <f>HYPERLINK("https://video.twimg.com/ext_tw_video/1578050718539436032/pu/vid/640x640/k-FbZXKSrIWrGPOF.mp4?tag=12", "https://video.twimg.com/ext_tw_video/1578050718539436032/pu/vid/640x640/k-FbZXKSrIWrGPOF.mp4?tag=12")</f>
        <v>https://video.twimg.com/ext_tw_video/1578050718539436032/pu/vid/640x640/k-FbZXKSrIWrGPOF.mp4?tag=12</v>
      </c>
      <c r="L489">
        <v>0</v>
      </c>
      <c r="M489">
        <v>0</v>
      </c>
      <c r="N489">
        <v>1</v>
      </c>
      <c r="O489">
        <v>0</v>
      </c>
    </row>
    <row r="490" spans="1:15" x14ac:dyDescent="0.2">
      <c r="A490" s="1" t="str">
        <f>HYPERLINK("http://www.twitter.com/banuakdenizli/status/1578250625111949315", "1578250625111949315")</f>
        <v>1578250625111949315</v>
      </c>
      <c r="B490" t="s">
        <v>15</v>
      </c>
      <c r="C490" s="2">
        <v>44841.213495370372</v>
      </c>
      <c r="D490">
        <v>0</v>
      </c>
      <c r="E490">
        <v>85</v>
      </c>
      <c r="F490" t="s">
        <v>28</v>
      </c>
      <c r="G490" t="s">
        <v>574</v>
      </c>
      <c r="H490" t="str">
        <f>HYPERLINK("http://pbs.twimg.com/media/FebZE1QX0AEKcfC.jpg", "http://pbs.twimg.com/media/FebZE1QX0AEKcfC.jpg")</f>
        <v>http://pbs.twimg.com/media/FebZE1QX0AEKcfC.jpg</v>
      </c>
      <c r="I490" t="str">
        <f>HYPERLINK("http://pbs.twimg.com/media/FebZE1QX0AIQsCE.jpg", "http://pbs.twimg.com/media/FebZE1QX0AIQsCE.jpg")</f>
        <v>http://pbs.twimg.com/media/FebZE1QX0AIQsCE.jpg</v>
      </c>
      <c r="L490">
        <v>-0.47239999999999999</v>
      </c>
      <c r="M490">
        <v>0.13300000000000001</v>
      </c>
      <c r="N490">
        <v>0.86699999999999999</v>
      </c>
      <c r="O490">
        <v>0</v>
      </c>
    </row>
    <row r="491" spans="1:15" x14ac:dyDescent="0.2">
      <c r="A491" s="1" t="str">
        <f>HYPERLINK("http://www.twitter.com/banuakdenizli/status/1578250316990103552", "1578250316990103552")</f>
        <v>1578250316990103552</v>
      </c>
      <c r="B491" t="s">
        <v>15</v>
      </c>
      <c r="C491" s="2">
        <v>44841.212638888886</v>
      </c>
      <c r="D491">
        <v>0</v>
      </c>
      <c r="E491">
        <v>375</v>
      </c>
      <c r="F491" t="s">
        <v>575</v>
      </c>
      <c r="G491" t="s">
        <v>576</v>
      </c>
      <c r="H491" t="str">
        <f>HYPERLINK("http://pbs.twimg.com/media/FeaY2d3XgAIR4mQ.png", "http://pbs.twimg.com/media/FeaY2d3XgAIR4mQ.png")</f>
        <v>http://pbs.twimg.com/media/FeaY2d3XgAIR4mQ.png</v>
      </c>
      <c r="I491" t="str">
        <f>HYPERLINK("http://pbs.twimg.com/media/FeaY3rHXgAQA0OM.png", "http://pbs.twimg.com/media/FeaY3rHXgAQA0OM.png")</f>
        <v>http://pbs.twimg.com/media/FeaY3rHXgAQA0OM.png</v>
      </c>
      <c r="J491" t="str">
        <f>HYPERLINK("http://pbs.twimg.com/media/FeaZb7yXgAUDxUR.png", "http://pbs.twimg.com/media/FeaZb7yXgAUDxUR.png")</f>
        <v>http://pbs.twimg.com/media/FeaZb7yXgAUDxUR.png</v>
      </c>
      <c r="K491" t="str">
        <f>HYPERLINK("http://pbs.twimg.com/media/FeaZ6ClWYAUBL95.png", "http://pbs.twimg.com/media/FeaZ6ClWYAUBL95.png")</f>
        <v>http://pbs.twimg.com/media/FeaZ6ClWYAUBL95.png</v>
      </c>
      <c r="L491">
        <v>0</v>
      </c>
      <c r="M491">
        <v>0</v>
      </c>
      <c r="N491">
        <v>1</v>
      </c>
      <c r="O491">
        <v>0</v>
      </c>
    </row>
    <row r="492" spans="1:15" x14ac:dyDescent="0.2">
      <c r="A492" s="1" t="str">
        <f>HYPERLINK("http://www.twitter.com/banuakdenizli/status/1578245557062991872", "1578245557062991872")</f>
        <v>1578245557062991872</v>
      </c>
      <c r="B492" t="s">
        <v>15</v>
      </c>
      <c r="C492" s="2">
        <v>44841.199502314812</v>
      </c>
      <c r="D492">
        <v>0</v>
      </c>
      <c r="E492">
        <v>195</v>
      </c>
      <c r="F492" t="s">
        <v>24</v>
      </c>
      <c r="G492" t="s">
        <v>577</v>
      </c>
      <c r="H492" t="str">
        <f>HYPERLINK("http://pbs.twimg.com/media/FeaBh8EWABoWSMr.jpg", "http://pbs.twimg.com/media/FeaBh8EWABoWSMr.jpg")</f>
        <v>http://pbs.twimg.com/media/FeaBh8EWABoWSMr.jpg</v>
      </c>
      <c r="L492">
        <v>0</v>
      </c>
      <c r="M492">
        <v>0</v>
      </c>
      <c r="N492">
        <v>1</v>
      </c>
      <c r="O492">
        <v>0</v>
      </c>
    </row>
    <row r="493" spans="1:15" x14ac:dyDescent="0.2">
      <c r="A493" s="1" t="str">
        <f>HYPERLINK("http://www.twitter.com/banuakdenizli/status/1578245355572903937", "1578245355572903937")</f>
        <v>1578245355572903937</v>
      </c>
      <c r="B493" t="s">
        <v>15</v>
      </c>
      <c r="C493" s="2">
        <v>44841.198946759258</v>
      </c>
      <c r="D493">
        <v>0</v>
      </c>
      <c r="E493">
        <v>156</v>
      </c>
      <c r="F493" t="s">
        <v>19</v>
      </c>
      <c r="G493" t="s">
        <v>578</v>
      </c>
      <c r="H493" t="str">
        <f>HYPERLINK("https://video.twimg.com/ext_tw_video/1578160367099727873/pu/vid/720x1088/wm84gLM595__cpD8.mp4?tag=12", "https://video.twimg.com/ext_tw_video/1578160367099727873/pu/vid/720x1088/wm84gLM595__cpD8.mp4?tag=12")</f>
        <v>https://video.twimg.com/ext_tw_video/1578160367099727873/pu/vid/720x1088/wm84gLM595__cpD8.mp4?tag=12</v>
      </c>
      <c r="L493">
        <v>0</v>
      </c>
      <c r="M493">
        <v>0</v>
      </c>
      <c r="N493">
        <v>1</v>
      </c>
      <c r="O493">
        <v>0</v>
      </c>
    </row>
    <row r="494" spans="1:15" x14ac:dyDescent="0.2">
      <c r="A494" s="1" t="str">
        <f>HYPERLINK("http://www.twitter.com/banuakdenizli/status/1578245325684359169", "1578245325684359169")</f>
        <v>1578245325684359169</v>
      </c>
      <c r="B494" t="s">
        <v>15</v>
      </c>
      <c r="C494" s="2">
        <v>44841.198865740742</v>
      </c>
      <c r="D494">
        <v>0</v>
      </c>
      <c r="E494">
        <v>2</v>
      </c>
      <c r="F494" t="s">
        <v>579</v>
      </c>
      <c r="G494" t="s">
        <v>580</v>
      </c>
      <c r="H494" t="str">
        <f>HYPERLINK("https://video.twimg.com/ext_tw_video/1578135948264673283/pu/vid/720x720/DniyMdZ6ILic4Gal.mp4?tag=12", "https://video.twimg.com/ext_tw_video/1578135948264673283/pu/vid/720x720/DniyMdZ6ILic4Gal.mp4?tag=12")</f>
        <v>https://video.twimg.com/ext_tw_video/1578135948264673283/pu/vid/720x720/DniyMdZ6ILic4Gal.mp4?tag=12</v>
      </c>
      <c r="L494">
        <v>0</v>
      </c>
      <c r="M494">
        <v>0</v>
      </c>
      <c r="N494">
        <v>1</v>
      </c>
      <c r="O494">
        <v>0</v>
      </c>
    </row>
    <row r="495" spans="1:15" x14ac:dyDescent="0.2">
      <c r="A495" s="1" t="str">
        <f>HYPERLINK("http://www.twitter.com/banuakdenizli/status/1578063079144833024", "1578063079144833024")</f>
        <v>1578063079144833024</v>
      </c>
      <c r="B495" t="s">
        <v>15</v>
      </c>
      <c r="C495" s="2">
        <v>44840.695960648147</v>
      </c>
      <c r="D495">
        <v>0</v>
      </c>
      <c r="E495">
        <v>6</v>
      </c>
      <c r="F495" t="s">
        <v>192</v>
      </c>
      <c r="G495" t="s">
        <v>581</v>
      </c>
      <c r="H495" t="str">
        <f>HYPERLINK("http://pbs.twimg.com/media/FeZPL8QaAAMOOHm.jpg", "http://pbs.twimg.com/media/FeZPL8QaAAMOOHm.jpg")</f>
        <v>http://pbs.twimg.com/media/FeZPL8QaAAMOOHm.jpg</v>
      </c>
      <c r="L495">
        <v>0</v>
      </c>
      <c r="M495">
        <v>0</v>
      </c>
      <c r="N495">
        <v>1</v>
      </c>
      <c r="O495">
        <v>0</v>
      </c>
    </row>
    <row r="496" spans="1:15" x14ac:dyDescent="0.2">
      <c r="A496" s="1" t="str">
        <f>HYPERLINK("http://www.twitter.com/banuakdenizli/status/1578062804015276035", "1578062804015276035")</f>
        <v>1578062804015276035</v>
      </c>
      <c r="B496" t="s">
        <v>15</v>
      </c>
      <c r="C496" s="2">
        <v>44840.695208333331</v>
      </c>
      <c r="D496">
        <v>8</v>
      </c>
      <c r="E496">
        <v>2</v>
      </c>
      <c r="G496" t="s">
        <v>582</v>
      </c>
      <c r="H496" t="str">
        <f>HYPERLINK("http://pbs.twimg.com/media/FeZnweCXoAI0dLh.jpg", "http://pbs.twimg.com/media/FeZnweCXoAI0dLh.jpg")</f>
        <v>http://pbs.twimg.com/media/FeZnweCXoAI0dLh.jpg</v>
      </c>
      <c r="L496">
        <v>0</v>
      </c>
      <c r="M496">
        <v>0</v>
      </c>
      <c r="N496">
        <v>1</v>
      </c>
      <c r="O496">
        <v>0</v>
      </c>
    </row>
    <row r="497" spans="1:15" x14ac:dyDescent="0.2">
      <c r="A497" s="1" t="str">
        <f>HYPERLINK("http://www.twitter.com/banuakdenizli/status/1578059684921151491", "1578059684921151491")</f>
        <v>1578059684921151491</v>
      </c>
      <c r="B497" t="s">
        <v>15</v>
      </c>
      <c r="C497" s="2">
        <v>44840.686597222222</v>
      </c>
      <c r="D497">
        <v>0</v>
      </c>
      <c r="E497">
        <v>60</v>
      </c>
      <c r="F497" t="s">
        <v>22</v>
      </c>
      <c r="G497" t="s">
        <v>583</v>
      </c>
      <c r="H497" t="str">
        <f>HYPERLINK("http://pbs.twimg.com/media/FeZMcKLaYAERk1x.jpg", "http://pbs.twimg.com/media/FeZMcKLaYAERk1x.jpg")</f>
        <v>http://pbs.twimg.com/media/FeZMcKLaYAERk1x.jpg</v>
      </c>
      <c r="I497" t="str">
        <f>HYPERLINK("http://pbs.twimg.com/media/FeZMcKOaAAAPyBK.jpg", "http://pbs.twimg.com/media/FeZMcKOaAAAPyBK.jpg")</f>
        <v>http://pbs.twimg.com/media/FeZMcKOaAAAPyBK.jpg</v>
      </c>
      <c r="L497">
        <v>0</v>
      </c>
      <c r="M497">
        <v>0</v>
      </c>
      <c r="N497">
        <v>1</v>
      </c>
      <c r="O497">
        <v>0</v>
      </c>
    </row>
    <row r="498" spans="1:15" x14ac:dyDescent="0.2">
      <c r="A498" s="1" t="str">
        <f>HYPERLINK("http://www.twitter.com/banuakdenizli/status/1578059653342183425", "1578059653342183425")</f>
        <v>1578059653342183425</v>
      </c>
      <c r="B498" t="s">
        <v>15</v>
      </c>
      <c r="C498" s="2">
        <v>44840.68650462963</v>
      </c>
      <c r="D498">
        <v>0</v>
      </c>
      <c r="E498">
        <v>112</v>
      </c>
      <c r="F498" t="s">
        <v>24</v>
      </c>
      <c r="G498" t="s">
        <v>584</v>
      </c>
      <c r="H498" t="str">
        <f>HYPERLINK("http://pbs.twimg.com/media/FeZF9gnUAAA00tp.jpg", "http://pbs.twimg.com/media/FeZF9gnUAAA00tp.jpg")</f>
        <v>http://pbs.twimg.com/media/FeZF9gnUAAA00tp.jpg</v>
      </c>
      <c r="L498">
        <v>0.20230000000000001</v>
      </c>
      <c r="M498">
        <v>0</v>
      </c>
      <c r="N498">
        <v>0.92100000000000004</v>
      </c>
      <c r="O498">
        <v>7.9000000000000001E-2</v>
      </c>
    </row>
    <row r="499" spans="1:15" x14ac:dyDescent="0.2">
      <c r="A499" s="1" t="str">
        <f>HYPERLINK("http://www.twitter.com/banuakdenizli/status/1578059583989456929", "1578059583989456929")</f>
        <v>1578059583989456929</v>
      </c>
      <c r="B499" t="s">
        <v>15</v>
      </c>
      <c r="C499" s="2">
        <v>44840.686319444438</v>
      </c>
      <c r="D499">
        <v>0</v>
      </c>
      <c r="E499">
        <v>262</v>
      </c>
      <c r="F499" t="s">
        <v>24</v>
      </c>
      <c r="G499" t="s">
        <v>585</v>
      </c>
      <c r="H499" t="str">
        <f>HYPERLINK("http://pbs.twimg.com/media/FeZj4L9X0AQPVCA.jpg", "http://pbs.twimg.com/media/FeZj4L9X0AQPVCA.jpg")</f>
        <v>http://pbs.twimg.com/media/FeZj4L9X0AQPVCA.jpg</v>
      </c>
      <c r="L499">
        <v>0</v>
      </c>
      <c r="M499">
        <v>0</v>
      </c>
      <c r="N499">
        <v>1</v>
      </c>
      <c r="O499">
        <v>0</v>
      </c>
    </row>
    <row r="500" spans="1:15" x14ac:dyDescent="0.2">
      <c r="A500" s="1" t="str">
        <f>HYPERLINK("http://www.twitter.com/banuakdenizli/status/1578059284671352833", "1578059284671352833")</f>
        <v>1578059284671352833</v>
      </c>
      <c r="B500" t="s">
        <v>15</v>
      </c>
      <c r="C500" s="2">
        <v>44840.685497685183</v>
      </c>
      <c r="D500">
        <v>0</v>
      </c>
      <c r="E500">
        <v>0</v>
      </c>
      <c r="G500" t="s">
        <v>586</v>
      </c>
      <c r="L500">
        <v>0</v>
      </c>
      <c r="M500">
        <v>0</v>
      </c>
      <c r="N500">
        <v>1</v>
      </c>
      <c r="O500">
        <v>0</v>
      </c>
    </row>
    <row r="501" spans="1:15" x14ac:dyDescent="0.2">
      <c r="A501" s="1" t="str">
        <f>HYPERLINK("http://www.twitter.com/banuakdenizli/status/1578059066613563401", "1578059066613563401")</f>
        <v>1578059066613563401</v>
      </c>
      <c r="B501" t="s">
        <v>15</v>
      </c>
      <c r="C501" s="2">
        <v>44840.684895833343</v>
      </c>
      <c r="D501">
        <v>0</v>
      </c>
      <c r="E501">
        <v>179</v>
      </c>
      <c r="F501" t="s">
        <v>24</v>
      </c>
      <c r="G501" t="s">
        <v>587</v>
      </c>
      <c r="H501" t="str">
        <f>HYPERLINK("http://pbs.twimg.com/media/FeZhJy7XkAE6CY7.jpg", "http://pbs.twimg.com/media/FeZhJy7XkAE6CY7.jpg")</f>
        <v>http://pbs.twimg.com/media/FeZhJy7XkAE6CY7.jpg</v>
      </c>
      <c r="L501">
        <v>0</v>
      </c>
      <c r="M501">
        <v>0</v>
      </c>
      <c r="N501">
        <v>1</v>
      </c>
      <c r="O501">
        <v>0</v>
      </c>
    </row>
    <row r="502" spans="1:15" x14ac:dyDescent="0.2">
      <c r="A502" s="1" t="str">
        <f>HYPERLINK("http://www.twitter.com/banuakdenizli/status/1577954964936196101", "1577954964936196101")</f>
        <v>1577954964936196101</v>
      </c>
      <c r="B502" t="s">
        <v>15</v>
      </c>
      <c r="C502" s="2">
        <v>44840.397627314807</v>
      </c>
      <c r="D502">
        <v>0</v>
      </c>
      <c r="E502">
        <v>2</v>
      </c>
      <c r="F502" t="s">
        <v>496</v>
      </c>
      <c r="G502" t="s">
        <v>588</v>
      </c>
      <c r="H502" t="str">
        <f>HYPERLINK("http://pbs.twimg.com/media/FeVbOKUXEA4krzj.jpg", "http://pbs.twimg.com/media/FeVbOKUXEA4krzj.jpg")</f>
        <v>http://pbs.twimg.com/media/FeVbOKUXEA4krzj.jpg</v>
      </c>
      <c r="L502">
        <v>0.55740000000000001</v>
      </c>
      <c r="M502">
        <v>0</v>
      </c>
      <c r="N502">
        <v>0.90700000000000003</v>
      </c>
      <c r="O502">
        <v>9.2999999999999999E-2</v>
      </c>
    </row>
    <row r="503" spans="1:15" x14ac:dyDescent="0.2">
      <c r="A503" s="1" t="str">
        <f>HYPERLINK("http://www.twitter.com/banuakdenizli/status/1577954720429268992", "1577954720429268992")</f>
        <v>1577954720429268992</v>
      </c>
      <c r="B503" t="s">
        <v>15</v>
      </c>
      <c r="C503" s="2">
        <v>44840.396944444437</v>
      </c>
      <c r="D503">
        <v>4</v>
      </c>
      <c r="E503">
        <v>0</v>
      </c>
      <c r="G503" t="s">
        <v>589</v>
      </c>
      <c r="L503">
        <v>0</v>
      </c>
      <c r="M503">
        <v>0</v>
      </c>
      <c r="N503">
        <v>1</v>
      </c>
      <c r="O503">
        <v>0</v>
      </c>
    </row>
    <row r="504" spans="1:15" x14ac:dyDescent="0.2">
      <c r="A504" s="1" t="str">
        <f>HYPERLINK("http://www.twitter.com/banuakdenizli/status/1577906137478864896", "1577906137478864896")</f>
        <v>1577906137478864896</v>
      </c>
      <c r="B504" t="s">
        <v>15</v>
      </c>
      <c r="C504" s="2">
        <v>44840.262881944444</v>
      </c>
      <c r="D504">
        <v>7</v>
      </c>
      <c r="E504">
        <v>1</v>
      </c>
      <c r="G504" t="s">
        <v>590</v>
      </c>
      <c r="H504" t="str">
        <f>HYPERLINK("http://pbs.twimg.com/media/FeXYYNwX0AIY_aX.jpg", "http://pbs.twimg.com/media/FeXYYNwX0AIY_aX.jpg")</f>
        <v>http://pbs.twimg.com/media/FeXYYNwX0AIY_aX.jpg</v>
      </c>
      <c r="I504" t="str">
        <f>HYPERLINK("http://pbs.twimg.com/media/FeXYYLxWIAU4z6B.jpg", "http://pbs.twimg.com/media/FeXYYLxWIAU4z6B.jpg")</f>
        <v>http://pbs.twimg.com/media/FeXYYLxWIAU4z6B.jpg</v>
      </c>
      <c r="J504" t="str">
        <f>HYPERLINK("http://pbs.twimg.com/media/FeXYYL2XwAEydik.jpg", "http://pbs.twimg.com/media/FeXYYL2XwAEydik.jpg")</f>
        <v>http://pbs.twimg.com/media/FeXYYL2XwAEydik.jpg</v>
      </c>
      <c r="L504">
        <v>0</v>
      </c>
      <c r="M504">
        <v>0</v>
      </c>
      <c r="N504">
        <v>1</v>
      </c>
      <c r="O504">
        <v>0</v>
      </c>
    </row>
    <row r="505" spans="1:15" x14ac:dyDescent="0.2">
      <c r="A505" s="1" t="str">
        <f>HYPERLINK("http://www.twitter.com/banuakdenizli/status/1577750209337212946", "1577750209337212946")</f>
        <v>1577750209337212946</v>
      </c>
      <c r="B505" t="s">
        <v>15</v>
      </c>
      <c r="C505" s="2">
        <v>44839.832604166673</v>
      </c>
      <c r="D505">
        <v>2</v>
      </c>
      <c r="E505">
        <v>1</v>
      </c>
      <c r="G505" t="s">
        <v>591</v>
      </c>
      <c r="L505">
        <v>0</v>
      </c>
      <c r="M505">
        <v>0</v>
      </c>
      <c r="N505">
        <v>1</v>
      </c>
      <c r="O505">
        <v>0</v>
      </c>
    </row>
    <row r="506" spans="1:15" x14ac:dyDescent="0.2">
      <c r="A506" s="1" t="str">
        <f>HYPERLINK("http://www.twitter.com/banuakdenizli/status/1577739445352144896", "1577739445352144896")</f>
        <v>1577739445352144896</v>
      </c>
      <c r="B506" t="s">
        <v>15</v>
      </c>
      <c r="C506" s="2">
        <v>44839.802905092591</v>
      </c>
      <c r="D506">
        <v>0</v>
      </c>
      <c r="E506">
        <v>10</v>
      </c>
      <c r="F506" t="s">
        <v>24</v>
      </c>
      <c r="G506" t="s">
        <v>592</v>
      </c>
      <c r="H506" t="str">
        <f>HYPERLINK("https://video.twimg.com/amplify_video/1577737081396264967/vid/720x1280/C12MQHQpowjcCNkl.mp4?tag=14", "https://video.twimg.com/amplify_video/1577737081396264967/vid/720x1280/C12MQHQpowjcCNkl.mp4?tag=14")</f>
        <v>https://video.twimg.com/amplify_video/1577737081396264967/vid/720x1280/C12MQHQpowjcCNkl.mp4?tag=14</v>
      </c>
      <c r="L506">
        <v>5.16E-2</v>
      </c>
      <c r="M506">
        <v>0</v>
      </c>
      <c r="N506">
        <v>0.97</v>
      </c>
      <c r="O506">
        <v>0.03</v>
      </c>
    </row>
    <row r="507" spans="1:15" x14ac:dyDescent="0.2">
      <c r="A507" s="1" t="str">
        <f>HYPERLINK("http://www.twitter.com/banuakdenizli/status/1577733090197356558", "1577733090197356558")</f>
        <v>1577733090197356558</v>
      </c>
      <c r="B507" t="s">
        <v>15</v>
      </c>
      <c r="C507" s="2">
        <v>44839.785370370373</v>
      </c>
      <c r="D507">
        <v>2</v>
      </c>
      <c r="E507">
        <v>0</v>
      </c>
      <c r="G507" t="s">
        <v>593</v>
      </c>
      <c r="L507">
        <v>0.4995</v>
      </c>
      <c r="M507">
        <v>0</v>
      </c>
      <c r="N507">
        <v>0.65</v>
      </c>
      <c r="O507">
        <v>0.35</v>
      </c>
    </row>
    <row r="508" spans="1:15" x14ac:dyDescent="0.2">
      <c r="A508" s="1" t="str">
        <f>HYPERLINK("http://www.twitter.com/banuakdenizli/status/1577729676625285156", "1577729676625285156")</f>
        <v>1577729676625285156</v>
      </c>
      <c r="B508" t="s">
        <v>15</v>
      </c>
      <c r="C508" s="2">
        <v>44839.775949074072</v>
      </c>
      <c r="D508">
        <v>7</v>
      </c>
      <c r="E508">
        <v>0</v>
      </c>
      <c r="G508" t="s">
        <v>594</v>
      </c>
      <c r="L508">
        <v>0</v>
      </c>
      <c r="M508">
        <v>0</v>
      </c>
      <c r="N508">
        <v>1</v>
      </c>
      <c r="O508">
        <v>0</v>
      </c>
    </row>
    <row r="509" spans="1:15" x14ac:dyDescent="0.2">
      <c r="A509" s="1" t="str">
        <f>HYPERLINK("http://www.twitter.com/banuakdenizli/status/1577728303045251075", "1577728303045251075")</f>
        <v>1577728303045251075</v>
      </c>
      <c r="B509" t="s">
        <v>15</v>
      </c>
      <c r="C509" s="2">
        <v>44839.772152777783</v>
      </c>
      <c r="D509">
        <v>2</v>
      </c>
      <c r="E509">
        <v>0</v>
      </c>
      <c r="G509" t="s">
        <v>595</v>
      </c>
      <c r="L509">
        <v>0</v>
      </c>
      <c r="M509">
        <v>0</v>
      </c>
      <c r="N509">
        <v>1</v>
      </c>
      <c r="O509">
        <v>0</v>
      </c>
    </row>
    <row r="510" spans="1:15" x14ac:dyDescent="0.2">
      <c r="A510" s="1" t="str">
        <f>HYPERLINK("http://www.twitter.com/banuakdenizli/status/1577726672740134912", "1577726672740134912")</f>
        <v>1577726672740134912</v>
      </c>
      <c r="B510" t="s">
        <v>15</v>
      </c>
      <c r="C510" s="2">
        <v>44839.76766203704</v>
      </c>
      <c r="D510">
        <v>2</v>
      </c>
      <c r="E510">
        <v>1</v>
      </c>
      <c r="G510" t="s">
        <v>596</v>
      </c>
      <c r="H510" t="str">
        <f>HYPERLINK("http://pbs.twimg.com/media/FeU2CPwXoAA2ZRB.jpg", "http://pbs.twimg.com/media/FeU2CPwXoAA2ZRB.jpg")</f>
        <v>http://pbs.twimg.com/media/FeU2CPwXoAA2ZRB.jpg</v>
      </c>
      <c r="I510" t="str">
        <f>HYPERLINK("http://pbs.twimg.com/media/FeU2CgZXkAw99bO.jpg", "http://pbs.twimg.com/media/FeU2CgZXkAw99bO.jpg")</f>
        <v>http://pbs.twimg.com/media/FeU2CgZXkAw99bO.jpg</v>
      </c>
      <c r="J510" t="str">
        <f>HYPERLINK("http://pbs.twimg.com/media/FeU2CvdWIAAB-Qo.jpg", "http://pbs.twimg.com/media/FeU2CvdWIAAB-Qo.jpg")</f>
        <v>http://pbs.twimg.com/media/FeU2CvdWIAAB-Qo.jpg</v>
      </c>
      <c r="K510" t="str">
        <f>HYPERLINK("http://pbs.twimg.com/media/FeU2C8JXkB0tt8l.jpg", "http://pbs.twimg.com/media/FeU2C8JXkB0tt8l.jpg")</f>
        <v>http://pbs.twimg.com/media/FeU2C8JXkB0tt8l.jpg</v>
      </c>
      <c r="L510">
        <v>0</v>
      </c>
      <c r="M510">
        <v>0</v>
      </c>
      <c r="N510">
        <v>1</v>
      </c>
      <c r="O510">
        <v>0</v>
      </c>
    </row>
    <row r="511" spans="1:15" x14ac:dyDescent="0.2">
      <c r="A511" s="1" t="str">
        <f>HYPERLINK("http://www.twitter.com/banuakdenizli/status/1577677573219311616", "1577677573219311616")</f>
        <v>1577677573219311616</v>
      </c>
      <c r="B511" t="s">
        <v>15</v>
      </c>
      <c r="C511" s="2">
        <v>44839.632164351853</v>
      </c>
      <c r="D511">
        <v>0</v>
      </c>
      <c r="E511">
        <v>2</v>
      </c>
      <c r="F511" t="s">
        <v>496</v>
      </c>
      <c r="G511" t="s">
        <v>597</v>
      </c>
      <c r="H511" t="str">
        <f>HYPERLINK("http://pbs.twimg.com/media/FeTn_RjWQAEZVw3.jpg", "http://pbs.twimg.com/media/FeTn_RjWQAEZVw3.jpg")</f>
        <v>http://pbs.twimg.com/media/FeTn_RjWQAEZVw3.jpg</v>
      </c>
      <c r="I511" t="str">
        <f>HYPERLINK("http://pbs.twimg.com/media/FeTn_RSXoAA2tvN.jpg", "http://pbs.twimg.com/media/FeTn_RSXoAA2tvN.jpg")</f>
        <v>http://pbs.twimg.com/media/FeTn_RSXoAA2tvN.jpg</v>
      </c>
      <c r="L511">
        <v>0.68079999999999996</v>
      </c>
      <c r="M511">
        <v>0</v>
      </c>
      <c r="N511">
        <v>0.83299999999999996</v>
      </c>
      <c r="O511">
        <v>0.16700000000000001</v>
      </c>
    </row>
    <row r="512" spans="1:15" x14ac:dyDescent="0.2">
      <c r="A512" s="1" t="str">
        <f>HYPERLINK("http://www.twitter.com/banuakdenizli/status/1577676946900717568", "1577676946900717568")</f>
        <v>1577676946900717568</v>
      </c>
      <c r="B512" t="s">
        <v>15</v>
      </c>
      <c r="C512" s="2">
        <v>44839.630439814813</v>
      </c>
      <c r="D512">
        <v>7</v>
      </c>
      <c r="E512">
        <v>1</v>
      </c>
      <c r="G512" t="s">
        <v>598</v>
      </c>
      <c r="H512" t="str">
        <f>HYPERLINK("http://pbs.twimg.com/media/FeUI0mFXgAEG024.jpg", "http://pbs.twimg.com/media/FeUI0mFXgAEG024.jpg")</f>
        <v>http://pbs.twimg.com/media/FeUI0mFXgAEG024.jpg</v>
      </c>
      <c r="L512">
        <v>0</v>
      </c>
      <c r="M512">
        <v>0</v>
      </c>
      <c r="N512">
        <v>1</v>
      </c>
      <c r="O512">
        <v>0</v>
      </c>
    </row>
    <row r="513" spans="1:15" x14ac:dyDescent="0.2">
      <c r="A513" s="1" t="str">
        <f>HYPERLINK("http://www.twitter.com/banuakdenizli/status/1577657161081135105", "1577657161081135105")</f>
        <v>1577657161081135105</v>
      </c>
      <c r="B513" t="s">
        <v>15</v>
      </c>
      <c r="C513" s="2">
        <v>44839.575844907413</v>
      </c>
      <c r="D513">
        <v>0</v>
      </c>
      <c r="E513">
        <v>35</v>
      </c>
      <c r="F513" t="s">
        <v>47</v>
      </c>
      <c r="G513" t="s">
        <v>599</v>
      </c>
      <c r="H513" t="str">
        <f>HYPERLINK("http://pbs.twimg.com/media/FeTug03XwAATP6e.jpg", "http://pbs.twimg.com/media/FeTug03XwAATP6e.jpg")</f>
        <v>http://pbs.twimg.com/media/FeTug03XwAATP6e.jpg</v>
      </c>
      <c r="L513">
        <v>0</v>
      </c>
      <c r="M513">
        <v>0</v>
      </c>
      <c r="N513">
        <v>1</v>
      </c>
      <c r="O513">
        <v>0</v>
      </c>
    </row>
    <row r="514" spans="1:15" x14ac:dyDescent="0.2">
      <c r="A514" s="1" t="str">
        <f>HYPERLINK("http://www.twitter.com/banuakdenizli/status/1577646127318433797", "1577646127318433797")</f>
        <v>1577646127318433797</v>
      </c>
      <c r="B514" t="s">
        <v>15</v>
      </c>
      <c r="C514" s="2">
        <v>44839.545393518521</v>
      </c>
      <c r="D514">
        <v>0</v>
      </c>
      <c r="E514">
        <v>14</v>
      </c>
      <c r="F514" t="s">
        <v>514</v>
      </c>
      <c r="G514" t="s">
        <v>600</v>
      </c>
      <c r="L514">
        <v>0</v>
      </c>
      <c r="M514">
        <v>0</v>
      </c>
      <c r="N514">
        <v>1</v>
      </c>
      <c r="O514">
        <v>0</v>
      </c>
    </row>
    <row r="515" spans="1:15" x14ac:dyDescent="0.2">
      <c r="A515" s="1" t="str">
        <f>HYPERLINK("http://www.twitter.com/banuakdenizli/status/1577638363535998980", "1577638363535998980")</f>
        <v>1577638363535998980</v>
      </c>
      <c r="B515" t="s">
        <v>15</v>
      </c>
      <c r="C515" s="2">
        <v>44839.523969907408</v>
      </c>
      <c r="D515">
        <v>0</v>
      </c>
      <c r="E515">
        <v>2</v>
      </c>
      <c r="F515" t="s">
        <v>31</v>
      </c>
      <c r="G515" t="s">
        <v>601</v>
      </c>
      <c r="H515" t="str">
        <f>HYPERLINK("http://pbs.twimg.com/media/FeTHIMpaMAAqQPJ.jpg", "http://pbs.twimg.com/media/FeTHIMpaMAAqQPJ.jpg")</f>
        <v>http://pbs.twimg.com/media/FeTHIMpaMAAqQPJ.jpg</v>
      </c>
      <c r="I515" t="str">
        <f>HYPERLINK("http://pbs.twimg.com/media/FeTHIMwaYAAkgGn.jpg", "http://pbs.twimg.com/media/FeTHIMwaYAAkgGn.jpg")</f>
        <v>http://pbs.twimg.com/media/FeTHIMwaYAAkgGn.jpg</v>
      </c>
      <c r="L515">
        <v>0.68079999999999996</v>
      </c>
      <c r="M515">
        <v>0</v>
      </c>
      <c r="N515">
        <v>0.84099999999999997</v>
      </c>
      <c r="O515">
        <v>0.159</v>
      </c>
    </row>
    <row r="516" spans="1:15" x14ac:dyDescent="0.2">
      <c r="A516" s="1" t="str">
        <f>HYPERLINK("http://www.twitter.com/banuakdenizli/status/1577638175161319426", "1577638175161319426")</f>
        <v>1577638175161319426</v>
      </c>
      <c r="B516" t="s">
        <v>15</v>
      </c>
      <c r="C516" s="2">
        <v>44839.523449074077</v>
      </c>
      <c r="D516">
        <v>0</v>
      </c>
      <c r="E516">
        <v>2</v>
      </c>
      <c r="F516" t="s">
        <v>457</v>
      </c>
      <c r="G516" t="s">
        <v>602</v>
      </c>
      <c r="H516" t="str">
        <f>HYPERLINK("http://pbs.twimg.com/media/FeTdINfXkAIVxf9.jpg", "http://pbs.twimg.com/media/FeTdINfXkAIVxf9.jpg")</f>
        <v>http://pbs.twimg.com/media/FeTdINfXkAIVxf9.jpg</v>
      </c>
      <c r="I516" t="str">
        <f>HYPERLINK("http://pbs.twimg.com/media/FeTdIOaX0AAj5by.jpg", "http://pbs.twimg.com/media/FeTdIOaX0AAj5by.jpg")</f>
        <v>http://pbs.twimg.com/media/FeTdIOaX0AAj5by.jpg</v>
      </c>
      <c r="L516">
        <v>0</v>
      </c>
      <c r="M516">
        <v>0</v>
      </c>
      <c r="N516">
        <v>1</v>
      </c>
      <c r="O516">
        <v>0</v>
      </c>
    </row>
    <row r="517" spans="1:15" x14ac:dyDescent="0.2">
      <c r="A517" s="1" t="str">
        <f>HYPERLINK("http://www.twitter.com/banuakdenizli/status/1577637933313662976", "1577637933313662976")</f>
        <v>1577637933313662976</v>
      </c>
      <c r="B517" t="s">
        <v>15</v>
      </c>
      <c r="C517" s="2">
        <v>44839.522789351853</v>
      </c>
      <c r="D517">
        <v>0</v>
      </c>
      <c r="E517">
        <v>2</v>
      </c>
      <c r="F517" t="s">
        <v>36</v>
      </c>
      <c r="G517" t="s">
        <v>603</v>
      </c>
      <c r="L517">
        <v>0.55740000000000001</v>
      </c>
      <c r="M517">
        <v>0</v>
      </c>
      <c r="N517">
        <v>0.88400000000000001</v>
      </c>
      <c r="O517">
        <v>0.11600000000000001</v>
      </c>
    </row>
    <row r="518" spans="1:15" x14ac:dyDescent="0.2">
      <c r="A518" s="1" t="str">
        <f>HYPERLINK("http://www.twitter.com/banuakdenizli/status/1577625525291520000", "1577625525291520000")</f>
        <v>1577625525291520000</v>
      </c>
      <c r="B518" t="s">
        <v>15</v>
      </c>
      <c r="C518" s="2">
        <v>44839.488541666673</v>
      </c>
      <c r="D518">
        <v>6</v>
      </c>
      <c r="E518">
        <v>2</v>
      </c>
      <c r="G518" t="s">
        <v>604</v>
      </c>
      <c r="L518">
        <v>0</v>
      </c>
      <c r="M518">
        <v>0</v>
      </c>
      <c r="N518">
        <v>1</v>
      </c>
      <c r="O518">
        <v>0</v>
      </c>
    </row>
    <row r="519" spans="1:15" x14ac:dyDescent="0.2">
      <c r="A519" s="1" t="str">
        <f>HYPERLINK("http://www.twitter.com/banuakdenizli/status/1577569914944192513", "1577569914944192513")</f>
        <v>1577569914944192513</v>
      </c>
      <c r="B519" t="s">
        <v>15</v>
      </c>
      <c r="C519" s="2">
        <v>44839.335092592592</v>
      </c>
      <c r="D519">
        <v>15</v>
      </c>
      <c r="E519">
        <v>5</v>
      </c>
      <c r="G519" t="s">
        <v>605</v>
      </c>
      <c r="H519" t="str">
        <f>HYPERLINK("http://pbs.twimg.com/media/FeSncRCXkAIxmZD.jpg", "http://pbs.twimg.com/media/FeSncRCXkAIxmZD.jpg")</f>
        <v>http://pbs.twimg.com/media/FeSncRCXkAIxmZD.jpg</v>
      </c>
      <c r="L519">
        <v>0</v>
      </c>
      <c r="M519">
        <v>0</v>
      </c>
      <c r="N519">
        <v>1</v>
      </c>
      <c r="O519">
        <v>0</v>
      </c>
    </row>
    <row r="520" spans="1:15" x14ac:dyDescent="0.2">
      <c r="A520" s="1" t="str">
        <f>HYPERLINK("http://www.twitter.com/banuakdenizli/status/1577511748504113153", "1577511748504113153")</f>
        <v>1577511748504113153</v>
      </c>
      <c r="B520" t="s">
        <v>15</v>
      </c>
      <c r="C520" s="2">
        <v>44839.174583333333</v>
      </c>
      <c r="D520">
        <v>0</v>
      </c>
      <c r="E520">
        <v>154</v>
      </c>
      <c r="F520" t="s">
        <v>16</v>
      </c>
      <c r="G520" t="s">
        <v>606</v>
      </c>
      <c r="H520" t="str">
        <f>HYPERLINK("http://pbs.twimg.com/media/FeQibpsXkAAvNXY.jpg", "http://pbs.twimg.com/media/FeQibpsXkAAvNXY.jpg")</f>
        <v>http://pbs.twimg.com/media/FeQibpsXkAAvNXY.jpg</v>
      </c>
      <c r="L520">
        <v>0</v>
      </c>
      <c r="M520">
        <v>0</v>
      </c>
      <c r="N520">
        <v>1</v>
      </c>
      <c r="O520">
        <v>0</v>
      </c>
    </row>
    <row r="521" spans="1:15" x14ac:dyDescent="0.2">
      <c r="A521" s="1" t="str">
        <f>HYPERLINK("http://www.twitter.com/banuakdenizli/status/1577351562279546880", "1577351562279546880")</f>
        <v>1577351562279546880</v>
      </c>
      <c r="B521" t="s">
        <v>15</v>
      </c>
      <c r="C521" s="2">
        <v>44838.732546296298</v>
      </c>
      <c r="D521">
        <v>0</v>
      </c>
      <c r="E521">
        <v>43</v>
      </c>
      <c r="F521" t="s">
        <v>34</v>
      </c>
      <c r="G521" t="s">
        <v>607</v>
      </c>
      <c r="H521" t="str">
        <f>HYPERLINK("http://pbs.twimg.com/media/FePWzLrWAAARU2h.jpg", "http://pbs.twimg.com/media/FePWzLrWAAARU2h.jpg")</f>
        <v>http://pbs.twimg.com/media/FePWzLrWAAARU2h.jpg</v>
      </c>
      <c r="L521">
        <v>0</v>
      </c>
      <c r="M521">
        <v>0</v>
      </c>
      <c r="N521">
        <v>1</v>
      </c>
      <c r="O521">
        <v>0</v>
      </c>
    </row>
    <row r="522" spans="1:15" x14ac:dyDescent="0.2">
      <c r="A522" s="1" t="str">
        <f>HYPERLINK("http://www.twitter.com/banuakdenizli/status/1577351510597451788", "1577351510597451788")</f>
        <v>1577351510597451788</v>
      </c>
      <c r="B522" t="s">
        <v>15</v>
      </c>
      <c r="C522" s="2">
        <v>44838.732407407413</v>
      </c>
      <c r="D522">
        <v>0</v>
      </c>
      <c r="E522">
        <v>2</v>
      </c>
      <c r="F522" t="s">
        <v>312</v>
      </c>
      <c r="G522" t="s">
        <v>608</v>
      </c>
      <c r="H522" t="str">
        <f>HYPERLINK("http://pbs.twimg.com/media/FePU8KIWQAAnbZM.jpg", "http://pbs.twimg.com/media/FePU8KIWQAAnbZM.jpg")</f>
        <v>http://pbs.twimg.com/media/FePU8KIWQAAnbZM.jpg</v>
      </c>
      <c r="I522" t="str">
        <f>HYPERLINK("http://pbs.twimg.com/media/FePU9BaXoAEiMNx.jpg", "http://pbs.twimg.com/media/FePU9BaXoAEiMNx.jpg")</f>
        <v>http://pbs.twimg.com/media/FePU9BaXoAEiMNx.jpg</v>
      </c>
      <c r="J522" t="str">
        <f>HYPERLINK("http://pbs.twimg.com/media/FePU9B4XwAEAZVV.jpg", "http://pbs.twimg.com/media/FePU9B4XwAEAZVV.jpg")</f>
        <v>http://pbs.twimg.com/media/FePU9B4XwAEAZVV.jpg</v>
      </c>
      <c r="K522" t="str">
        <f>HYPERLINK("http://pbs.twimg.com/media/FePVFIeX0AEQbss.jpg", "http://pbs.twimg.com/media/FePVFIeX0AEQbss.jpg")</f>
        <v>http://pbs.twimg.com/media/FePVFIeX0AEQbss.jpg</v>
      </c>
      <c r="L522">
        <v>0.57189999999999996</v>
      </c>
      <c r="M522">
        <v>0</v>
      </c>
      <c r="N522">
        <v>0.89700000000000002</v>
      </c>
      <c r="O522">
        <v>0.10299999999999999</v>
      </c>
    </row>
    <row r="523" spans="1:15" x14ac:dyDescent="0.2">
      <c r="A523" s="1" t="str">
        <f>HYPERLINK("http://www.twitter.com/banuakdenizli/status/1577351402728325135", "1577351402728325135")</f>
        <v>1577351402728325135</v>
      </c>
      <c r="B523" t="s">
        <v>15</v>
      </c>
      <c r="C523" s="2">
        <v>44838.732106481482</v>
      </c>
      <c r="D523">
        <v>0</v>
      </c>
      <c r="E523">
        <v>22</v>
      </c>
      <c r="F523" t="s">
        <v>16</v>
      </c>
      <c r="G523" t="s">
        <v>609</v>
      </c>
      <c r="H523" t="str">
        <f>HYPERLINK("http://pbs.twimg.com/media/FeKfv0XWAAAWbQu.jpg", "http://pbs.twimg.com/media/FeKfv0XWAAAWbQu.jpg")</f>
        <v>http://pbs.twimg.com/media/FeKfv0XWAAAWbQu.jpg</v>
      </c>
      <c r="L523">
        <v>0</v>
      </c>
      <c r="M523">
        <v>0</v>
      </c>
      <c r="N523">
        <v>1</v>
      </c>
      <c r="O523">
        <v>0</v>
      </c>
    </row>
    <row r="524" spans="1:15" x14ac:dyDescent="0.2">
      <c r="A524" s="1" t="str">
        <f>HYPERLINK("http://www.twitter.com/banuakdenizli/status/1577350624605356040", "1577350624605356040")</f>
        <v>1577350624605356040</v>
      </c>
      <c r="B524" t="s">
        <v>15</v>
      </c>
      <c r="C524" s="2">
        <v>44838.72996527778</v>
      </c>
      <c r="D524">
        <v>0</v>
      </c>
      <c r="E524">
        <v>8</v>
      </c>
      <c r="F524" t="s">
        <v>24</v>
      </c>
      <c r="G524" t="s">
        <v>610</v>
      </c>
      <c r="H524" t="str">
        <f>HYPERLINK("http://pbs.twimg.com/media/FePOF9yXkAA-HVK.jpg", "http://pbs.twimg.com/media/FePOF9yXkAA-HVK.jpg")</f>
        <v>http://pbs.twimg.com/media/FePOF9yXkAA-HVK.jpg</v>
      </c>
      <c r="L524">
        <v>0.126</v>
      </c>
      <c r="M524">
        <v>0</v>
      </c>
      <c r="N524">
        <v>0.94599999999999995</v>
      </c>
      <c r="O524">
        <v>5.3999999999999999E-2</v>
      </c>
    </row>
    <row r="525" spans="1:15" x14ac:dyDescent="0.2">
      <c r="A525" s="1" t="str">
        <f>HYPERLINK("http://www.twitter.com/banuakdenizli/status/1577350600030928913", "1577350600030928913")</f>
        <v>1577350600030928913</v>
      </c>
      <c r="B525" t="s">
        <v>15</v>
      </c>
      <c r="C525" s="2">
        <v>44838.729895833327</v>
      </c>
      <c r="D525">
        <v>0</v>
      </c>
      <c r="E525">
        <v>528</v>
      </c>
      <c r="F525" t="s">
        <v>22</v>
      </c>
      <c r="G525" t="s">
        <v>611</v>
      </c>
      <c r="L525">
        <v>0</v>
      </c>
      <c r="M525">
        <v>0</v>
      </c>
      <c r="N525">
        <v>1</v>
      </c>
      <c r="O525">
        <v>0</v>
      </c>
    </row>
    <row r="526" spans="1:15" x14ac:dyDescent="0.2">
      <c r="A526" s="1" t="str">
        <f>HYPERLINK("http://www.twitter.com/banuakdenizli/status/1577350398712725520", "1577350398712725520")</f>
        <v>1577350398712725520</v>
      </c>
      <c r="B526" t="s">
        <v>15</v>
      </c>
      <c r="C526" s="2">
        <v>44838.72934027778</v>
      </c>
      <c r="D526">
        <v>1</v>
      </c>
      <c r="E526">
        <v>0</v>
      </c>
      <c r="G526" t="s">
        <v>612</v>
      </c>
      <c r="L526">
        <v>0</v>
      </c>
      <c r="M526">
        <v>0</v>
      </c>
      <c r="N526">
        <v>1</v>
      </c>
      <c r="O526">
        <v>0</v>
      </c>
    </row>
    <row r="527" spans="1:15" x14ac:dyDescent="0.2">
      <c r="A527" s="1" t="str">
        <f>HYPERLINK("http://www.twitter.com/banuakdenizli/status/1577323331644268545", "1577323331644268545")</f>
        <v>1577323331644268545</v>
      </c>
      <c r="B527" t="s">
        <v>15</v>
      </c>
      <c r="C527" s="2">
        <v>44838.654652777783</v>
      </c>
      <c r="D527">
        <v>0</v>
      </c>
      <c r="E527">
        <v>3</v>
      </c>
      <c r="F527" t="s">
        <v>312</v>
      </c>
      <c r="G527" t="s">
        <v>613</v>
      </c>
      <c r="H527" t="str">
        <f>HYPERLINK("https://video.twimg.com/amplify_video/1577299317605507074/vid/720x1280/I1vQs6y9GPiu-bZ6.mp4?tag=14", "https://video.twimg.com/amplify_video/1577299317605507074/vid/720x1280/I1vQs6y9GPiu-bZ6.mp4?tag=14")</f>
        <v>https://video.twimg.com/amplify_video/1577299317605507074/vid/720x1280/I1vQs6y9GPiu-bZ6.mp4?tag=14</v>
      </c>
      <c r="L527">
        <v>0.45879999999999999</v>
      </c>
      <c r="M527">
        <v>0</v>
      </c>
      <c r="N527">
        <v>0.76900000000000002</v>
      </c>
      <c r="O527">
        <v>0.23100000000000001</v>
      </c>
    </row>
    <row r="528" spans="1:15" x14ac:dyDescent="0.2">
      <c r="A528" s="1" t="str">
        <f>HYPERLINK("http://www.twitter.com/banuakdenizli/status/1577295135024496651", "1577295135024496651")</f>
        <v>1577295135024496651</v>
      </c>
      <c r="B528" t="s">
        <v>15</v>
      </c>
      <c r="C528" s="2">
        <v>44838.576840277783</v>
      </c>
      <c r="D528">
        <v>0</v>
      </c>
      <c r="E528">
        <v>34</v>
      </c>
      <c r="F528" t="s">
        <v>22</v>
      </c>
      <c r="G528" t="s">
        <v>614</v>
      </c>
      <c r="L528">
        <v>0</v>
      </c>
      <c r="M528">
        <v>0</v>
      </c>
      <c r="N528">
        <v>1</v>
      </c>
      <c r="O528">
        <v>0</v>
      </c>
    </row>
    <row r="529" spans="1:15" x14ac:dyDescent="0.2">
      <c r="A529" s="1" t="str">
        <f>HYPERLINK("http://www.twitter.com/banuakdenizli/status/1577278001699385345", "1577278001699385345")</f>
        <v>1577278001699385345</v>
      </c>
      <c r="B529" t="s">
        <v>15</v>
      </c>
      <c r="C529" s="2">
        <v>44838.529560185183</v>
      </c>
      <c r="D529">
        <v>0</v>
      </c>
      <c r="E529">
        <v>1</v>
      </c>
      <c r="F529" t="s">
        <v>44</v>
      </c>
      <c r="G529" t="s">
        <v>615</v>
      </c>
      <c r="H529" t="str">
        <f>HYPERLINK("https://video.twimg.com/ext_tw_video/1577271798638469121/pu/vid/1280x720/Q71hmQVmNDEP1KnZ.mp4?tag=12", "https://video.twimg.com/ext_tw_video/1577271798638469121/pu/vid/1280x720/Q71hmQVmNDEP1KnZ.mp4?tag=12")</f>
        <v>https://video.twimg.com/ext_tw_video/1577271798638469121/pu/vid/1280x720/Q71hmQVmNDEP1KnZ.mp4?tag=12</v>
      </c>
      <c r="L529">
        <v>0.15310000000000001</v>
      </c>
      <c r="M529">
        <v>0</v>
      </c>
      <c r="N529">
        <v>0.96599999999999997</v>
      </c>
      <c r="O529">
        <v>3.4000000000000002E-2</v>
      </c>
    </row>
    <row r="530" spans="1:15" x14ac:dyDescent="0.2">
      <c r="A530" s="1" t="str">
        <f>HYPERLINK("http://www.twitter.com/banuakdenizli/status/1577275881231294464", "1577275881231294464")</f>
        <v>1577275881231294464</v>
      </c>
      <c r="B530" t="s">
        <v>15</v>
      </c>
      <c r="C530" s="2">
        <v>44838.523715277777</v>
      </c>
      <c r="D530">
        <v>4</v>
      </c>
      <c r="E530">
        <v>0</v>
      </c>
      <c r="G530" t="s">
        <v>616</v>
      </c>
      <c r="L530">
        <v>0</v>
      </c>
      <c r="M530">
        <v>0</v>
      </c>
      <c r="N530">
        <v>1</v>
      </c>
      <c r="O530">
        <v>0</v>
      </c>
    </row>
    <row r="531" spans="1:15" x14ac:dyDescent="0.2">
      <c r="A531" s="1" t="str">
        <f>HYPERLINK("http://www.twitter.com/banuakdenizli/status/1577268546949685248", "1577268546949685248")</f>
        <v>1577268546949685248</v>
      </c>
      <c r="B531" t="s">
        <v>15</v>
      </c>
      <c r="C531" s="2">
        <v>44838.503472222219</v>
      </c>
      <c r="D531">
        <v>0</v>
      </c>
      <c r="E531">
        <v>147</v>
      </c>
      <c r="F531" t="s">
        <v>22</v>
      </c>
      <c r="G531" t="s">
        <v>617</v>
      </c>
      <c r="L531">
        <v>0</v>
      </c>
      <c r="M531">
        <v>0</v>
      </c>
      <c r="N531">
        <v>1</v>
      </c>
      <c r="O531">
        <v>0</v>
      </c>
    </row>
    <row r="532" spans="1:15" x14ac:dyDescent="0.2">
      <c r="A532" s="1" t="str">
        <f>HYPERLINK("http://www.twitter.com/banuakdenizli/status/1577233821661270016", "1577233821661270016")</f>
        <v>1577233821661270016</v>
      </c>
      <c r="B532" t="s">
        <v>15</v>
      </c>
      <c r="C532" s="2">
        <v>44838.407650462963</v>
      </c>
      <c r="D532">
        <v>18</v>
      </c>
      <c r="E532">
        <v>6</v>
      </c>
      <c r="G532" t="s">
        <v>618</v>
      </c>
      <c r="H532" t="str">
        <f>HYPERLINK("http://pbs.twimg.com/media/FeN1zGeWYAAAJ1Y.jpg", "http://pbs.twimg.com/media/FeN1zGeWYAAAJ1Y.jpg")</f>
        <v>http://pbs.twimg.com/media/FeN1zGeWYAAAJ1Y.jpg</v>
      </c>
      <c r="I532" t="str">
        <f>HYPERLINK("http://pbs.twimg.com/media/FeN1zUsWQAcOr6n.jpg", "http://pbs.twimg.com/media/FeN1zUsWQAcOr6n.jpg")</f>
        <v>http://pbs.twimg.com/media/FeN1zUsWQAcOr6n.jpg</v>
      </c>
      <c r="L532">
        <v>0</v>
      </c>
      <c r="M532">
        <v>0</v>
      </c>
      <c r="N532">
        <v>1</v>
      </c>
      <c r="O532">
        <v>0</v>
      </c>
    </row>
    <row r="533" spans="1:15" x14ac:dyDescent="0.2">
      <c r="A533" s="1" t="str">
        <f>HYPERLINK("http://www.twitter.com/banuakdenizli/status/1577189866236153856", "1577189866236153856")</f>
        <v>1577189866236153856</v>
      </c>
      <c r="B533" t="s">
        <v>15</v>
      </c>
      <c r="C533" s="2">
        <v>44838.286354166667</v>
      </c>
      <c r="D533">
        <v>12</v>
      </c>
      <c r="E533">
        <v>0</v>
      </c>
      <c r="G533" t="s">
        <v>619</v>
      </c>
      <c r="L533">
        <v>0</v>
      </c>
      <c r="M533">
        <v>0</v>
      </c>
      <c r="N533">
        <v>1</v>
      </c>
      <c r="O533">
        <v>0</v>
      </c>
    </row>
    <row r="534" spans="1:15" x14ac:dyDescent="0.2">
      <c r="A534" s="1" t="str">
        <f>HYPERLINK("http://www.twitter.com/banuakdenizli/status/1577188411600838656", "1577188411600838656")</f>
        <v>1577188411600838656</v>
      </c>
      <c r="B534" t="s">
        <v>15</v>
      </c>
      <c r="C534" s="2">
        <v>44838.282337962963</v>
      </c>
      <c r="D534">
        <v>3</v>
      </c>
      <c r="E534">
        <v>0</v>
      </c>
      <c r="G534" t="s">
        <v>620</v>
      </c>
      <c r="L534">
        <v>0</v>
      </c>
      <c r="M534">
        <v>0</v>
      </c>
      <c r="N534">
        <v>1</v>
      </c>
      <c r="O534">
        <v>0</v>
      </c>
    </row>
    <row r="535" spans="1:15" x14ac:dyDescent="0.2">
      <c r="A535" s="1" t="str">
        <f>HYPERLINK("http://www.twitter.com/banuakdenizli/status/1577178827356536832", "1577178827356536832")</f>
        <v>1577178827356536832</v>
      </c>
      <c r="B535" t="s">
        <v>15</v>
      </c>
      <c r="C535" s="2">
        <v>44838.255891203713</v>
      </c>
      <c r="D535">
        <v>6</v>
      </c>
      <c r="E535">
        <v>1</v>
      </c>
      <c r="G535" t="s">
        <v>621</v>
      </c>
      <c r="H535" t="str">
        <f>HYPERLINK("http://pbs.twimg.com/media/FeNDwWxWQAASQAi.jpg", "http://pbs.twimg.com/media/FeNDwWxWQAASQAi.jpg")</f>
        <v>http://pbs.twimg.com/media/FeNDwWxWQAASQAi.jpg</v>
      </c>
      <c r="L535">
        <v>0</v>
      </c>
      <c r="M535">
        <v>0</v>
      </c>
      <c r="N535">
        <v>1</v>
      </c>
      <c r="O535">
        <v>0</v>
      </c>
    </row>
    <row r="536" spans="1:15" x14ac:dyDescent="0.2">
      <c r="A536" s="1" t="str">
        <f>HYPERLINK("http://www.twitter.com/banuakdenizli/status/1576992933126864897", "1576992933126864897")</f>
        <v>1576992933126864897</v>
      </c>
      <c r="B536" t="s">
        <v>15</v>
      </c>
      <c r="C536" s="2">
        <v>44837.742928240739</v>
      </c>
      <c r="D536">
        <v>0</v>
      </c>
      <c r="E536">
        <v>15</v>
      </c>
      <c r="F536" t="s">
        <v>24</v>
      </c>
      <c r="G536" t="s">
        <v>622</v>
      </c>
      <c r="H536" t="str">
        <f>HYPERLINK("http://pbs.twimg.com/media/FeF9ShZXkAIle6m.jpg", "http://pbs.twimg.com/media/FeF9ShZXkAIle6m.jpg")</f>
        <v>http://pbs.twimg.com/media/FeF9ShZXkAIle6m.jpg</v>
      </c>
      <c r="L536">
        <v>0</v>
      </c>
      <c r="M536">
        <v>0</v>
      </c>
      <c r="N536">
        <v>1</v>
      </c>
      <c r="O536">
        <v>0</v>
      </c>
    </row>
    <row r="537" spans="1:15" x14ac:dyDescent="0.2">
      <c r="A537" s="1" t="str">
        <f>HYPERLINK("http://www.twitter.com/banuakdenizli/status/1576623711687704576", "1576623711687704576")</f>
        <v>1576623711687704576</v>
      </c>
      <c r="B537" t="s">
        <v>15</v>
      </c>
      <c r="C537" s="2">
        <v>44836.724062499998</v>
      </c>
      <c r="D537">
        <v>0</v>
      </c>
      <c r="E537">
        <v>1</v>
      </c>
      <c r="F537" t="s">
        <v>496</v>
      </c>
      <c r="G537" t="s">
        <v>623</v>
      </c>
      <c r="H537" t="str">
        <f>HYPERLINK("http://pbs.twimg.com/media/FeD-FfJXwAYsU7h.jpg", "http://pbs.twimg.com/media/FeD-FfJXwAYsU7h.jpg")</f>
        <v>http://pbs.twimg.com/media/FeD-FfJXwAYsU7h.jpg</v>
      </c>
      <c r="L537">
        <v>0.38040000000000002</v>
      </c>
      <c r="M537">
        <v>0</v>
      </c>
      <c r="N537">
        <v>0.92300000000000004</v>
      </c>
      <c r="O537">
        <v>7.6999999999999999E-2</v>
      </c>
    </row>
    <row r="538" spans="1:15" x14ac:dyDescent="0.2">
      <c r="A538" s="1" t="str">
        <f>HYPERLINK("http://www.twitter.com/banuakdenizli/status/1576547065819467776", "1576547065819467776")</f>
        <v>1576547065819467776</v>
      </c>
      <c r="B538" t="s">
        <v>15</v>
      </c>
      <c r="C538" s="2">
        <v>44836.512557870366</v>
      </c>
      <c r="D538">
        <v>0</v>
      </c>
      <c r="E538">
        <v>3</v>
      </c>
      <c r="F538" t="s">
        <v>457</v>
      </c>
      <c r="G538" t="s">
        <v>624</v>
      </c>
      <c r="H538" t="str">
        <f>HYPERLINK("http://pbs.twimg.com/media/FeDpFr-X0AAJnjJ.jpg", "http://pbs.twimg.com/media/FeDpFr-X0AAJnjJ.jpg")</f>
        <v>http://pbs.twimg.com/media/FeDpFr-X0AAJnjJ.jpg</v>
      </c>
      <c r="L538">
        <v>0</v>
      </c>
      <c r="M538">
        <v>0</v>
      </c>
      <c r="N538">
        <v>1</v>
      </c>
      <c r="O538">
        <v>0</v>
      </c>
    </row>
    <row r="539" spans="1:15" x14ac:dyDescent="0.2">
      <c r="A539" s="1" t="str">
        <f>HYPERLINK("http://www.twitter.com/banuakdenizli/status/1576546602789273602", "1576546602789273602")</f>
        <v>1576546602789273602</v>
      </c>
      <c r="B539" t="s">
        <v>15</v>
      </c>
      <c r="C539" s="2">
        <v>44836.511284722219</v>
      </c>
      <c r="D539">
        <v>6</v>
      </c>
      <c r="E539">
        <v>4</v>
      </c>
      <c r="G539" t="s">
        <v>625</v>
      </c>
      <c r="L539">
        <v>-0.38179999999999997</v>
      </c>
      <c r="M539">
        <v>9.8000000000000004E-2</v>
      </c>
      <c r="N539">
        <v>0.90200000000000002</v>
      </c>
      <c r="O539">
        <v>0</v>
      </c>
    </row>
    <row r="540" spans="1:15" x14ac:dyDescent="0.2">
      <c r="A540" s="1" t="str">
        <f>HYPERLINK("http://www.twitter.com/banuakdenizli/status/1576437145211805697", "1576437145211805697")</f>
        <v>1576437145211805697</v>
      </c>
      <c r="B540" t="s">
        <v>15</v>
      </c>
      <c r="C540" s="2">
        <v>44836.209236111114</v>
      </c>
      <c r="D540">
        <v>0</v>
      </c>
      <c r="E540">
        <v>644</v>
      </c>
      <c r="F540" t="s">
        <v>626</v>
      </c>
      <c r="G540" t="s">
        <v>627</v>
      </c>
      <c r="H540" t="str">
        <f>HYPERLINK("http://pbs.twimg.com/media/FeAQHrCXoAYAVoo.jpg", "http://pbs.twimg.com/media/FeAQHrCXoAYAVoo.jpg")</f>
        <v>http://pbs.twimg.com/media/FeAQHrCXoAYAVoo.jpg</v>
      </c>
      <c r="L540">
        <v>0</v>
      </c>
      <c r="M540">
        <v>0</v>
      </c>
      <c r="N540">
        <v>1</v>
      </c>
      <c r="O540">
        <v>0</v>
      </c>
    </row>
    <row r="541" spans="1:15" x14ac:dyDescent="0.2">
      <c r="A541" s="1" t="str">
        <f>HYPERLINK("http://www.twitter.com/banuakdenizli/status/1576437066678046721", "1576437066678046721")</f>
        <v>1576437066678046721</v>
      </c>
      <c r="B541" t="s">
        <v>15</v>
      </c>
      <c r="C541" s="2">
        <v>44836.209027777782</v>
      </c>
      <c r="D541">
        <v>0</v>
      </c>
      <c r="E541">
        <v>1</v>
      </c>
      <c r="F541" t="s">
        <v>626</v>
      </c>
      <c r="G541" t="s">
        <v>628</v>
      </c>
      <c r="H541" t="str">
        <f>HYPERLINK("http://pbs.twimg.com/media/FeBPibeXkAMsPil.jpg", "http://pbs.twimg.com/media/FeBPibeXkAMsPil.jpg")</f>
        <v>http://pbs.twimg.com/media/FeBPibeXkAMsPil.jpg</v>
      </c>
      <c r="L541">
        <v>0</v>
      </c>
      <c r="M541">
        <v>0</v>
      </c>
      <c r="N541">
        <v>1</v>
      </c>
      <c r="O541">
        <v>0</v>
      </c>
    </row>
    <row r="542" spans="1:15" x14ac:dyDescent="0.2">
      <c r="A542" s="1" t="str">
        <f>HYPERLINK("http://www.twitter.com/banuakdenizli/status/1576422412522258432", "1576422412522258432")</f>
        <v>1576422412522258432</v>
      </c>
      <c r="B542" t="s">
        <v>15</v>
      </c>
      <c r="C542" s="2">
        <v>44836.168587962973</v>
      </c>
      <c r="D542">
        <v>0</v>
      </c>
      <c r="E542">
        <v>6</v>
      </c>
      <c r="F542" t="s">
        <v>24</v>
      </c>
      <c r="G542" t="s">
        <v>629</v>
      </c>
      <c r="H542" t="str">
        <f>HYPERLINK("http://pbs.twimg.com/media/FeA43NbXkAUfdAG.jpg", "http://pbs.twimg.com/media/FeA43NbXkAUfdAG.jpg")</f>
        <v>http://pbs.twimg.com/media/FeA43NbXkAUfdAG.jpg</v>
      </c>
      <c r="I542" t="str">
        <f>HYPERLINK("http://pbs.twimg.com/media/FeA43NZWQAkjpl4.jpg", "http://pbs.twimg.com/media/FeA43NZWQAkjpl4.jpg")</f>
        <v>http://pbs.twimg.com/media/FeA43NZWQAkjpl4.jpg</v>
      </c>
      <c r="J542" t="str">
        <f>HYPERLINK("http://pbs.twimg.com/media/FeA43NbWIAIEjjv.jpg", "http://pbs.twimg.com/media/FeA43NbWIAIEjjv.jpg")</f>
        <v>http://pbs.twimg.com/media/FeA43NbWIAIEjjv.jpg</v>
      </c>
      <c r="K542" t="str">
        <f>HYPERLINK("http://pbs.twimg.com/media/FeA43NcXkAIXW3j.jpg", "http://pbs.twimg.com/media/FeA43NcXkAIXW3j.jpg")</f>
        <v>http://pbs.twimg.com/media/FeA43NcXkAIXW3j.jpg</v>
      </c>
      <c r="L542">
        <v>0</v>
      </c>
      <c r="M542">
        <v>0</v>
      </c>
      <c r="N542">
        <v>1</v>
      </c>
      <c r="O542">
        <v>0</v>
      </c>
    </row>
    <row r="543" spans="1:15" x14ac:dyDescent="0.2">
      <c r="A543" s="1" t="str">
        <f>HYPERLINK("http://www.twitter.com/banuakdenizli/status/1576303465420140544", "1576303465420140544")</f>
        <v>1576303465420140544</v>
      </c>
      <c r="B543" t="s">
        <v>15</v>
      </c>
      <c r="C543" s="2">
        <v>44835.840358796297</v>
      </c>
      <c r="D543">
        <v>0</v>
      </c>
      <c r="E543">
        <v>45</v>
      </c>
      <c r="F543" t="s">
        <v>22</v>
      </c>
      <c r="G543" t="s">
        <v>630</v>
      </c>
      <c r="H543" t="str">
        <f>HYPERLINK("https://video.twimg.com/amplify_video/1576196000703717376/vid/720x720/_QBUigeeLgKR3kRH.mp4?tag=14", "https://video.twimg.com/amplify_video/1576196000703717376/vid/720x720/_QBUigeeLgKR3kRH.mp4?tag=14")</f>
        <v>https://video.twimg.com/amplify_video/1576196000703717376/vid/720x720/_QBUigeeLgKR3kRH.mp4?tag=14</v>
      </c>
      <c r="L543">
        <v>0</v>
      </c>
      <c r="M543">
        <v>0</v>
      </c>
      <c r="N543">
        <v>1</v>
      </c>
      <c r="O543">
        <v>0</v>
      </c>
    </row>
    <row r="544" spans="1:15" x14ac:dyDescent="0.2">
      <c r="A544" s="1" t="str">
        <f>HYPERLINK("http://www.twitter.com/banuakdenizli/status/1576303428388519937", "1576303428388519937")</f>
        <v>1576303428388519937</v>
      </c>
      <c r="B544" t="s">
        <v>15</v>
      </c>
      <c r="C544" s="2">
        <v>44835.840254629627</v>
      </c>
      <c r="D544">
        <v>0</v>
      </c>
      <c r="E544">
        <v>13</v>
      </c>
      <c r="F544" t="s">
        <v>22</v>
      </c>
      <c r="G544" t="s">
        <v>631</v>
      </c>
      <c r="H544" t="str">
        <f>HYPERLINK("http://pbs.twimg.com/media/Fd67cP-WYAIxPf9.png", "http://pbs.twimg.com/media/Fd67cP-WYAIxPf9.png")</f>
        <v>http://pbs.twimg.com/media/Fd67cP-WYAIxPf9.png</v>
      </c>
      <c r="L544">
        <v>0</v>
      </c>
      <c r="M544">
        <v>0</v>
      </c>
      <c r="N544">
        <v>1</v>
      </c>
      <c r="O544">
        <v>0</v>
      </c>
    </row>
    <row r="545" spans="1:15" x14ac:dyDescent="0.2">
      <c r="A545" s="1" t="str">
        <f>HYPERLINK("http://www.twitter.com/banuakdenizli/status/1576275428011974656", "1576275428011974656")</f>
        <v>1576275428011974656</v>
      </c>
      <c r="B545" t="s">
        <v>15</v>
      </c>
      <c r="C545" s="2">
        <v>44835.762986111113</v>
      </c>
      <c r="D545">
        <v>3</v>
      </c>
      <c r="E545">
        <v>0</v>
      </c>
      <c r="G545" t="s">
        <v>632</v>
      </c>
      <c r="L545">
        <v>0</v>
      </c>
      <c r="M545">
        <v>0</v>
      </c>
      <c r="N545">
        <v>1</v>
      </c>
      <c r="O545">
        <v>0</v>
      </c>
    </row>
    <row r="546" spans="1:15" x14ac:dyDescent="0.2">
      <c r="A546" s="1" t="str">
        <f>HYPERLINK("http://www.twitter.com/banuakdenizli/status/1576270508274089984", "1576270508274089984")</f>
        <v>1576270508274089984</v>
      </c>
      <c r="B546" t="s">
        <v>15</v>
      </c>
      <c r="C546" s="2">
        <v>44835.749409722222</v>
      </c>
      <c r="D546">
        <v>1</v>
      </c>
      <c r="E546">
        <v>0</v>
      </c>
      <c r="G546" t="s">
        <v>633</v>
      </c>
      <c r="L546">
        <v>0</v>
      </c>
      <c r="M546">
        <v>0</v>
      </c>
      <c r="N546">
        <v>1</v>
      </c>
      <c r="O546">
        <v>0</v>
      </c>
    </row>
    <row r="547" spans="1:15" x14ac:dyDescent="0.2">
      <c r="A547" s="1" t="str">
        <f>HYPERLINK("http://www.twitter.com/banuakdenizli/status/1576267990332342272", "1576267990332342272")</f>
        <v>1576267990332342272</v>
      </c>
      <c r="B547" t="s">
        <v>15</v>
      </c>
      <c r="C547" s="2">
        <v>44835.742465277777</v>
      </c>
      <c r="D547">
        <v>1</v>
      </c>
      <c r="E547">
        <v>0</v>
      </c>
      <c r="G547" t="s">
        <v>634</v>
      </c>
      <c r="L547">
        <v>0</v>
      </c>
      <c r="M547">
        <v>0</v>
      </c>
      <c r="N547">
        <v>1</v>
      </c>
      <c r="O547">
        <v>0</v>
      </c>
    </row>
    <row r="548" spans="1:15" x14ac:dyDescent="0.2">
      <c r="A548" s="1" t="str">
        <f>HYPERLINK("http://www.twitter.com/banuakdenizli/status/1576267661985873921", "1576267661985873921")</f>
        <v>1576267661985873921</v>
      </c>
      <c r="B548" t="s">
        <v>15</v>
      </c>
      <c r="C548" s="2">
        <v>44835.741550925923</v>
      </c>
      <c r="D548">
        <v>0</v>
      </c>
      <c r="E548">
        <v>3</v>
      </c>
      <c r="F548" t="s">
        <v>635</v>
      </c>
      <c r="G548" t="s">
        <v>636</v>
      </c>
      <c r="H548" t="str">
        <f>HYPERLINK("https://video.twimg.com/ext_tw_video/1576257770583621632/pu/vid/848x480/CU8NN0nEo2fQd7C9.mp4?tag=12", "https://video.twimg.com/ext_tw_video/1576257770583621632/pu/vid/848x480/CU8NN0nEo2fQd7C9.mp4?tag=12")</f>
        <v>https://video.twimg.com/ext_tw_video/1576257770583621632/pu/vid/848x480/CU8NN0nEo2fQd7C9.mp4?tag=12</v>
      </c>
      <c r="L548">
        <v>0</v>
      </c>
      <c r="M548">
        <v>0</v>
      </c>
      <c r="N548">
        <v>1</v>
      </c>
      <c r="O548">
        <v>0</v>
      </c>
    </row>
    <row r="549" spans="1:15" x14ac:dyDescent="0.2">
      <c r="A549" s="1" t="str">
        <f>HYPERLINK("http://www.twitter.com/banuakdenizli/status/1576257827437674496", "1576257827437674496")</f>
        <v>1576257827437674496</v>
      </c>
      <c r="B549" t="s">
        <v>15</v>
      </c>
      <c r="C549" s="2">
        <v>44835.714421296303</v>
      </c>
      <c r="D549">
        <v>10</v>
      </c>
      <c r="E549">
        <v>2</v>
      </c>
      <c r="G549" t="s">
        <v>637</v>
      </c>
      <c r="H549" t="str">
        <f>HYPERLINK("https://video.twimg.com/ext_tw_video/1576257770583621632/pu/vid/848x480/CU8NN0nEo2fQd7C9.mp4?tag=12", "https://video.twimg.com/ext_tw_video/1576257770583621632/pu/vid/848x480/CU8NN0nEo2fQd7C9.mp4?tag=12")</f>
        <v>https://video.twimg.com/ext_tw_video/1576257770583621632/pu/vid/848x480/CU8NN0nEo2fQd7C9.mp4?tag=12</v>
      </c>
      <c r="L549">
        <v>0</v>
      </c>
      <c r="M549">
        <v>0</v>
      </c>
      <c r="N549">
        <v>1</v>
      </c>
      <c r="O549">
        <v>0</v>
      </c>
    </row>
    <row r="550" spans="1:15" x14ac:dyDescent="0.2">
      <c r="A550" s="1" t="str">
        <f>HYPERLINK("http://www.twitter.com/banuakdenizli/status/1576193112807858176", "1576193112807858176")</f>
        <v>1576193112807858176</v>
      </c>
      <c r="B550" t="s">
        <v>15</v>
      </c>
      <c r="C550" s="2">
        <v>44835.535844907397</v>
      </c>
      <c r="D550">
        <v>0</v>
      </c>
      <c r="E550">
        <v>175</v>
      </c>
      <c r="F550" t="s">
        <v>30</v>
      </c>
      <c r="G550" t="s">
        <v>638</v>
      </c>
      <c r="H550" t="str">
        <f>HYPERLINK("https://video.twimg.com/ext_tw_video/1575933410194882567/pu/vid/720x720/7mXrCUfulel3HjeZ.mp4?tag=12", "https://video.twimg.com/ext_tw_video/1575933410194882567/pu/vid/720x720/7mXrCUfulel3HjeZ.mp4?tag=12")</f>
        <v>https://video.twimg.com/ext_tw_video/1575933410194882567/pu/vid/720x720/7mXrCUfulel3HjeZ.mp4?tag=12</v>
      </c>
      <c r="L550">
        <v>0</v>
      </c>
      <c r="M550">
        <v>0</v>
      </c>
      <c r="N550">
        <v>1</v>
      </c>
      <c r="O550">
        <v>0</v>
      </c>
    </row>
    <row r="551" spans="1:15" x14ac:dyDescent="0.2">
      <c r="A551" s="1" t="str">
        <f>HYPERLINK("http://www.twitter.com/banuakdenizli/status/1576133603830169600", "1576133603830169600")</f>
        <v>1576133603830169600</v>
      </c>
      <c r="B551" t="s">
        <v>15</v>
      </c>
      <c r="C551" s="2">
        <v>44835.371620370373</v>
      </c>
      <c r="D551">
        <v>0</v>
      </c>
      <c r="E551">
        <v>2</v>
      </c>
      <c r="F551" t="s">
        <v>192</v>
      </c>
      <c r="G551" t="s">
        <v>639</v>
      </c>
      <c r="H551" t="str">
        <f>HYPERLINK("http://pbs.twimg.com/media/Fd98jB-WAAA0jDb.jpg", "http://pbs.twimg.com/media/Fd98jB-WAAA0jDb.jpg")</f>
        <v>http://pbs.twimg.com/media/Fd98jB-WAAA0jDb.jpg</v>
      </c>
      <c r="L551">
        <v>0</v>
      </c>
      <c r="M551">
        <v>0</v>
      </c>
      <c r="N551">
        <v>1</v>
      </c>
      <c r="O55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2023-03-27T07:22:33Z</dcterms:created>
  <dcterms:modified xsi:type="dcterms:W3CDTF">2023-04-03T11:45:06Z</dcterms:modified>
</cp:coreProperties>
</file>