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B7A7B826-E205-F64C-9372-FFF10398C226}"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7" i="1" l="1"/>
  <c r="A426" i="1"/>
  <c r="I425" i="1"/>
  <c r="H425" i="1"/>
  <c r="A425" i="1"/>
  <c r="H424" i="1"/>
  <c r="A424" i="1"/>
  <c r="H423" i="1"/>
  <c r="A423" i="1"/>
  <c r="H422" i="1"/>
  <c r="A422" i="1"/>
  <c r="A421" i="1"/>
  <c r="H420" i="1"/>
  <c r="A420" i="1"/>
  <c r="H419" i="1"/>
  <c r="A419" i="1"/>
  <c r="H418" i="1"/>
  <c r="A418" i="1"/>
  <c r="H417" i="1"/>
  <c r="A417" i="1"/>
  <c r="H416" i="1"/>
  <c r="A416" i="1"/>
  <c r="H415" i="1"/>
  <c r="A415" i="1"/>
  <c r="H414" i="1"/>
  <c r="A414" i="1"/>
  <c r="H413" i="1"/>
  <c r="A413" i="1"/>
  <c r="H412" i="1"/>
  <c r="A412" i="1"/>
  <c r="H411" i="1"/>
  <c r="A411" i="1"/>
  <c r="K410" i="1"/>
  <c r="J410" i="1"/>
  <c r="I410" i="1"/>
  <c r="H410" i="1"/>
  <c r="A410" i="1"/>
  <c r="H409" i="1"/>
  <c r="A409" i="1"/>
  <c r="J408" i="1"/>
  <c r="I408" i="1"/>
  <c r="H408" i="1"/>
  <c r="A408" i="1"/>
  <c r="K407" i="1"/>
  <c r="J407" i="1"/>
  <c r="I407" i="1"/>
  <c r="H407" i="1"/>
  <c r="A407" i="1"/>
  <c r="K406" i="1"/>
  <c r="J406" i="1"/>
  <c r="I406" i="1"/>
  <c r="H406" i="1"/>
  <c r="A406" i="1"/>
  <c r="H405" i="1"/>
  <c r="A405" i="1"/>
  <c r="J404" i="1"/>
  <c r="I404" i="1"/>
  <c r="H404" i="1"/>
  <c r="A404" i="1"/>
  <c r="A403" i="1"/>
  <c r="H402" i="1"/>
  <c r="A402" i="1"/>
  <c r="H401" i="1"/>
  <c r="A401" i="1"/>
  <c r="H400" i="1"/>
  <c r="A400" i="1"/>
  <c r="H399" i="1"/>
  <c r="A399" i="1"/>
  <c r="A398" i="1"/>
  <c r="H397" i="1"/>
  <c r="A397" i="1"/>
  <c r="H396" i="1"/>
  <c r="A396" i="1"/>
  <c r="A395" i="1"/>
  <c r="A394" i="1"/>
  <c r="H393" i="1"/>
  <c r="A393" i="1"/>
  <c r="H392" i="1"/>
  <c r="A392" i="1"/>
  <c r="A391" i="1"/>
  <c r="H390" i="1"/>
  <c r="A390" i="1"/>
  <c r="K389" i="1"/>
  <c r="J389" i="1"/>
  <c r="I389" i="1"/>
  <c r="H389" i="1"/>
  <c r="A389" i="1"/>
  <c r="H388" i="1"/>
  <c r="A388" i="1"/>
  <c r="A387" i="1"/>
  <c r="K386" i="1"/>
  <c r="J386" i="1"/>
  <c r="I386" i="1"/>
  <c r="H386" i="1"/>
  <c r="A386" i="1"/>
  <c r="A385" i="1"/>
  <c r="K384" i="1"/>
  <c r="J384" i="1"/>
  <c r="I384" i="1"/>
  <c r="H384" i="1"/>
  <c r="A384" i="1"/>
  <c r="H383" i="1"/>
  <c r="A383" i="1"/>
  <c r="A382" i="1"/>
  <c r="A381" i="1"/>
  <c r="H380" i="1"/>
  <c r="A380" i="1"/>
  <c r="K379" i="1"/>
  <c r="J379" i="1"/>
  <c r="I379" i="1"/>
  <c r="H379" i="1"/>
  <c r="A379" i="1"/>
  <c r="A378" i="1"/>
  <c r="H377" i="1"/>
  <c r="A377" i="1"/>
  <c r="H376" i="1"/>
  <c r="A376" i="1"/>
  <c r="H375" i="1"/>
  <c r="A375" i="1"/>
  <c r="H374" i="1"/>
  <c r="A374" i="1"/>
  <c r="I373" i="1"/>
  <c r="H373" i="1"/>
  <c r="A373" i="1"/>
  <c r="K372" i="1"/>
  <c r="J372" i="1"/>
  <c r="I372" i="1"/>
  <c r="H372" i="1"/>
  <c r="A372" i="1"/>
  <c r="K371" i="1"/>
  <c r="J371" i="1"/>
  <c r="I371" i="1"/>
  <c r="H371" i="1"/>
  <c r="A371" i="1"/>
  <c r="H370" i="1"/>
  <c r="A370" i="1"/>
  <c r="H369" i="1"/>
  <c r="A369" i="1"/>
  <c r="A368" i="1"/>
  <c r="K367" i="1"/>
  <c r="J367" i="1"/>
  <c r="I367" i="1"/>
  <c r="H367" i="1"/>
  <c r="A367" i="1"/>
  <c r="H366" i="1"/>
  <c r="A366" i="1"/>
  <c r="K365" i="1"/>
  <c r="J365" i="1"/>
  <c r="I365" i="1"/>
  <c r="H365" i="1"/>
  <c r="A365" i="1"/>
  <c r="K364" i="1"/>
  <c r="J364" i="1"/>
  <c r="I364" i="1"/>
  <c r="H364" i="1"/>
  <c r="A364" i="1"/>
  <c r="K363" i="1"/>
  <c r="J363" i="1"/>
  <c r="I363" i="1"/>
  <c r="H363" i="1"/>
  <c r="A363" i="1"/>
  <c r="A362" i="1"/>
  <c r="H361" i="1"/>
  <c r="A361" i="1"/>
  <c r="H360" i="1"/>
  <c r="A360" i="1"/>
  <c r="H359" i="1"/>
  <c r="A359" i="1"/>
  <c r="H358" i="1"/>
  <c r="A358" i="1"/>
  <c r="H357" i="1"/>
  <c r="A357" i="1"/>
  <c r="H356" i="1"/>
  <c r="A356" i="1"/>
  <c r="H355" i="1"/>
  <c r="A355" i="1"/>
  <c r="H354" i="1"/>
  <c r="A354" i="1"/>
  <c r="A353" i="1"/>
  <c r="H352" i="1"/>
  <c r="A352" i="1"/>
  <c r="K351" i="1"/>
  <c r="J351" i="1"/>
  <c r="I351" i="1"/>
  <c r="H351" i="1"/>
  <c r="A351" i="1"/>
  <c r="H350" i="1"/>
  <c r="A350" i="1"/>
  <c r="H349" i="1"/>
  <c r="A349" i="1"/>
  <c r="H348" i="1"/>
  <c r="A348" i="1"/>
  <c r="H347" i="1"/>
  <c r="A347" i="1"/>
  <c r="J346" i="1"/>
  <c r="I346" i="1"/>
  <c r="H346" i="1"/>
  <c r="A346" i="1"/>
  <c r="H345" i="1"/>
  <c r="A345" i="1"/>
  <c r="H344" i="1"/>
  <c r="A344" i="1"/>
  <c r="A343" i="1"/>
  <c r="H342" i="1"/>
  <c r="A342" i="1"/>
  <c r="J341" i="1"/>
  <c r="I341" i="1"/>
  <c r="H341" i="1"/>
  <c r="A341" i="1"/>
  <c r="H340" i="1"/>
  <c r="A340" i="1"/>
  <c r="H339" i="1"/>
  <c r="A339" i="1"/>
  <c r="H338" i="1"/>
  <c r="A338" i="1"/>
  <c r="J337" i="1"/>
  <c r="I337" i="1"/>
  <c r="H337" i="1"/>
  <c r="A337" i="1"/>
  <c r="J336" i="1"/>
  <c r="I336" i="1"/>
  <c r="H336" i="1"/>
  <c r="A336" i="1"/>
  <c r="J335" i="1"/>
  <c r="I335" i="1"/>
  <c r="H335" i="1"/>
  <c r="A335" i="1"/>
  <c r="A334" i="1"/>
  <c r="A333" i="1"/>
  <c r="J332" i="1"/>
  <c r="I332" i="1"/>
  <c r="H332" i="1"/>
  <c r="A332" i="1"/>
  <c r="J331" i="1"/>
  <c r="I331" i="1"/>
  <c r="H331" i="1"/>
  <c r="A331" i="1"/>
  <c r="A330" i="1"/>
  <c r="J329" i="1"/>
  <c r="I329" i="1"/>
  <c r="H329" i="1"/>
  <c r="A329" i="1"/>
  <c r="J328" i="1"/>
  <c r="I328" i="1"/>
  <c r="H328" i="1"/>
  <c r="A328" i="1"/>
  <c r="H327" i="1"/>
  <c r="A327" i="1"/>
  <c r="I326" i="1"/>
  <c r="H326" i="1"/>
  <c r="A326" i="1"/>
  <c r="I325" i="1"/>
  <c r="H325" i="1"/>
  <c r="A325" i="1"/>
  <c r="H324" i="1"/>
  <c r="A324" i="1"/>
  <c r="K323" i="1"/>
  <c r="J323" i="1"/>
  <c r="I323" i="1"/>
  <c r="H323" i="1"/>
  <c r="A323" i="1"/>
  <c r="K322" i="1"/>
  <c r="J322" i="1"/>
  <c r="I322" i="1"/>
  <c r="H322" i="1"/>
  <c r="A322" i="1"/>
  <c r="K321" i="1"/>
  <c r="J321" i="1"/>
  <c r="I321" i="1"/>
  <c r="H321" i="1"/>
  <c r="A321" i="1"/>
  <c r="K320" i="1"/>
  <c r="J320" i="1"/>
  <c r="I320" i="1"/>
  <c r="H320" i="1"/>
  <c r="A320" i="1"/>
  <c r="H319" i="1"/>
  <c r="A319" i="1"/>
  <c r="H318" i="1"/>
  <c r="A318" i="1"/>
  <c r="H317" i="1"/>
  <c r="A317" i="1"/>
  <c r="H316" i="1"/>
  <c r="A316" i="1"/>
  <c r="H315" i="1"/>
  <c r="A315" i="1"/>
  <c r="H314" i="1"/>
  <c r="A314" i="1"/>
  <c r="H313" i="1"/>
  <c r="A313" i="1"/>
  <c r="H312" i="1"/>
  <c r="A312" i="1"/>
  <c r="H311" i="1"/>
  <c r="A311" i="1"/>
  <c r="H310" i="1"/>
  <c r="A310" i="1"/>
  <c r="H309" i="1"/>
  <c r="A309" i="1"/>
  <c r="H308" i="1"/>
  <c r="A308" i="1"/>
  <c r="J307" i="1"/>
  <c r="I307" i="1"/>
  <c r="H307" i="1"/>
  <c r="A307" i="1"/>
  <c r="J306" i="1"/>
  <c r="I306" i="1"/>
  <c r="H306" i="1"/>
  <c r="A306" i="1"/>
  <c r="H305" i="1"/>
  <c r="A305" i="1"/>
  <c r="A304" i="1"/>
  <c r="K303" i="1"/>
  <c r="J303" i="1"/>
  <c r="I303" i="1"/>
  <c r="H303" i="1"/>
  <c r="A303" i="1"/>
  <c r="H302" i="1"/>
  <c r="A302" i="1"/>
  <c r="H301" i="1"/>
  <c r="A301" i="1"/>
  <c r="H300" i="1"/>
  <c r="A300" i="1"/>
  <c r="H299" i="1"/>
  <c r="A299" i="1"/>
  <c r="H298" i="1"/>
  <c r="A298" i="1"/>
  <c r="H297" i="1"/>
  <c r="A297" i="1"/>
  <c r="K296" i="1"/>
  <c r="J296" i="1"/>
  <c r="I296" i="1"/>
  <c r="H296" i="1"/>
  <c r="A296" i="1"/>
  <c r="A295" i="1"/>
  <c r="H294" i="1"/>
  <c r="A294" i="1"/>
  <c r="H293" i="1"/>
  <c r="A293" i="1"/>
  <c r="H292" i="1"/>
  <c r="A292" i="1"/>
  <c r="H291" i="1"/>
  <c r="A291" i="1"/>
  <c r="A290" i="1"/>
  <c r="H289" i="1"/>
  <c r="A289" i="1"/>
  <c r="H288" i="1"/>
  <c r="A288" i="1"/>
  <c r="H287" i="1"/>
  <c r="A287" i="1"/>
  <c r="H286" i="1"/>
  <c r="A286" i="1"/>
  <c r="A285" i="1"/>
  <c r="H284" i="1"/>
  <c r="A284" i="1"/>
  <c r="A283" i="1"/>
  <c r="H282" i="1"/>
  <c r="A282" i="1"/>
  <c r="H281" i="1"/>
  <c r="A281" i="1"/>
  <c r="H280" i="1"/>
  <c r="A280" i="1"/>
  <c r="J279" i="1"/>
  <c r="I279" i="1"/>
  <c r="H279" i="1"/>
  <c r="A279" i="1"/>
  <c r="H278" i="1"/>
  <c r="A278" i="1"/>
  <c r="H277" i="1"/>
  <c r="A277" i="1"/>
  <c r="H276" i="1"/>
  <c r="A276" i="1"/>
  <c r="H275" i="1"/>
  <c r="A275" i="1"/>
  <c r="J274" i="1"/>
  <c r="I274" i="1"/>
  <c r="H274" i="1"/>
  <c r="A274" i="1"/>
  <c r="H273" i="1"/>
  <c r="A273" i="1"/>
  <c r="H272" i="1"/>
  <c r="A272" i="1"/>
  <c r="J271" i="1"/>
  <c r="I271" i="1"/>
  <c r="H271" i="1"/>
  <c r="A271" i="1"/>
  <c r="H270" i="1"/>
  <c r="A270" i="1"/>
  <c r="H269" i="1"/>
  <c r="A269" i="1"/>
  <c r="A268" i="1"/>
  <c r="H267" i="1"/>
  <c r="A267" i="1"/>
  <c r="H266" i="1"/>
  <c r="A266" i="1"/>
  <c r="H265" i="1"/>
  <c r="A265" i="1"/>
  <c r="H264" i="1"/>
  <c r="A264" i="1"/>
  <c r="H263" i="1"/>
  <c r="A263" i="1"/>
  <c r="H262" i="1"/>
  <c r="A262" i="1"/>
  <c r="A261" i="1"/>
  <c r="H260" i="1"/>
  <c r="A260" i="1"/>
  <c r="H259" i="1"/>
  <c r="A259" i="1"/>
  <c r="J258" i="1"/>
  <c r="I258" i="1"/>
  <c r="H258" i="1"/>
  <c r="A258" i="1"/>
  <c r="H257" i="1"/>
  <c r="A257" i="1"/>
  <c r="H256" i="1"/>
  <c r="A256" i="1"/>
  <c r="H255" i="1"/>
  <c r="A255" i="1"/>
  <c r="H254" i="1"/>
  <c r="A254" i="1"/>
  <c r="H253" i="1"/>
  <c r="A253" i="1"/>
  <c r="A252" i="1"/>
  <c r="H251" i="1"/>
  <c r="A251" i="1"/>
  <c r="A250" i="1"/>
  <c r="A249" i="1"/>
  <c r="H248" i="1"/>
  <c r="A248" i="1"/>
  <c r="K247" i="1"/>
  <c r="J247" i="1"/>
  <c r="I247" i="1"/>
  <c r="H247" i="1"/>
  <c r="A247" i="1"/>
  <c r="K246" i="1"/>
  <c r="J246" i="1"/>
  <c r="I246" i="1"/>
  <c r="H246" i="1"/>
  <c r="A246" i="1"/>
  <c r="K245" i="1"/>
  <c r="J245" i="1"/>
  <c r="I245" i="1"/>
  <c r="H245" i="1"/>
  <c r="A245" i="1"/>
  <c r="H244" i="1"/>
  <c r="A244" i="1"/>
  <c r="A243" i="1"/>
  <c r="H242" i="1"/>
  <c r="A242" i="1"/>
  <c r="H241" i="1"/>
  <c r="A241" i="1"/>
  <c r="H240" i="1"/>
  <c r="A240" i="1"/>
  <c r="H239" i="1"/>
  <c r="A239" i="1"/>
  <c r="A238" i="1"/>
  <c r="H237" i="1"/>
  <c r="A237" i="1"/>
  <c r="H236" i="1"/>
  <c r="A236" i="1"/>
  <c r="H235" i="1"/>
  <c r="A235" i="1"/>
  <c r="H234" i="1"/>
  <c r="A234" i="1"/>
  <c r="A233" i="1"/>
  <c r="H232" i="1"/>
  <c r="A232" i="1"/>
  <c r="I231" i="1"/>
  <c r="H231" i="1"/>
  <c r="A231" i="1"/>
  <c r="H230" i="1"/>
  <c r="A230" i="1"/>
  <c r="H229" i="1"/>
  <c r="A229" i="1"/>
  <c r="A228" i="1"/>
  <c r="H227" i="1"/>
  <c r="A227" i="1"/>
  <c r="H226" i="1"/>
  <c r="A226" i="1"/>
  <c r="I225" i="1"/>
  <c r="H225" i="1"/>
  <c r="A225" i="1"/>
  <c r="A224" i="1"/>
  <c r="A223" i="1"/>
  <c r="H222" i="1"/>
  <c r="A222" i="1"/>
  <c r="H221" i="1"/>
  <c r="A221" i="1"/>
  <c r="H220" i="1"/>
  <c r="A220" i="1"/>
  <c r="H219" i="1"/>
  <c r="A219" i="1"/>
  <c r="H218" i="1"/>
  <c r="A218" i="1"/>
  <c r="H217" i="1"/>
  <c r="A217" i="1"/>
  <c r="K216" i="1"/>
  <c r="J216" i="1"/>
  <c r="I216" i="1"/>
  <c r="H216" i="1"/>
  <c r="A216" i="1"/>
  <c r="J215" i="1"/>
  <c r="I215" i="1"/>
  <c r="H215" i="1"/>
  <c r="A215" i="1"/>
  <c r="H214" i="1"/>
  <c r="A214" i="1"/>
  <c r="H213" i="1"/>
  <c r="A213" i="1"/>
  <c r="H212" i="1"/>
  <c r="A212" i="1"/>
  <c r="H211" i="1"/>
  <c r="A211" i="1"/>
  <c r="H210" i="1"/>
  <c r="A210" i="1"/>
  <c r="H209" i="1"/>
  <c r="A209" i="1"/>
  <c r="A208" i="1"/>
  <c r="H207" i="1"/>
  <c r="A207" i="1"/>
  <c r="H206" i="1"/>
  <c r="A206" i="1"/>
  <c r="H205" i="1"/>
  <c r="A205" i="1"/>
  <c r="K204" i="1"/>
  <c r="J204" i="1"/>
  <c r="I204" i="1"/>
  <c r="H204" i="1"/>
  <c r="A204" i="1"/>
  <c r="A203" i="1"/>
  <c r="A202" i="1"/>
  <c r="A201" i="1"/>
  <c r="H200" i="1"/>
  <c r="A200" i="1"/>
  <c r="H199" i="1"/>
  <c r="A199" i="1"/>
  <c r="K198" i="1"/>
  <c r="J198" i="1"/>
  <c r="I198" i="1"/>
  <c r="H198" i="1"/>
  <c r="A198" i="1"/>
  <c r="H197" i="1"/>
  <c r="A197" i="1"/>
  <c r="I196" i="1"/>
  <c r="H196" i="1"/>
  <c r="A196" i="1"/>
  <c r="H195" i="1"/>
  <c r="A195" i="1"/>
  <c r="H194" i="1"/>
  <c r="A194" i="1"/>
  <c r="H193" i="1"/>
  <c r="A193" i="1"/>
  <c r="J192" i="1"/>
  <c r="I192" i="1"/>
  <c r="H192" i="1"/>
  <c r="A192" i="1"/>
  <c r="H191" i="1"/>
  <c r="A191" i="1"/>
  <c r="A190" i="1"/>
  <c r="K189" i="1"/>
  <c r="J189" i="1"/>
  <c r="I189" i="1"/>
  <c r="H189" i="1"/>
  <c r="A189" i="1"/>
  <c r="A188" i="1"/>
  <c r="A187" i="1"/>
  <c r="H186" i="1"/>
  <c r="A186" i="1"/>
  <c r="H185" i="1"/>
  <c r="A185" i="1"/>
  <c r="H184" i="1"/>
  <c r="A184" i="1"/>
  <c r="I183" i="1"/>
  <c r="H183" i="1"/>
  <c r="A183" i="1"/>
  <c r="A182" i="1"/>
  <c r="A181" i="1"/>
  <c r="H180" i="1"/>
  <c r="A180" i="1"/>
  <c r="H179" i="1"/>
  <c r="A179" i="1"/>
  <c r="K178" i="1"/>
  <c r="J178" i="1"/>
  <c r="I178" i="1"/>
  <c r="H178" i="1"/>
  <c r="A178" i="1"/>
  <c r="K177" i="1"/>
  <c r="J177" i="1"/>
  <c r="I177" i="1"/>
  <c r="H177" i="1"/>
  <c r="A177" i="1"/>
  <c r="H176" i="1"/>
  <c r="A176" i="1"/>
  <c r="H175" i="1"/>
  <c r="A175" i="1"/>
  <c r="H174" i="1"/>
  <c r="A174" i="1"/>
  <c r="H173" i="1"/>
  <c r="A173" i="1"/>
  <c r="H172" i="1"/>
  <c r="A172" i="1"/>
  <c r="H171" i="1"/>
  <c r="A171" i="1"/>
  <c r="H170" i="1"/>
  <c r="A170" i="1"/>
  <c r="A169" i="1"/>
  <c r="H168" i="1"/>
  <c r="A168" i="1"/>
  <c r="H167" i="1"/>
  <c r="A167" i="1"/>
  <c r="K166" i="1"/>
  <c r="J166" i="1"/>
  <c r="I166" i="1"/>
  <c r="H166" i="1"/>
  <c r="A166" i="1"/>
  <c r="K165" i="1"/>
  <c r="J165" i="1"/>
  <c r="I165" i="1"/>
  <c r="H165" i="1"/>
  <c r="A165" i="1"/>
  <c r="K164" i="1"/>
  <c r="J164" i="1"/>
  <c r="I164" i="1"/>
  <c r="H164" i="1"/>
  <c r="A164" i="1"/>
  <c r="K163" i="1"/>
  <c r="J163" i="1"/>
  <c r="I163" i="1"/>
  <c r="H163" i="1"/>
  <c r="A163" i="1"/>
  <c r="K162" i="1"/>
  <c r="J162" i="1"/>
  <c r="I162" i="1"/>
  <c r="H162" i="1"/>
  <c r="A162" i="1"/>
  <c r="K161" i="1"/>
  <c r="J161" i="1"/>
  <c r="I161" i="1"/>
  <c r="H161" i="1"/>
  <c r="A161" i="1"/>
  <c r="H160" i="1"/>
  <c r="A160" i="1"/>
  <c r="H159" i="1"/>
  <c r="A159" i="1"/>
  <c r="H158" i="1"/>
  <c r="A158" i="1"/>
  <c r="H157" i="1"/>
  <c r="A157" i="1"/>
  <c r="H156" i="1"/>
  <c r="A156" i="1"/>
  <c r="H155" i="1"/>
  <c r="A155" i="1"/>
  <c r="H154" i="1"/>
  <c r="A154" i="1"/>
  <c r="A153" i="1"/>
  <c r="H152" i="1"/>
  <c r="A152" i="1"/>
  <c r="H151" i="1"/>
  <c r="A151" i="1"/>
  <c r="H150" i="1"/>
  <c r="A150" i="1"/>
  <c r="H149" i="1"/>
  <c r="A149" i="1"/>
  <c r="H148" i="1"/>
  <c r="A148" i="1"/>
  <c r="H147" i="1"/>
  <c r="A147" i="1"/>
  <c r="H146" i="1"/>
  <c r="A146" i="1"/>
  <c r="J145" i="1"/>
  <c r="I145" i="1"/>
  <c r="H145" i="1"/>
  <c r="A145" i="1"/>
  <c r="H144" i="1"/>
  <c r="A144" i="1"/>
  <c r="H143" i="1"/>
  <c r="A143" i="1"/>
  <c r="H142" i="1"/>
  <c r="A142" i="1"/>
  <c r="H141" i="1"/>
  <c r="A141" i="1"/>
  <c r="H140" i="1"/>
  <c r="A140" i="1"/>
  <c r="H139" i="1"/>
  <c r="A139" i="1"/>
  <c r="H138" i="1"/>
  <c r="A138" i="1"/>
  <c r="A137" i="1"/>
  <c r="K136" i="1"/>
  <c r="J136" i="1"/>
  <c r="I136" i="1"/>
  <c r="H136" i="1"/>
  <c r="A136" i="1"/>
  <c r="H135" i="1"/>
  <c r="A135" i="1"/>
  <c r="H134" i="1"/>
  <c r="A134" i="1"/>
  <c r="H133" i="1"/>
  <c r="A133" i="1"/>
  <c r="A132" i="1"/>
  <c r="H131" i="1"/>
  <c r="A131" i="1"/>
  <c r="I130" i="1"/>
  <c r="H130" i="1"/>
  <c r="A130" i="1"/>
  <c r="H129" i="1"/>
  <c r="A129" i="1"/>
  <c r="H128" i="1"/>
  <c r="A128" i="1"/>
  <c r="H127" i="1"/>
  <c r="A127" i="1"/>
  <c r="I126" i="1"/>
  <c r="H126" i="1"/>
  <c r="A126" i="1"/>
  <c r="H125" i="1"/>
  <c r="A125" i="1"/>
  <c r="A124" i="1"/>
  <c r="J123" i="1"/>
  <c r="I123" i="1"/>
  <c r="H123" i="1"/>
  <c r="A123" i="1"/>
  <c r="H122" i="1"/>
  <c r="A122" i="1"/>
  <c r="H121" i="1"/>
  <c r="A121" i="1"/>
  <c r="H120" i="1"/>
  <c r="A120" i="1"/>
  <c r="H119" i="1"/>
  <c r="A119" i="1"/>
  <c r="H118" i="1"/>
  <c r="A118" i="1"/>
  <c r="H117" i="1"/>
  <c r="A117" i="1"/>
  <c r="H116" i="1"/>
  <c r="A116" i="1"/>
  <c r="H115" i="1"/>
  <c r="A115" i="1"/>
  <c r="H114" i="1"/>
  <c r="A114" i="1"/>
  <c r="A113" i="1"/>
  <c r="H112" i="1"/>
  <c r="A112" i="1"/>
  <c r="I111" i="1"/>
  <c r="H111" i="1"/>
  <c r="A111" i="1"/>
  <c r="A110" i="1"/>
  <c r="H109" i="1"/>
  <c r="A109" i="1"/>
  <c r="I108" i="1"/>
  <c r="H108" i="1"/>
  <c r="A108" i="1"/>
  <c r="H107" i="1"/>
  <c r="A107" i="1"/>
  <c r="H106" i="1"/>
  <c r="A106" i="1"/>
  <c r="H105" i="1"/>
  <c r="A105" i="1"/>
  <c r="H104" i="1"/>
  <c r="A104" i="1"/>
  <c r="H103" i="1"/>
  <c r="A103" i="1"/>
  <c r="H102" i="1"/>
  <c r="A102" i="1"/>
  <c r="A101" i="1"/>
  <c r="J100" i="1"/>
  <c r="I100" i="1"/>
  <c r="H100" i="1"/>
  <c r="A100" i="1"/>
  <c r="H99" i="1"/>
  <c r="A99" i="1"/>
  <c r="H98" i="1"/>
  <c r="A98" i="1"/>
  <c r="H97" i="1"/>
  <c r="A97" i="1"/>
  <c r="H96" i="1"/>
  <c r="A96" i="1"/>
  <c r="H95" i="1"/>
  <c r="A95" i="1"/>
  <c r="H94" i="1"/>
  <c r="A94" i="1"/>
  <c r="H93" i="1"/>
  <c r="A93" i="1"/>
  <c r="A92" i="1"/>
  <c r="I91" i="1"/>
  <c r="H91" i="1"/>
  <c r="A91" i="1"/>
  <c r="H90" i="1"/>
  <c r="A90" i="1"/>
  <c r="A89" i="1"/>
  <c r="H88" i="1"/>
  <c r="A88" i="1"/>
  <c r="H87" i="1"/>
  <c r="A87" i="1"/>
  <c r="J86" i="1"/>
  <c r="I86" i="1"/>
  <c r="H86" i="1"/>
  <c r="A86" i="1"/>
  <c r="H85" i="1"/>
  <c r="A85" i="1"/>
  <c r="J84" i="1"/>
  <c r="I84" i="1"/>
  <c r="H84" i="1"/>
  <c r="A84" i="1"/>
  <c r="H83" i="1"/>
  <c r="A83" i="1"/>
  <c r="H82" i="1"/>
  <c r="A82" i="1"/>
  <c r="H81" i="1"/>
  <c r="A81" i="1"/>
  <c r="H80" i="1"/>
  <c r="A80" i="1"/>
  <c r="I79" i="1"/>
  <c r="H79" i="1"/>
  <c r="A79" i="1"/>
  <c r="H78" i="1"/>
  <c r="A78" i="1"/>
  <c r="H77" i="1"/>
  <c r="A77" i="1"/>
  <c r="H76" i="1"/>
  <c r="A76" i="1"/>
  <c r="H75" i="1"/>
  <c r="A75" i="1"/>
  <c r="H74" i="1"/>
  <c r="A74" i="1"/>
  <c r="H73" i="1"/>
  <c r="A73" i="1"/>
  <c r="K72" i="1"/>
  <c r="J72" i="1"/>
  <c r="I72" i="1"/>
  <c r="H72" i="1"/>
  <c r="A72" i="1"/>
  <c r="H71" i="1"/>
  <c r="A71" i="1"/>
  <c r="H70" i="1"/>
  <c r="A70" i="1"/>
  <c r="J69" i="1"/>
  <c r="I69" i="1"/>
  <c r="H69" i="1"/>
  <c r="A69" i="1"/>
  <c r="A68" i="1"/>
  <c r="H67" i="1"/>
  <c r="A67" i="1"/>
  <c r="H66" i="1"/>
  <c r="A66" i="1"/>
  <c r="H65" i="1"/>
  <c r="A65" i="1"/>
  <c r="H64" i="1"/>
  <c r="A64" i="1"/>
  <c r="H63" i="1"/>
  <c r="A63" i="1"/>
  <c r="A62" i="1"/>
  <c r="H61" i="1"/>
  <c r="A61" i="1"/>
  <c r="H60" i="1"/>
  <c r="A60" i="1"/>
  <c r="H59" i="1"/>
  <c r="A59" i="1"/>
  <c r="H58" i="1"/>
  <c r="A58" i="1"/>
  <c r="H57" i="1"/>
  <c r="A57" i="1"/>
  <c r="H56" i="1"/>
  <c r="A56" i="1"/>
  <c r="H55" i="1"/>
  <c r="A55" i="1"/>
  <c r="H54" i="1"/>
  <c r="A54" i="1"/>
  <c r="H53" i="1"/>
  <c r="A53" i="1"/>
  <c r="H52" i="1"/>
  <c r="A52" i="1"/>
  <c r="H51" i="1"/>
  <c r="A51" i="1"/>
  <c r="I50" i="1"/>
  <c r="H50" i="1"/>
  <c r="A50" i="1"/>
  <c r="H49" i="1"/>
  <c r="A49" i="1"/>
  <c r="H48" i="1"/>
  <c r="A48" i="1"/>
  <c r="A47" i="1"/>
  <c r="H46" i="1"/>
  <c r="A46" i="1"/>
  <c r="H45" i="1"/>
  <c r="A45" i="1"/>
  <c r="H44" i="1"/>
  <c r="A44" i="1"/>
  <c r="I43" i="1"/>
  <c r="H43" i="1"/>
  <c r="A43" i="1"/>
  <c r="H42" i="1"/>
  <c r="A42" i="1"/>
  <c r="H41" i="1"/>
  <c r="A41" i="1"/>
  <c r="H40" i="1"/>
  <c r="A40" i="1"/>
  <c r="H39" i="1"/>
  <c r="A39" i="1"/>
  <c r="J38" i="1"/>
  <c r="I38" i="1"/>
  <c r="H38" i="1"/>
  <c r="A38" i="1"/>
  <c r="J37" i="1"/>
  <c r="I37" i="1"/>
  <c r="H37" i="1"/>
  <c r="A37" i="1"/>
  <c r="H36" i="1"/>
  <c r="A36" i="1"/>
  <c r="A35" i="1"/>
  <c r="H34" i="1"/>
  <c r="A34" i="1"/>
  <c r="H33" i="1"/>
  <c r="A33" i="1"/>
  <c r="H32" i="1"/>
  <c r="A32" i="1"/>
  <c r="H31" i="1"/>
  <c r="A31" i="1"/>
  <c r="H30" i="1"/>
  <c r="A30" i="1"/>
  <c r="K29" i="1"/>
  <c r="J29" i="1"/>
  <c r="I29" i="1"/>
  <c r="H29" i="1"/>
  <c r="A29" i="1"/>
  <c r="A28" i="1"/>
  <c r="H27" i="1"/>
  <c r="A27" i="1"/>
  <c r="H26" i="1"/>
  <c r="A26" i="1"/>
  <c r="A25" i="1"/>
  <c r="A24" i="1"/>
  <c r="H23" i="1"/>
  <c r="A23" i="1"/>
  <c r="H22" i="1"/>
  <c r="A22" i="1"/>
  <c r="K21" i="1"/>
  <c r="J21" i="1"/>
  <c r="I21" i="1"/>
  <c r="H21" i="1"/>
  <c r="A21" i="1"/>
  <c r="H20" i="1"/>
  <c r="A20" i="1"/>
  <c r="H19" i="1"/>
  <c r="A19" i="1"/>
  <c r="H18" i="1"/>
  <c r="A18" i="1"/>
  <c r="A17" i="1"/>
  <c r="H16" i="1"/>
  <c r="A16" i="1"/>
  <c r="H15" i="1"/>
  <c r="A15" i="1"/>
  <c r="H14" i="1"/>
  <c r="A14" i="1"/>
  <c r="H13" i="1"/>
  <c r="A13" i="1"/>
  <c r="I12" i="1"/>
  <c r="H12" i="1"/>
  <c r="A12" i="1"/>
  <c r="H11" i="1"/>
  <c r="A11" i="1"/>
  <c r="K10" i="1"/>
  <c r="J10" i="1"/>
  <c r="I10" i="1"/>
  <c r="H10" i="1"/>
  <c r="A10" i="1"/>
  <c r="H9" i="1"/>
  <c r="A9" i="1"/>
  <c r="H8" i="1"/>
  <c r="A8" i="1"/>
  <c r="H7" i="1"/>
  <c r="A7" i="1"/>
  <c r="I6" i="1"/>
  <c r="H6" i="1"/>
  <c r="A6" i="1"/>
  <c r="H5" i="1"/>
  <c r="A5" i="1"/>
  <c r="I4" i="1"/>
  <c r="H4" i="1"/>
  <c r="A4" i="1"/>
  <c r="H3" i="1"/>
  <c r="A3" i="1"/>
  <c r="A2" i="1"/>
</calcChain>
</file>

<file path=xl/sharedStrings.xml><?xml version="1.0" encoding="utf-8"?>
<sst xmlns="http://schemas.openxmlformats.org/spreadsheetml/2006/main" count="1148" uniqueCount="516">
  <si>
    <t>id</t>
  </si>
  <si>
    <t>screen_name</t>
  </si>
  <si>
    <t>created_at</t>
  </si>
  <si>
    <t>fav</t>
  </si>
  <si>
    <t>rt</t>
  </si>
  <si>
    <t>RTed</t>
  </si>
  <si>
    <t>text</t>
  </si>
  <si>
    <t>media1</t>
  </si>
  <si>
    <t>media2</t>
  </si>
  <si>
    <t>media3</t>
  </si>
  <si>
    <t>media4</t>
  </si>
  <si>
    <t>compound</t>
  </si>
  <si>
    <t>neg</t>
  </si>
  <si>
    <t>neu</t>
  </si>
  <si>
    <t>pos</t>
  </si>
  <si>
    <t>FranceauQatar</t>
  </si>
  <si>
    <t>OryxFM</t>
  </si>
  <si>
    <t>EmmanuelMacron</t>
  </si>
  <si>
    <t>francediplo_AR</t>
  </si>
  <si>
    <t>francediplo_EN</t>
  </si>
  <si>
    <t>francediplo</t>
  </si>
  <si>
    <t>PeninsulaQatar</t>
  </si>
  <si>
    <t>almayassahamad</t>
  </si>
  <si>
    <t>CristianTudorEU</t>
  </si>
  <si>
    <t>AmiriDiwan</t>
  </si>
  <si>
    <t>QNAEnglish</t>
  </si>
  <si>
    <t>NadeebQa</t>
  </si>
  <si>
    <t>GDarmanin</t>
  </si>
  <si>
    <t>MinColonna</t>
  </si>
  <si>
    <t>EtatMajorFR</t>
  </si>
  <si>
    <t>ifqdoha</t>
  </si>
  <si>
    <t>MofaQatar_AR</t>
  </si>
  <si>
    <t>MofaQatar_FR</t>
  </si>
  <si>
    <t>Vœux 2023 aux Français. https://t.co/vKa0IPLfkM</t>
  </si>
  <si>
    <t>Le Jeu. Le Roi. L’Éternité.
O Jogo. O Rei. A Eternidade. https://t.co/ZjeaF7zIGx</t>
  </si>
  <si>
    <t>France🇫🇷 continues to fulfill its commitments at the 'Standing with the #Ukrainian people' international conference on 13/12.
Tangible and immediate support → electric circuit breakers and several lightning arresters are on ther way to help 🇺🇦 get through winter.
@CdCMAE https://t.co/oq1hAEUbY2</t>
  </si>
  <si>
    <t>The Foreign Ministers of 🇦🇺🇨🇦🇫🇷🇩🇪🇮🇹🇯🇵🇳🇱🇳🇴🇨🇭🇬🇧🇺🇸 &amp;amp; the High Representative for 🇪🇺 are gravely concerned that the Taliban’s reckless and dangerous order barring female employees of NGOs from the workplace puts at risk millions of Afghans.
Joint statement 👉 https://t.co/RlG8bTe4E0 https://t.co/UckA0zNQ7G</t>
  </si>
  <si>
    <t>La France🇫🇷 poursuit la mise en œuvre des engagements pris lors de la conférence internationale de solidarité pour l'#Ukraine du 13/12.
Un soutien concret et immédiat : des disjoncteurs et plusieurs para-foudres sont en cours d'acheminement pour aider l'🇺🇦 à passer l'hiver. https://t.co/5138foa4Vx</t>
  </si>
  <si>
    <t>FranceintheUK</t>
  </si>
  <si>
    <t>Today's the 200th anniversary of the birth of Louis Pasteur, the 🇫🇷 scientist whose work in microbiology saved millions of lives. @institutpasteur, named in his honour, is 1 of the world's leading research foundations in the field of infectious diseases😷
https://t.co/DitdM9Ekrs https://t.co/p94fQCvda5</t>
  </si>
  <si>
    <t>Je vous souhaite un Joyeux Noël et de très bonnes Fêtes de fin d'année.
Puissent ces moments être pour toutes et tous des moments de paix et de fraternité. https://t.co/3maHqqy6fg</t>
  </si>
  <si>
    <t>✨@francediplo vous souhaite de très belles fêtes de fin d’année. https://t.co/lad2oRnHwE</t>
  </si>
  <si>
    <t>#العالم_العربي في #باريس |
أين هذا المكان برأيكم؟
هناك مسجد باريس الكبير والحديقة والمقهى ضمنه.
دشِّن في يوم 15 يوليو 1926.
إن الزيارة مفتوحة لكل وذلك يمثل فرصة لاكتشاف الثقافة الإسلامية في باريس. https://t.co/a92MISCBna</t>
  </si>
  <si>
    <t>❞أتمنى لجميع العاملين في وزارة أوروبا والشؤون الخارجية في فرنسا وسائر بلدان العالم أعيادًا سعيدةً. وأشكرهم كل الشكر على كل ما يبذلونه من جهود من أجل بلدنا ومواطنينا.❝
➖كاترين كولونا https://t.co/vOjN4jBv6l</t>
  </si>
  <si>
    <t>#العالم_العربي في #باريس |
#هل_تعلم : خُصِّصَ هذا الممشى الذي يقع عند سفح برج إيفل للكاتب اللبناني خليل جبران. 
📸 : ممشى "خليل جبران" في الدائرة الخامسة عشرة 
© وزارة أوروبا والشؤون الخارجية /جوديث ليتفين https://t.co/XxpzcUUOou</t>
  </si>
  <si>
    <t>https://t.co/eHiDG9syKr</t>
  </si>
  <si>
    <t>#Qatar | A la demande des autorités 🇶🇦, les armées 🇫🇷 ont contribué à la sécurisation de @FIFAWorldCup : missions de conseil , de surveillance de l’espace aérien et de lutte anti-drones aux abords des stades. https://t.co/PIoebBSuLu</t>
  </si>
  <si>
    <t>بمناسبة الأسبوع العالمي للغة #العربية، لنتذكر أهمية لغة الضاد في الدبلوماسية الفرنسية 🇫🇷 https://t.co/y5aBEgjc1Q</t>
  </si>
  <si>
    <t>#التنوّع_البيولوجي | تشيد فرنسا بالاتفاق الذي تم التوصل إليه في الدورة الخامسة عشرة لمؤتمر الأطراف الذي عقد في مدينة مونتريال، وهو اتفاق منقطع النظير في مجال حماية التنوّع البيولوجي.
التصريح ← https://t.co/i3if6f03yq https://t.co/m7z11G4GHC</t>
  </si>
  <si>
    <t>Elysee</t>
  </si>
  <si>
    <t>EN DIRECT | En Jordanie, le Président @EmmanuelMacron participe au 2e Sommet de Bagdad pour la coopération et le partenariat. https://t.co/EZZoIkWrqj</t>
  </si>
  <si>
    <t>equipedefrance</t>
  </si>
  <si>
    <t>Votre accueil fait chaud au cœur 💙
Merci 🫶 
#FiersdetreBleus https://t.co/DM5CREzd4L</t>
  </si>
  <si>
    <t>Les Bleus sont de retour à la maison ! 📍🇫🇷
#FiersdetreBleus https://t.co/njL46w1hms</t>
  </si>
  <si>
    <t>IF_Supporters</t>
  </si>
  <si>
    <t>« Pour ton maillot, pour ton emblème, de tout mon cœur je chanterais France je t’aime » 💙🤍❤️ https://t.co/Siq7ACmVc4</t>
  </si>
  <si>
    <t>AOC1978</t>
  </si>
  <si>
    <t>Bravo aux policiers, gendarmes et militaires 🇫🇷 qui ont contribué à sécuriser la #CoupeDuMondeFIFA 
Bravo aux entreprises 🇫🇷 dont les solutions en ont fluidifié les transports, la logistique et l’organisation 
Le Président @EmmanuelMacron les a chaleureusement remerciés ce matin https://t.co/PERwQ0sJG3</t>
  </si>
  <si>
    <t>Nous espérions vous offrir une fin différente aujourd'hui...
𝗠𝗲𝗿𝗰𝗶 à tous pour votre 𝘀𝗼𝘂𝘁𝗶𝗲𝗻 depuis le début de la Coupe du Monde 🇫🇷💙
#FiersdetreBleus https://t.co/IfCvF2XurN</t>
  </si>
  <si>
    <t>Fiers de vous. https://t.co/9RMjIGMKGU</t>
  </si>
  <si>
    <t>EN DIRECT | Le Président Emmanuel Macron s’exprime à l’issue de la finale de la Coupe du Monde. https://t.co/Nd4HCFGc2N</t>
  </si>
  <si>
    <t>Bravo à l'équipe de France pour son parcours et sa combativité dans cette Coupe du Monde. Vous avez fait vibrer la Nation et les supporters du monde entier. Félicitations à l'Argentine pour sa victoire.</t>
  </si>
  <si>
    <t>شكرا جزيلا #للزرق ⭐️⭐️
#كأس_العالم_قطر_2022 #قطر2022 #نهائي_كأس_العالم #نهائي_كاس_العالم_الارجنتين_فرنسا
@fifacom_ar @equipedefrance @FFF https://t.co/qLzbGeyUy8</t>
  </si>
  <si>
    <t>MERCI LES #BLEUS ⭐️⭐️
🇨🇵🇨🇵🇨🇵
#FIFAWorldCupQatar2022 #AllezlesBleus #Fiersdetrebleus 
@equipedefrance @FFF 
#FIFAWorldCup #Qatar2022 
@roadto2022 @FIFAWorldCup https://t.co/XVm3PLNRwx</t>
  </si>
  <si>
    <t>Les Bleus nous ont fait rêver.</t>
  </si>
  <si>
    <t>💔 Au bout du suspense, la tristesse. Nos Bleus ont su relever la tête pour nous offrir une finale de légende. Bravo à eux, bravo à l'Argentine et à Messi. Kylian, Hugo, Didier et toute l'équipe : séchez vos larmes, vous avez rendu fière la France 🇲🇫⚽💙
#FiersDetreBleus https://t.co/u2pbZvUNX0</t>
  </si>
  <si>
    <t>Au terme d'une finale complètement folle, l'Equipe de France s'incline aux tirs au but face à l'Argentine.
Ce magnifique parcours s'arrête si près du but...
🇦🇷🇫🇷 | #ARGFRA | #FiersdetreBleus https://t.co/SkVpYqlKj9</t>
  </si>
  <si>
    <t>ＭＥＲＣＩ
@equipedefrance 
🟦🟦⬜️⬜️🟥🟥 https://t.co/aJLyJtEEaj</t>
  </si>
  <si>
    <t>Magie du sport 💙💙💙 https://t.co/bOOCy8JjRY</t>
  </si>
  <si>
    <t>Allez, 
On y retourne,
On lâche rien,
On donne tout ! 👊
🇦🇷2-2🇫🇷 | #ARGFRA | #FiersdetreBleus https://t.co/i99jwnLeGO</t>
  </si>
  <si>
    <t>𝘼𝙇𝙇𝙀𝙕 𝙇𝙀𝙎 𝘽𝙇𝙀𝙐𝙎 ! 🔵⚪🔴
🇦🇷0-0🇫🇷 | #ARGFRA | #FiersdetreBleus https://t.co/S1IvkOZhB0</t>
  </si>
  <si>
    <t>Les Bleus !</t>
  </si>
  <si>
    <t>C’est parti ! 🇫🇷🇫🇷
Allez les Bleus ✊
#FiersdetreBleus 
#ARGFRA https://t.co/4F8uy0YmSP</t>
  </si>
  <si>
    <t>مباراة ستكون تاريخية قد تمكن #الزرق من تحقيق انجاز كبير والفوز ب #كأس_العالم_قطر_2022 . 
جميعنا مع #الزرق.
#كأس_العالم_قطر_2022 #قطر2022 #نهائي_كأس_العالم #نهائي_كاس_العالم_الارجنتين_فرنسا 🇨🇵🇨🇵🇨🇵🇨🇵
#FIFAWorldCup #Qatar2022 https://t.co/J6ZmvihU01 https://t.co/ic1aY6gocs</t>
  </si>
  <si>
    <t>Match historique. Les #Bleus sont à un match de l’exploit et du trophée de la Coupe du monde #FIFAWorldCupQatar2022. Plus que jamais avec nos #Bleus !
#Gardezlacoupealamaison 
#AllezlesBleus #FiersdetreBleus 🇨🇵🇨🇵🇨🇵 @FIFAWorldCup #Qatar2022 https://t.co/XUhN2e71UX</t>
  </si>
  <si>
    <t>Voici le 1️⃣1️⃣ de départ pour notre 𝗙𝗶𝗻𝗮𝗹𝗲 𝗱𝗲 𝗖𝗼𝘂𝗽𝗲 𝗱𝘂 𝗠𝗼𝗻𝗱𝗲 contre l'Argentine ⚔️🔥
Coup d'envoi 16h00 sur @TF1 📺
𝗧𝗢𝗨𝗦 𝗗𝗘𝗥𝗥𝗜𝗘̀𝗥𝗘 𝗡𝗢𝗦 𝗕𝗟𝗘𝗨𝗦 💪
#ARGFRA | #FiersdetreBleus https://t.co/99GpTLVJsF</t>
  </si>
  <si>
    <t>FFF</t>
  </si>
  <si>
    <t>Les supporters français en 🔥 avant la finale de la Coupe du Monde 🏆🇫🇷 https://t.co/98gG8EZxuu</t>
  </si>
  <si>
    <t>alkasschannel</t>
  </si>
  <si>
    <t>حماس مشجع فرنسي قبل المباراة بمحيط استاد لوسيل
@FFF @equipedefrance
#الأرجنتين_فرنسا
#قطر2022
#كأس_العالم
#قنوات_الكاس https://t.co/ofP70mbwbK</t>
  </si>
  <si>
    <t>𝙳𝚎𝚛𝚗𝚒𝚎̀𝚛𝚎𝚜 𝗽𝗿𝗲́𝗽𝗮𝗿𝗮𝘁𝗶𝗼𝗻𝘀 𝚊𝚟𝚊𝚗𝚝 𝚕'𝚊𝚛𝚛𝚒𝚟𝚎́𝚎 𝚍𝚎𝚜 𝚓𝚘𝚞𝚎𝚞𝚛𝚜 👀🔥
#ARGFRA | #FiersdetreBleus https://t.co/S3fdfsbAyB</t>
  </si>
  <si>
    <t>🇦🇷🇫🇷 
#ARGFRA | #FiersdetreBleus https://t.co/a2Um2BrLOy</t>
  </si>
  <si>
    <t>On remet ça ? https://t.co/MDKOvx6l9x</t>
  </si>
  <si>
    <t>mohamedelgazar4</t>
  </si>
  <si>
    <t>#بالفيديو 🎦
الرئيس الفرنسي #إيمانويل_ماكرون في مطعم #بيت_التلة بالحي الثقافي #كتارا مع قرينته قبل التوجه لملعب #لوسيل لحضور المباراة النهائية بين فرنسا و الأرجنتين 🇦🇷🇫🇷
@EmmanuelMacron | @kataraqatar 
#المونديال_مع_الجزار | #Qatar2022 https://t.co/ZLzVGHcksp</t>
  </si>
  <si>
    <t>Et ⭐️... Et ⭐️⭐️... Et ⭐️⭐️⭐️ ?
Allez les Bleus 💪🍀 Tous derrière notre @equipedefrance, qui a rendez-vous avec l’histoire 🚀🇫🇷 ! 
#FiersdetreBleus
#ARGFRA  #FIFAWorldCupQatar2022 https://t.co/NQsUiXPpL5</t>
  </si>
  <si>
    <t>Le point de regroupement des supporters à Doha 🇶🇦
https://t.co/4V3gn9Jdsp
🟦⬜️🟥</t>
  </si>
  <si>
    <t>Un match pour rentrer dans l'𝙃𝙞𝙨𝙩𝙤𝙞𝙧𝙚 👊
🇦🇷 ARGENTINE 🆚 FRANCE 🇫🇷
⏰ 16H00
📺 @TF1 
#ARGFRA | #FiersdetreBleus https://t.co/rBFB5vjH2d</t>
  </si>
  <si>
    <t>"On est là pour représenter notre 𝙥𝙖𝙮𝙨, pour rendre fière la 𝙁𝙧𝙖𝙣𝙘𝙚 🇫🇷"
#ARGFRA | #FiersdetreBleus https://t.co/O5isusLFi7</t>
  </si>
  <si>
    <t>French President arrived in #Doha to attend the final match of the FIFA World Cup Qatar 2022, between #France and #Argentina. #QNA
#Argentina_France
#WorldCupQatar2022
#QATAR2022 #FIFAWorldCup
https://t.co/RaJFznqHXG https://t.co/s3XgyR74h9</t>
  </si>
  <si>
    <t>4️⃣ 𝗳𝗶𝗻𝗮𝗹𝗲𝘀 en 6️⃣ 𝗮𝗻𝘀 ! 🇫🇷🙌
&amp;gt; 𝟮𝟬𝟭𝟲 : Finale Euro 👊
&amp;gt; 𝟮𝟬𝟭𝟴 : Finale Coupe du Monde 🌟
&amp;gt; 𝟮𝟬𝟮𝟭 : Finale Nations League 🔥
&amp;gt; 𝟮𝟬𝟮𝟮 : Finale Coupe du Monde 💫
#FiersdetreBleus https://t.co/MknLAaDlsg</t>
  </si>
  <si>
    <t>💌 @dembouz a un petit 𝗺𝗲𝘀𝘀𝗮𝗴𝗲 pour vous 😉
💬 Alors, vous êtes 𝗽𝗿𝗲̂𝘁𝘀 à soutenir nos Bleus ?
#FiersdetreBleus https://t.co/Bycp8CrO75</t>
  </si>
  <si>
    <t>Benayadachraf</t>
  </si>
  <si>
    <t>حلقة جميلة جدا في برنامج المجلس مع سعادة السفيرين الفرنسي و الأرجنتيني في دولة قطر قبل المباراة النهائية لمونديال العرب 🇶🇦❤️ @majless_alkass @alkasschannel @khalidjassem74 @FranceauQatar @embargenqatar https://t.co/eqzD6aL7Dj</t>
  </si>
  <si>
    <t>LaTourEiffel</t>
  </si>
  <si>
    <t>🇫🇷 Vive les vacances ! J'étends mes horaires en soirée pour encore plus de magie : venez me visiter en famille, entre amis ou en amoureux ! ✨❤️
👉https://t.co/aWOb1hcQgH https://t.co/eLBdUhQQVx</t>
  </si>
  <si>
    <t>#مجلس_قناة_الكاس | 
سعادة جان باتيست فافر - السفير الفرنسي لدى دولة قطر: الرئيس الفرنسي كان مستمتعاً جداً بزيارته لسوق واقف 
#كاس_العالم_قطر_2022 | #FIFAWorldCup | #Qatar2022
#كأس_العالم
#قطر2022
@FranceauQatar https://t.co/0yHYJ0wCNT</t>
  </si>
  <si>
    <t>#مجلس_قناة_الكاس | 
سعادة جان باتيست فافر - السفير الفرنسي لدى دولة قطر: 
هنالك 19 الف مشجع فرنسي مسجل على بطاقة هيا وهو اكثر مما كان عليه في مونديال روسيا وهذا يدل على أهتمام كبير من الفرنسيين
#كاس_العالم_قطر_2022 | #FIFAWorldCup | #Qatar2022
#كأس_العالم
#قطر2022
@FranceauQatar https://t.co/71bMO4S5oI</t>
  </si>
  <si>
    <t>#مجلس_قناة_الكاس | 
سعادة جان باتيست فافر - السفير الفرنسي لدى دولة قطر: المنتخب الارجنتيني يمتلك قوة جماعية ولديهم مدرب ذكي 
#كاس_العالم_قطر_2022 | #FIFAWorldCup | #Qatar2022
#كأس_العالم
#قطر2022
@FranceauQatar https://t.co/FESya8IQig</t>
  </si>
  <si>
    <t>#مجلس_قناة_الكاس | 
سفيري #الأرجنتين و #فرنسا في قطر في ضيافة برنامج #المجلس 
#كاس_العالم_قطر_2022 | #FIFAWorldCup | #Qatar2022
#كأس_العالم
#قطر2022
@FranceauQatar
@embargenqatar https://t.co/5CyXvSZxcN</t>
  </si>
  <si>
    <t>L’@equipedefrance a enregistré sa sixième meilleure audience de son histoire 📺❗️
🇫🇷🇲🇦 https://t.co/xhZuWZbEv2</t>
  </si>
  <si>
    <t>FranceinOman</t>
  </si>
  <si>
    <t>An Important message to #Majomba from @LucianoRispoli1 
#WorldCup2022 #allezlesbleus #franceinoman #francemaroc https://t.co/pVqT89KEtU</t>
  </si>
  <si>
    <t>Marsalqatar</t>
  </si>
  <si>
    <t>🎥| الرئيس الفرنسي إيمانويل ماكرون يحتفل مع لاعبي منتخب #فرنسا 🇫🇷 في غرفة الملابس بعد التأهل إلى نهائي كأس العالم 🏆
@EmmanuelMacron 
#مرسال_قطر | #المغرب_فرنسا 
#كأس_العالم_قطر_2022 
#FIFAWorldCup | #Qatar2022
 https://t.co/FduVV3FLjU</t>
  </si>
  <si>
    <t>❞شركراً للزرق.
والآن الكأس !❝
➖@EmmanuelMacron https://t.co/7mFikGsXYb</t>
  </si>
  <si>
    <t>franceinfo</t>
  </si>
  <si>
    <t>🗣 "Le sport doit rassembler (…) Il faut reconnaître que le Qatar l’organise très bien cette Coupe du monde, ne mégotons pas sur notre plaisir, nous sommes en finale" conclut Emmanuel Macron à l'issue du match des bleus face au Maroc. 
#FRAMAR https://t.co/qylfoZHTLu</t>
  </si>
  <si>
    <t>🔴 DIRECT - 🗣 "Giroud a fait un match extraordinaire, Griezmann a été d’une générosité inouïe (…) ils m’ont rendu extrêmement fier" commente Emmanuel Macron après la victoire de la France face au Maroc. 
📺 #franceinfo canal 27 https://t.co/UdVPFcGe7J</t>
  </si>
  <si>
    <t>AfterRMC</t>
  </si>
  <si>
    <t>🗣💬 "Je suis beaucoup mieux maintenant qu'il y a 1h30. On a parfois souffert, mais on a vu une grande équipe. Un grand merci à notre sélectionneur Deschamps."
Le président français Emmanuel Macron, présent lors de France-Maroc, se réjouit de la qualification en finale. https://t.co/2HKn2dnReX</t>
  </si>
  <si>
    <t>𝟮𝗲 𝗙𝗶𝗻𝗮𝗹𝗲 𝗱𝗲 𝗖𝗼𝘂𝗽𝗲 𝗱𝘂 𝗠𝗼𝗻𝗱𝗲 𝗰𝗼𝗻𝘀𝗲́𝗰𝘂𝘁𝗶𝘃𝗲 🤩
On poursuit la fête au camp de base 🔥🔥
#FiersdetreBleus https://t.co/hXo8FMZ2gX</t>
  </si>
  <si>
    <t>beinsports_FR</t>
  </si>
  <si>
    <t>🏆 #FIFAWorldCup 🇫🇷🇲🇦 #FRAMAR 
👀 Au cœur du vestiaire des Bleus après la qualification pour la finale 
#beINFWC2022 https://t.co/E76yo5pWg1</t>
  </si>
  <si>
    <t>beINSPORTS</t>
  </si>
  <si>
    <t>الرئيس الفرنسي ماكرون فخور بمنتخب بلاده
#قطر2022 | #كأس_العالم_قطر_2022 | #فرنسا_المغرب  
#WorldCupQatar2022 | #FIFAWorldCup 
https://t.co/cXjDFisCj6</t>
  </si>
  <si>
    <t>مبابي 🇫🇷 يواسي صديقه حكيمي 🇲🇦 ويتبادل معه القميص بعد نهاية المباراة
#مرسال_قطر | #المغرب_فرنسا 
#كأس_العالم_قطر_2022 
#FIFAWorldCup| #Qatar2022 https://t.co/dL4NS71FHQ</t>
  </si>
  <si>
    <t>Direction 𝙇𝘼 𝙁𝙄𝙉𝘼𝙇𝙀 𝘿𝙀 𝙇𝘼 𝘾𝙊𝙐𝙋𝙀 𝘿𝙐 𝙈𝙊𝙉𝘿𝙀 ! 🔜 
#FiersdetreBleus https://t.co/Itb3Mw9ZrM</t>
  </si>
  <si>
    <t>𝐎𝐍 𝐄𝐒𝐓 𝐄𝐍 𝐅𝐈𝐍𝐀𝐋𝐄 𝐃𝐄 𝐋𝐀 𝐂𝐎𝐔𝐏𝐄 𝐃𝐔 𝐌𝐎𝐍𝐃𝐄 ! 🔥🔥🔥
#FiersdetreBleus https://t.co/xEC82Tr88x</t>
  </si>
  <si>
    <t>FABULEUX ! La maîtrise des Bleus, la fougue des Lions de l'Atlas, des actions d'un but à l'autre, un match d'une superbe  intensité ! Chapeau bas au Maroc pour ce match et ce parcours et félicitations à notre formidable Équipe de France !! 🇲🇫💪 On est en finale 🎶 !! https://t.co/WP42XMF7Up https://t.co/jm4wt2aVE9</t>
  </si>
  <si>
    <t>Merci #LesBleus https://t.co/FNpvXXj744</t>
  </si>
  <si>
    <t>À nos amis marocains : félicitations pour ce beau parcours. Vous marquez l’histoire du football. https://t.co/lupE7pgq0z</t>
  </si>
  <si>
    <t>مباراة أخرى عالية المستوى لفريق #فرنسا و فوز يسمح لنا بالانضمام إلى🇦🇷 في نهائي #كأس_العالم_قطر2022 .
نحن على بعد مباراة واحدة من تحقيق هذا الإنجاز . كلنا مع #الزرق للنهائي!
#AllezLesBleus #FiersdetreBleus #FIFAWorldCup #Qatar2022 🇨🇵🇨🇵🇨🇵 https://t.co/0N9lvbsTln</t>
  </si>
  <si>
    <t>Encore un match de très haut niveau des #Bleus qui nous permet de rejoindre 🇦🇷 en finale de  #FIFAWorldCup2022. Nous sommes à un match de créer l’exploit! Tous avec les #Bleus pour la finale !
#GardezLaCoupeALaMaison
#AllezLesBleus #FiersdetreBleus #FIFAWorldCup #Qatar2022 🇨🇵🇨🇵 https://t.co/ZjjeDYxIr1</t>
  </si>
  <si>
    <t>Merci les Bleus. 
Maintenant, la Coupe ! https://t.co/KKZcHlmlJs</t>
  </si>
  <si>
    <t>On la ramène ? https://t.co/1PPA15dqfs</t>
  </si>
  <si>
    <t>سمو الأمير المفدى يلتقي مع فخامة الرئيس إيمانويل ماكرون رئيس الجمهورية الفرنسية الصديقة، الذي يزور البلاد لحضور جانب من مباريات بطولة كأس العالم FIFA قطر 2022، وذلك في استاد البيت.  https://t.co/HvI4EefDxw https://t.co/H34whwx49l</t>
  </si>
  <si>
    <t>https://t.co/J9sIwV42mc</t>
  </si>
  <si>
    <t>Coup d’envoi du match de demi-finale des #Bleus face au 🇲🇦. La victoire de notre @equipedefrance nous ouvrira la porte de la finale de #FIFAWorldCupQatar. #Gardezlacoupealamaison #AllezlesBleus #FiersdetreBleus 🇨🇵🇨🇵🇨🇵🇨🇵 https://t.co/w9HC4q2CMZ</t>
  </si>
  <si>
    <t>Quelle entame pour les Bleus ! 🔥
@TheoHernandez marque d'un geste acrobatique et ouvre le score !! 
🇫🇷1-0🇲🇦 | #FRAMAR | #FiersdetreBleus https://t.co/tYtzTwP6yC</t>
  </si>
  <si>
    <t>انطلاق مباراة نصف نهائي #فرنسا ضد 🇲🇦. فوز @equipedefrance سيفتح الباب لنهائي #كأس_العالم_قطر2022 .
#قطر2022 #FIFAWorldCupQatar. #GardezLaCoupeALaMaison  🇨🇵🇨🇵🇨🇵🇨🇵🇨🇵🇨🇵 #AllezLesBleus #FiersdetreBleus https://t.co/J2wLhQusXH https://t.co/yM4lH4NREu</t>
  </si>
  <si>
    <t>Joie d’assister à cette demie #FRAMAR entre nos Bleus et cette belle équipe du Maroc, qui n'en finit pas de briller dans cette #CoupeDuMondeFIFA ! Un match à part, une émotion particulière, du fair play sur le terrain et à la fin je l'espère une belle fête quoiqu'il arrive 🇫🇷🇲🇦 https://t.co/1nwFCqGZZD</t>
  </si>
  <si>
    <t>توقعاتكم لـ #المغرب_فرنسا ؟ 🤔
#FIFAWorldCup | #Qatar2022 
#موجمبا | #نديب_قطر | #قطر 🇶🇦 https://t.co/L3gRsofCqP</t>
  </si>
  <si>
    <t>Plus 𝗱𝗲́𝘁𝗲𝗿𝗺𝗶𝗻𝗲́𝘀 que jamais, nos Bleus arrivent au stade ! 👊
🇫🇷🇲🇦 | #FRAMAR | #FiersdetreBleus https://t.co/BKY234J8km</t>
  </si>
  <si>
    <t>الرئيس الفرنسي إيمانويل ماكرون في #سوق_واقف 
#قطر2022  #كاس_العالم_قطر_2022 
#قنوات_الكاس  
#Qatar2022 #FIFAWorldCup   
@FranceauQatar https://t.co/wVdP4gTJC1</t>
  </si>
  <si>
    <t>🎥| إيمانويل ماكرون الرئيس الفرنسي 🇫🇷 يتجول في سوق واقف مساء اليوم
#مرسال_قطر | #المغرب_فرنسا 
#كأس_العالم_قطر_2022 
#FIFAWorldCup | #Qatar2022 https://t.co/CUBQpxIp76</t>
  </si>
  <si>
    <t>كرة القدم حفلة لنا جميعاً فلنستمتع معاً بهذه المباراة https://t.co/4F2D5cbaxA</t>
  </si>
  <si>
    <t>هل يتمكن هداف #كأس_العالم_FIFA  #قطر2022 حتى الآن، كيليان مبابي من التسجيل في شباك أفضل دفاع في البطولة، منتخب #المغرب؟
#Qatar2022 #FIFAWorldCup #ديما_مغرب #francemaroc
 #FRAMAR #LesBleus  #FiersdetreBleus https://t.co/4rLXXDwJGy</t>
  </si>
  <si>
    <t>French President Arrives in #Doha to attend part of the FIFA World Cup Qatar 2022 matches. #QNA
#WorldCupQatar2022 #Qatar_2022 #FIFAWorldCup 
https://t.co/3w8Wwbx0jE https://t.co/gj7y0ekygB</t>
  </si>
  <si>
    <t>Tous derrière les Bleus pour la victoire !
Sans jamais oublier que le sport nous rassemble avant tout dans le respect et l’amitié entre nos deux nations.</t>
  </si>
  <si>
    <t>🇫🇷🇶🇦| رئيس الجمهورية الفرنسية يصل إلى
#الدوحة اليوم لحضور جانب من مباريات
بطولة #كأس_العالم_قطر2022
#FIFAWorldCup | #Qatar2022 
#المغرب_فرنسا | #نديب_قطر | #قطر 🇶🇦 https://t.co/IMmTBdiT88</t>
  </si>
  <si>
    <t>#QNA_Video | Hakimi and Mbappe, friends competing today to reach the World Cup final. #Qatar2022 #WorldCupQatar2022 #QNA_Sport https://t.co/8AiLaHOPSh</t>
  </si>
  <si>
    <t>Prêts pour le spectacle ? 😎🍿
🇫🇷 @KMbappe
🇲🇦 @AchrafHakimi 
#FRAMAR | #FiersdetreBleus https://t.co/91d7WIzQ0D</t>
  </si>
  <si>
    <t>🔵 𝗝𝗢𝗨𝗥 𝗗𝗘 𝗠𝗔𝗧𝗖𝗛 🔵 https://t.co/ZFDImQ72KL</t>
  </si>
  <si>
    <t>Roadto2022F</t>
  </si>
  <si>
    <t>Deschamps déterminé 🇫🇷👊
#Qatar2022 #FIFAWorldCup https://t.co/mL8rxrTrnE</t>
  </si>
  <si>
    <t>Une place en 𝙁𝙞𝙣𝙖𝙡𝙚 𝙙𝙚 𝙡𝙖 𝘾𝙤𝙪𝙥𝙚 𝙙𝙪 𝙈𝙤𝙣𝙙𝙚 à aller chercher… mais pour ça, il va falloir 𝙏𝙊𝙐𝙏 𝘿𝙊𝙉𝙉𝙀𝙍 👊
🇫🇷 FRANCE 🆚 MAROC 🇲🇦
⏰ 20H00
📺 @TF1
#FRAMAR | #FiersdetreBleus https://t.co/9AEW7BRIpP</t>
  </si>
  <si>
    <t>La France va disputer les 𝗱𝗲𝗺𝗶-𝗳𝗶𝗻𝗮𝗹𝗲𝘀 de la 𝗖𝗼𝘂𝗽𝗲 𝗱𝘂 𝗠𝗼𝗻𝗱𝗲 pour la 7️⃣e de son histoire 🔥
C’est la première fois qu’un tenant du titre atteint ce stade du tournoi depuis le Brésil en 1998 👊
#FiersdetreBleus https://t.co/0hphnTeCcr</t>
  </si>
  <si>
    <t>🫡 @atchouameni a marqué contre l'Angleterre son 𝟭𝗲 𝗯𝘂𝘁 en 𝗖𝗼𝘂𝗽𝗲 𝗱𝘂 𝗠𝗼𝗻𝗱𝗲, à seulement 𝟮𝟮 𝗮𝗻𝘀 ! 
Et de quelle manière... ☄️
#FiersdetreBleus https://t.co/utbOcsVpoL</t>
  </si>
  <si>
    <t>L’Ukraine n’est pas seule. https://t.co/3LeWzDku16</t>
  </si>
  <si>
    <t>Tomorrow, the "Standing with the Ukrainian People" conference will take place in Paris 🇫🇷🇺🇦.
It will bring together some 70 high-level participants, representing Ukraine’s main partner States and international organizations.
#StandWithUkraine
@MinColonna @Denys_Shmyhal https://t.co/1Cvsjhs4wl</t>
  </si>
  <si>
    <t>Demain se tiendra la conférence #SolidaritéUkraine
La 🇫🇷 est solidaire de l'Ukraine 🇺🇦 depuis le 24/02
→ + de 2600 T d'aides humanitaires acheminées
→ Dont 1000 T via #unBateaupourlUkraine
📺 Retour sur les coulisses de cette opération
@CdCMAE @FranceenUkraine @FranceRomania https://t.co/kgw78kGWlz</t>
  </si>
  <si>
    <t>TF1Pro</t>
  </si>
  <si>
    <t>#Audiences @TF1 
🏴󠁧󠁢󠁥󠁮󠁧󠁿 ANGLETERRE⚡️FRANCE 🇫🇷 
📌17,7M tvsp
🔝Pic à + de 20M tvsp
💥 RECORD d'AUDIENCE dps 2018  
💥MEILLEURE AUDIENCE pour un 1/4 de finale de Coupe du Monde dps 2006
🏆Enormes performances sur cibles
✅82% PdA 4-14
✅75% 25-49
✅71% FRDA-50
✅78% Hom 25-49 https://t.co/MgtJQAHIDB</t>
  </si>
  <si>
    <t>Entretien avec SE Sheikha Hind Bint Hamad Al Thani, sœur de l’émir, DG de la Qatar Foundation et engagée sur les questions d’éducation, de jeunesse et de développement durable. Nous avons échangé sur le rôle éducatif et sociétal du sport, notamment dans la vie des jeunes filles. https://t.co/h9AKO3P3g4</t>
  </si>
  <si>
    <t>Concluant cette visite, un beau moment de partage autour de 4 grands athlètes qatariens, sur leurs parcours, les obstacles rencontrés &amp;amp; surmontés, leur vision de l’héritage des événements sportifs organisés dans le pays et la manière dont ils y impactent le développement du sport https://t.co/eRA7TyFwMT</t>
  </si>
  <si>
    <t>وزيرة الرياضة الفرنسية: "علينا أن نرفع القبعة لدولة قطر لنجاحها في تنظيم كأس العالم"
#كأس_العالم_قطر_2022 | #قطر_2022
#Qatar2022 #WorldCup2022 | #FIFAWorldCup https://t.co/KpnjGHbFuk</t>
  </si>
  <si>
    <t>French Sports Minister after her country qualified for the semi-finals:
We will not forget the words of HH the Amir when he said: Welcome everyone.. Hats off to Qatar for the way it organized this global event
#QNA_Sports 
#FIFAWorldCup 
#Qatar2022 https://t.co/8NFD1xBU4Z</t>
  </si>
  <si>
    <t>وزيرة الرياضة الفرنسية 🇫🇷 :
علينا أن نرفع القبعة لدولة قطر 🇶🇦 على الطريقة التي نظمت بها هذا الحدث العالمي
#FIFAWorldCup2022 | #Qatar2022
#كأس_العالم_قطر_2022 | #نديب_قطر https://t.co/N1AgXLc8eH</t>
  </si>
  <si>
    <t>🧨💥 Une frappe flashée à 78km/h ! Qui transperce, enclenche, donne le premier ascendant. Et un immense match pour gagner la bataille du milieu
Bravo @atchouameni 💪⚽🇲🇫
@equipedefrance 
#FiersDetreBleus https://t.co/lyFVvaxH4Y</t>
  </si>
  <si>
    <t>Rencontre ce matin avec SE Salah bin Ghanim Al-Ali, ministre qatarien des Sports. Après cette belle soirée de Coupe du monde, retour sur l’organisation globale de cet événement et ses multiples enseignements. Et une confiance commune, inébranlable, dans les vertus du sport ! https://t.co/UHZMaKMngb</t>
  </si>
  <si>
    <t>Bonjour à tous ceux qui sont en 𝙙𝙚𝙢𝙞-𝙛𝙞𝙣𝙖𝙡𝙚 𝙙𝙚 𝘾𝙤𝙪𝙥𝙚 𝙙𝙪 𝙈𝙤𝙣𝙙𝙚 ! 😇☀️
#FiersdetreBleus https://t.co/f8IvQ6GJ7n</t>
  </si>
  <si>
    <t>Bravo aux Bleus ! Tout le pays est derrière vous : nous irons au bout ensemble. Aux Marocains : nous saluons votre victoire historique. Rendez-vous en demi-finale ! https://t.co/68vVkonPpE</t>
  </si>
  <si>
    <t>khalidjassem74</t>
  </si>
  <si>
    <t>الحضور في #استاد_البيت المونديالي 🤩 68,895 مشجع 
#إنجلترا_فرنسا ~ #كأس_العالم_قطر2022 
#FIFAWorldCupQatar2022 https://t.co/gyDs5CwSeI https://t.co/NltBnxp4LH</t>
  </si>
  <si>
    <t>Plus que deux étapes ! https://t.co/uhL98nFkFm</t>
  </si>
  <si>
    <t>Notre guerrier. Notre homme du match.
Toujours au service du collectif. 
Bravo les Bleus et bravo @_OlivierGiroud_ 💪⚽🇲🇫
#FiersdetreBleus https://t.co/b4AjGfG98A</t>
  </si>
  <si>
    <t>ديشامب مدرب #فرنسا: مواجهة #إنجلترا كانت مباراة خرافية ومواجهة #المغرب صعبة لأنه منتخب قوي
#قطر2022 #كاس_العالم_قطر_2022 #قنوات_الكاس  #Qatar2022 #FIFAWorldCup @England @EnglandFootball #ThreeLions @equipedefrance  @FFF #FiersdetreBleus  #LesBleus https://t.co/lD0ht27Fwq</t>
  </si>
  <si>
    <t>EN 𝘿𝙀𝙈𝙄-𝙁𝙄𝙉𝘼𝙇𝙀 DE LA COUPE DU MONDE ! 🔥
QUEL MATCH, QUELLE EQUIPE 😍😍😍
#ANGFRA #FiersdetreBleus https://t.co/LU5lltGvLK</t>
  </si>
  <si>
    <t>Mais qui d'autre que lui ? Monsieur 𝙊𝙇𝙄𝙑𝙄𝙀𝙍 𝙂𝙄𝙍𝙊𝙐𝙐𝙐𝙐𝙐𝙐𝙐𝙐𝙐𝙐𝙐𝘿 pour le 2-1 🔥🔥🔥
🏴󠁧󠁢󠁥󠁮󠁧󠁿1-2🇫🇷 | #ANGFRA | #FiersdetreBleus https://t.co/QYxbzQVHa8</t>
  </si>
  <si>
    <t>⏸️ MI-TEMPS 
Les Bleus sont 𝙙𝙚𝙫𝙖𝙣𝙩𝙨 à la pause grâce à un but d'Aurélien Tchouaméni !
🏴󠁧󠁢󠁥󠁮󠁧󠁿0-1🇫🇷 | #ANGFRA | #FiersdetreBleus https://t.co/q7VXb8cLpf</t>
  </si>
  <si>
    <t>Cette 𝙛𝙧𝙖𝙖𝙖𝙖𝙖𝙖𝙖𝙥𝙥𝙚 d'@atchouameni 🤯🤯
Les Bleus ouvrent le score ! 
🏴󠁧󠁢󠁥󠁮󠁧󠁿0-1🇫🇷 | #ANGFRA | #FiersdetreBleus https://t.co/uWo8txFSmU</t>
  </si>
  <si>
    <t>ALLEZ LES GARS !!! 👊
🏴󠁧󠁢󠁥󠁮󠁧󠁿0-0🇫🇷 | #ANGFRA | #FiersdetreBleus https://t.co/A3pOODYn2J</t>
  </si>
  <si>
    <t>Coup d'envoi du match de quart de finale de nos #Bleus face à 🏴󠁧󠁢󠁥󠁮󠁧󠁿. Tous derrière les #Bleus! On compte sur vous! 
#AllezLesBleus #FiersdetreBleus @equipedefrance 🇨🇵🇨🇵🇨🇵 https://t.co/p4bLE5laeh</t>
  </si>
  <si>
    <t>Dear @RishiSunak, looking forward to the game tonight. If Les Bleus win (they will!), you’ll wish us luck in the semi-final… right?</t>
  </si>
  <si>
    <t>May the best win dear @tariqahmadbt ! 
Bonne chance 🇫🇷 🏴󠁧󠁢󠁥󠁮󠁧󠁿
Allez les Bleus 💪😋
#ENGFRA #FRAANG 
#FIFAWorldCup
#FiersdetreBleus https://t.co/Y10KJB8uAZ</t>
  </si>
  <si>
    <t>À l'approche des grands événements sportifs à venir en 🇫🇷, il était important pour moi d'échanger avec @HAlThawadi sur l'organisation et la gestion de la #CDM2022.Un partage d'expérience utile. Et une discussion très franche et constructive sur tous les enjeux sociétaux associés. https://t.co/QDaFAI2AOr</t>
  </si>
  <si>
    <t>Zoom avec @MaxTunonILO, représentant de l’OIT à Doha, sur les réformes engagées ici pour les droits des travailleurs et les prochaines étapes nécessaires. Discussion aussi sur la façon dont les grands événements sportifs devront à l’avenir tous intégrer et porter l’enjeu social https://t.co/wSktqs6STr</t>
  </si>
  <si>
    <t>UKAlexCole</t>
  </si>
  <si>
    <t>Meanwhile the Deputies enjoy l’Entente Cordiale! (C’mon 🏴󠁧󠁢󠁥󠁮󠁧󠁿!) https://t.co/La4ud65qym https://t.co/w55q5XqtDl</t>
  </si>
  <si>
    <t>𝗘𝗡𝗦𝗘𝗠𝗕𝗟𝗘 🇫🇷
Un petit 𝗺𝗲𝘀𝘀𝗮𝗴𝗲 𝗱𝗲 𝘀𝗼𝘂𝘁𝗶𝗲𝗻 pour nos Bleus avant le grand match de ce soir ? 🫶 
#ANGFRA | #FiersdetreBleus https://t.co/5vjznHXVDW</t>
  </si>
  <si>
    <t>Échange très riche avec 
@JBMontarnier président de @ASSO_LGBT_EDF et @HerveMougin président de @IF_Supporters, sur l’organisation de la #FIFAWorldCup vue des supporters, et sur les leçons à en tirer pour les prochains grands évènements sportifs et notre feuille de route sports ! https://t.co/YDaLybUZlf</t>
  </si>
  <si>
    <t>Arrivée à Doha pour encourager les Bleus ! 🇫🇷🍀 #FRAANG #FiersdetreBleus 💪
Et en attendant le choc de ce soir ⚽️, une série de rencontres qui s’annonce passionnantes avec notamment des supporters, les organisateurs de la #CDM2022 et l’Organisation Internationale du travail 👍 https://t.co/IrLAXabPyG</t>
  </si>
  <si>
    <t>@equipedefrance @FFF #AllezLesBleus #FiersdetreBleus #ANGFRA</t>
  </si>
  <si>
    <t>🇨🇵أو 🏴󠁧󠁢󠁥󠁮󠁧󠁿 ؟ سفير @FranceauQatar و سفير @JonWilksFCDO يناقشان من الافضل! ولحسن الحظ وساطة 🇶🇦 ستجعلهما يتفقان!
🇨🇵 ou 🏴󠁧󠁢󠁥󠁮󠁧󠁿 ? Les deux amb. @FranceauQatar et @JonWilksFCDO débattent du favori! Heureusement que la médiation 🇶🇦 est là pour les mettre d'accord!
@FIFAWorldCup #Qatar2022 ⚽️ https://t.co/qmTGqBFfyD</t>
  </si>
  <si>
    <t>Place au 𝐪𝐮𝐚𝐫𝐭 𝐝𝐞 𝐟𝐢𝐧𝐚𝐥𝐞 de la 𝐂𝐨𝐮𝐩𝐞 𝐝𝐮 𝐌𝐨𝐧𝐝𝐞 ! 🔥
🆚 Angleterre 🏴󠁧󠁢󠁥󠁮󠁧󠁿
📅 Samedi 10 décembre
⏰ 20h
📺 @TF1 
#FiersdetreBleus #ANGFRA https://t.co/TFFLiD9Ixd</t>
  </si>
  <si>
    <t>🔜 Plus qu'un jour à patienter... 🏴󠁧󠁢󠁥󠁮󠁧󠁿🇫🇷
Ce quart de finale sera le 𝐩𝐫𝐞𝐦𝐢𝐞𝐫 𝐦𝐚𝐭𝐜𝐡 en 
phase à élimination directe d’un tournoi majeur entre les 2 nations ! 🔥
#ANGFRA | #FiersdetreBleus https://t.co/KNQZngD0dD</t>
  </si>
  <si>
    <t>FIFAWorldCup</t>
  </si>
  <si>
    <t>🫡  🇫🇷 
#FIFAWorldCup #Qatar2022 https://t.co/rTLjw9VYeg</t>
  </si>
  <si>
    <t>fifaworldcup_fr</t>
  </si>
  <si>
    <t>Avant les quarts, Mbappé domine le classement des buteurs 🤙</t>
  </si>
  <si>
    <t>French Football Federation President Honors France's All-time Top Scorer Giroud. #QNA
#WorldCupQatar2022 #Qatar2022 
#FIFAWorldCup #QNA_Sport 
https://t.co/o3StwzUT8R https://t.co/O0aMabZ4AC</t>
  </si>
  <si>
    <t>Un 𝗥𝗘𝗖𝗢𝗥𝗗 𝗟𝗘́𝗚𝗘𝗡𝗗𝗔𝗜𝗥𝗘, fêté par tout le groupe 👏
𝗠𝗲𝗶𝗹𝗹𝗲𝘂𝗿 𝗯𝘂𝘁𝗲𝘂𝗿 de l'histoire des Bleus, @_OlivierGiroud_ a reçu un maillot floqué 5️⃣2️⃣, comme le nombre de buts inscrits depuis novembre 2011 (117 sélections 🇫🇷) !
#FiersdetreBleus https://t.co/GXl9rjczlL</t>
  </si>
  <si>
    <t>كرم نويل لوغريت رئيس الاتحاد الفرنسي لكرة القدم أوليفييه #جيرو بمنحه قميصًا يحمل رقم 52 نسبة لعدد أهدافه مع المنتخب حيث أصبح الهداف التاريخي لمنتخب الديوك
 #قطر2022  #كاس_العالم_قطر_2022 #قنوات_الكاس  
#Qatar2022 #FIFAWorldCup @equipedefrance  @FFF https://t.co/gTSU5BDMKB</t>
  </si>
  <si>
    <t>C’est la 9️⃣e fois que la 🇫🇷 atteint les 𝗾𝘂𝗮𝗿𝘁𝘀 𝗱𝗲 𝗳𝗶𝗻𝗮𝗹𝗲 d’une 𝗖𝗼𝘂𝗽𝗲 𝗱𝘂 𝗠𝗼𝗻𝗱𝗲, dont la 3️⃣e fois d’affilée (2014, 2018, 2022) 👊
#FiersdetreBleus https://t.co/F8DDYn1ndU</t>
  </si>
  <si>
    <t>مبروك لأسود الأطلس 🇲🇦
 #FIFAWorldCup2022 #FIFAWorldCup #Qatar2022 #QatarWorldCup2022 #المغرب
  #كاس_العالم_FIFA #كأس_العالم #كأس_العالم_2022_قطر https://t.co/ZUbAYiniln</t>
  </si>
  <si>
    <t>💬 "𝘖𝘯 𝘢 𝘱𝘦𝘶𝘳 𝘥𝘦 𝘱𝘦𝘳𝘴𝘰𝘯𝘯𝘦"
Petit échange avec @atchouameni après la séance d'entraînement d'aujourd'hui. La préparation pour le quart de finale contre l'Angleterre débute... 👊
#FiersdetreBleus https://t.co/qcQi9sc6gG</t>
  </si>
  <si>
    <t>الرئيس الفرنسي إيمانويل #ماكرون: إذا فزنا أمام #إنجلترا سأذهب إلى نصف النهائي والنهائي كما وعدت من قبل
#كأس_العالم_قطر_2022 | #FIFAWorldCup | #Qatar2022
#قنوات_الكاس
@equipedefrance  @FFF https://t.co/uAGGZ9aTe2</t>
  </si>
  <si>
    <t>احتفلنا اليوم بافتتاح (ملعب الطاقة) في متحف قطر الوطني.
ملعب جديد للأطفال غني بالتراث القطري ويجمع بين التعلم واللعب.
أشكر 'توتال إنرجيز' وأشغال وGET وكل المشاركين في جعل ملعب الطاقة حقيقة واقعة. https://t.co/p4B0au0YkJ</t>
  </si>
  <si>
    <t>C'est partiiiiiii pour l'épisode 2 du 𝘽𝙚𝙨𝙩 𝙊𝙛 de la 𝘾𝙤𝙪𝙥𝙚 𝙙𝙪 𝙈𝙤𝙣𝙙𝙚 ! 😄 Montez le son 🔊
(Partie 1/3)
#FiersdetreBleus https://t.co/XWzKJQzRqq</t>
  </si>
  <si>
    <t>السفير الفرنسي في دولة قطر يتحدث باللغة العربية قبل مواجهة فرنسا وبولندا 
#كأس_العالم_قطر2022 #قطر_2022 #فرنسا_بولندا https://t.co/DgfQ4owEYY</t>
  </si>
  <si>
    <t>الف مبروك للأزرق🇫🇷! الرحلة مستمره.  كل فرنسا معاكم!
#AllezLesBleus @equipedefrance #FiersdetreBleus 🇨🇵🇨🇵🇨🇵
@beINSPORTS https://t.co/OkVY6nD8J8 https://t.co/TcEWBBwApn</t>
  </si>
  <si>
    <t>هدف فرنسا "74": فرنسا 2-0  بولندا .. #كأس_العالم #قطر2022 
#FiersdetreBleus #KierunekKatar  
#قنوات_الكاس #Qatar2022  #FIFAWorldCup
#POL #FRA #FRAPOL   
@LaczyNasPilka @equipedefrance https://t.co/82Wc2jOknb</t>
  </si>
  <si>
    <t>Grand bravo aux #Bleus. L'aventure continue! On est derrière vous! 
@equipedefrance #AllezLesBleus #FiersdetreBleus 🇨🇵🇨🇵🇨🇵
@beINSPORTS https://t.co/hB11CZ9k3b</t>
  </si>
  <si>
    <t>En quarts ! https://t.co/8GS5TTFrep</t>
  </si>
  <si>
    <t>Fact!!!
The France versus Poland round-of-16 match recorded an attendance of 40,989 spectators at the Al Thumama Stadium on Sunday.
#FRA #POL #FRAPOL #Qatar2022 #FIFAWorldCup #FIFAWorldCup2022  #AlThumamaStadium https://t.co/u9f5lALTJP</t>
  </si>
  <si>
    <t>Bravo les #Bleus! Très belle victoire et une qualification pour les quarts de finale! #AllezLesBleus #FiersdetreBleus 🇨🇵🇨🇵🇨🇵🇨🇵 https://t.co/riO0nUSacF</t>
  </si>
  <si>
    <t>⚽️ 𝘽𝘽𝙐𝙐𝙐𝙏𝙏𝙏𝙏 pour les #Bleus de Kylian MBAPPÉ ❗️
#FRA 2-0 #POL  !
#CoupeDuMondeFIFA #Qatar2022 #FRAPOL https://t.co/to6xhpO9s4</t>
  </si>
  <si>
    <t>𝑆𝑒𝑢𝑙 𝑠𝑢𝑟 𝑠𝑜𝑛 𝑡𝑟𝑜̂𝑛𝑒 👑
Ouverture du score des Bleus à la 44e minute !! 😍
Grâce à ce but, @OlivierGiroud devient le 𝙈𝙀𝙄𝙇𝙇𝙀𝙐𝙍 𝘽𝙐𝙏𝙀𝙐𝙍 de l’histoire de l’Équipe de France 🇫🇷
🇫🇷1-0🇵🇱 #FRAPOL | #FiersdetreBleus https://t.co/exSxlTjYQX</t>
  </si>
  <si>
    <t>𝗢𝗡 𝗬 𝗘𝗦𝗧 ! C'est parti pour notre 1/8 de finale face à la Pologne 🔥
ALLEZ LES BLEUS 💪
#FRAPOL | #FiersdetreBleus https://t.co/bQYRXT76mv</t>
  </si>
  <si>
    <t>Hugo Lloris 𝟏𝟒𝟐 🔵
Olivier Giroud 𝟏𝟏𝟕 ⚪️
Antoine Griezmann 𝟏𝟏𝟒 🔴 https://t.co/KHrJsBINfn</t>
  </si>
  <si>
    <t>Pensées et soutien au roi Pelé 👑 https://t.co/0W0C2s2JFa</t>
  </si>
  <si>
    <t>𝐔𝐧𝐞 𝐧𝐨𝐮𝐯𝐞𝐥𝐥𝐞 𝐜𝐨𝐦𝐩𝐞́𝐭𝐢𝐭𝐢𝐨𝐧 𝐝𝐞́𝐛𝐮𝐭𝐞 𝐚𝐮𝐣𝐨𝐮𝐫𝐝'𝐡𝐮𝐢 👊
🏆 Coupe du Monde 2022
🏟️ 8es de finale
🆚 Pologne 🇵🇱
🕓 16H00
📺 @TF1
#FRAPOL | #FiersdetreBleus https://t.co/hh5S5rV81r</t>
  </si>
  <si>
    <t>ILQLive</t>
  </si>
  <si>
    <t>GIMS, a Congolese-French rapper who took a part in Arahabo was at FIFA Fan Festival earlier today!
Were you at the festival to witness GIMS Live here in Qatar?🎤
#ILoveQatar #Qatar #Qatar2022 #WorldCupQatar2022 https://t.co/IiDbLIcL6O</t>
  </si>
  <si>
    <t>أمسية أخرى جميلة جدًا في مقر الإقامة احتفالًا بتأهل المنتخب ال🇫🇷 لدور ال16 من #كأس_العالم_قطر_2022 .
يسعدني لقاء هذا العدد من الأصدقاء مِنْ مشجعين وصحفيين ورياضيين 🇫🇷 وأفراد الجالية ال🇫🇷 وقواتنا الأمنية 🇫🇷. شكرا للجميع و في انتظار لقاءات أخرى . https://t.co/vz6O83P0Q0 https://t.co/ykVjdVhGPP</t>
  </si>
  <si>
    <t>شكرًا لأبطالنا #SabriLamouchi و @Fernandez_beIN  ، قدماء @equipedefrance الذين شرفونا أيضًا بحضورهم للاحتفال معًا بتأهل  منتخب 🇫🇷 إلى دور ال16 من #كأس_العالم_قطر_2022 .
#كأس_العالم_قطر_2022 
#قطر2022 https://t.co/3qCBV7BS8j https://t.co/QZmzyIhjFu</t>
  </si>
  <si>
    <t>جزيل الشكر لسعادة الدكتور ثاني بن عبد الرحمن الكواري ، النائب الثاني لرئيس اللجنة الأولمبية القطرية @qatar_olympic ، ولكل الأصدقاء القطريين 🇶🇦 الذين شرفونا بحضورهم في هذه الأمسية المميزة. 
🇫🇷🇶🇦
#كأس_العالم_قطر_2022 
#قطر2022 https://t.co/vnv4Q2dlQp https://t.co/KJvo73BOI6</t>
  </si>
  <si>
    <t>Merci à nos champions #SabriLamouchi et @Fernandez_beIN, anciens joueurs @equipedefrance qui nous ont également honorés de leur présence pour fêter ensemble la qualification des #Bleus pour les 1/8 de #FIFAWorldCup. 
#Qatar2022 #AllezLesBleus #FiersdetreBleus 🇨🇵 https://t.co/6lBPQAAGDQ</t>
  </si>
  <si>
    <t>Remerciements chaleureux à SEM Thani bin Abderrahman Al-Kuwari, vice-président @qatar_olympic, ainsi qu'à nos amis qatariens 🇶🇦, qui nous ont honorés par leur présence à la Résidence à l'occasion de cette belle soirée.
🇨🇵🇶🇦 #Qatar2022 #FIFAWorldCup #FIFAWorldCup2022 #Qatar https://t.co/qnHA0pVM7I</t>
  </si>
  <si>
    <t>Très belle 2ème soirée à la Résidence de 🇨🇵 pour la qualification des #Bleus pour les 1/8 de #FIFAWorldCup2022. Heureux d'avoir reuni de nombreux amis supporters, journalistes et sportifs 🇨🇵, nos forces de sécurité 🇨🇵 et la commun. 🇨🇵. 🙏 à tous, en attendant d'autres occasions. https://t.co/z8JOjAugkV</t>
  </si>
  <si>
    <t>Notre sélectionneur évoque la Pologne, adversaire des Bleus en 8es de finale, avant de remercier les supporters pour leur soutien ! 
ITW complète ici 👉 https://t.co/epPY6jbQru
#FiersdetreBleus https://t.co/H94lz0WwhH</t>
  </si>
  <si>
    <t>La star française de cécifoot, Yvan Wouandji est parmi nous. @yvanwouandji @cecisaintmande @Paris2024 https://t.co/9o9wo0ooOq</t>
  </si>
  <si>
    <t>Conférence de presse des Bleus en direct depuis Doha https://t.co/rebJSYjSa6</t>
  </si>
  <si>
    <t>La baguette de pain 🇫🇷 est désormais inscrite au patrimoine immatériel de l'humanité par l'@UNESCO qui honore ce savoir-faire !
Avec plus de 6 milliards de baguettes qui sortent des fournils chaque année, il s'agit d’un des éléments les plus emblématiques de notre alimentation. https://t.co/qs6PFPG02D</t>
  </si>
  <si>
    <t>Ce sera la 𝗣𝗢𝗟𝗢𝗚𝗡𝗘 🇵🇱 en 𝟴𝗲𝘀 𝗱𝗲 𝗳𝗶𝗻𝗮𝗹𝗲 pour les Bleus 👊
Réservez votre dimanche après-midi 😉
#FiersdetreBleus https://t.co/VJC3oCyqVQ</t>
  </si>
  <si>
    <t>أدرجت منظمة اليونسكو @UNESCOarabic خبز الباغيت الفرنسي 🇫🇷 في قائمة التراث الثقافي غير المادي للبشرية، وهو ما يعد تكريمًا لهذا النوع من المهارات!
وتخبز الأفران الفرنسية 6 مليارات باغيت سنويًا، إذ يعد هذا النوع من الخبز جزءً متجذرًا وأساسيًا من المطبخ الفرنسي. https://t.co/odisofsrzP</t>
  </si>
  <si>
    <t>Après un but refusé en toute fin de match, les Bleus s'inclinent 1-0 face à la Tunisie mais terminent tout de même 𝗲𝗻 𝘁𝗲̂𝘁𝗲 𝗱𝗲 𝗹𝗲𝘂𝗿 𝗴𝗿𝗼𝘂𝗽𝗲.
Prochain RDV : les 𝗵𝘂𝗶𝘁𝗶𝗲̀𝗺𝗲𝘀 𝗱𝗲 𝗳𝗶𝗻𝗮𝗹𝗲 ce dimanche 👊
🇹🇳1-0🇫🇷 | #TUNFRA | #FiersdetreBleus https://t.co/thUSLxF2xC</t>
  </si>
  <si>
    <t>Coup d'envoi du dernier match des #Bleus dans cette phase de poules de la #FIFAWorldCupQatar2022 face à la Tunisie. On compte sur vous! 
#AllezLesBleus #FiersdetreBleus @equipedefrance #FRATUN 🇨🇵🇨🇵🇨🇵 https://t.co/vY70TABVDT https://t.co/5IEgIjMQ1U</t>
  </si>
  <si>
    <t>𝘾𝙝𝙖𝙦𝙪𝙚 𝙢𝙖𝙩𝙘𝙝 𝙚𝙨𝙩 𝙪𝙣 𝙚́𝙫𝙚́𝙣𝙚𝙢𝙚𝙣𝙩 🔥
🏆 Coupe du Monde 2022
🏟️ Dernier match du Groupe D
🇹🇳 Tunisie / France 🇫🇷
🕓 16H00
📺 @TF1 
#TUNFRA #FiersdetreBleus https://t.co/YGRooNGCgW</t>
  </si>
  <si>
    <t>📍C'est une première en Coupe du monde de la @FIFAWorldCup 🇶🇦 #Qatar2022 
L' arbitre 🇨🇵 française Stéphanie Frappart sera la première femme à arbitrer en Coupe du monde masculine.
#Qatar2022 #QatarWorldCup2022 https://t.co/CNMrhnysC4</t>
  </si>
  <si>
    <t>جزيل الشكر #SamiraDjouadi ولكامل فريق #sportavie وللعدد الكبير من الشبان والشركاء الفرنسيين والقطريين على هذه اللحظة الودية والمؤثرة. 🙏 للبطل @yvanwouandji على اطلاعنا مع زوجتي زكيا على كرة القدم للمكفوفين وضعفاء البصر. https://t.co/oqGBNRWP4M</t>
  </si>
  <si>
    <t>Grand merci à #SamiraDjouadi, à toute l'equipe de #sportàvie, aux nombreux jeunes ainsi qu'à tous les partenaires français et qatariens pour ce moment chaleureux et amical. 🙏 au champion @yvanwouandji pour cette belle initiation au cecifoot avec mon épouse Zakia ! 🇨🇵🇶🇦 @ifqdoha https://t.co/vmVOjt1IyJ</t>
  </si>
  <si>
    <t>Toujours derrière nous ! 𝑴𝑬𝑹𝑪𝑰 pour votre précieux soutien 🙌
Bonne semaine à tous les supporters des Bleus 💙
#FiersdetreBleus https://t.co/2ujsErvetN</t>
  </si>
  <si>
    <t>al_watanQatar</t>
  </si>
  <si>
    <t>سافرا بالدراجة "7" آلاف كلم لتشجيع الديوك في قطر
مارتن وبالاميسا .. جنون المونديال
#الوطن_الرياضي #كأس_العالم_قطر_2022
#فرنسا_الدنمارك
https://t.co/MQ7eonMypP https://t.co/fb2YYRvbPK</t>
  </si>
  <si>
    <t>Pres. @EmmanuelMacron: "To all the teams and nations represented: with every goal scored, cheers of joy reverberate around the world. So let’s cheer together! 
And… Allez les Bleus !" https://t.co/xHOLO2GxSV</t>
  </si>
  <si>
    <t>في عالمٍ يواجه سلسلة من الأزمات، من واجبنا الحفاظ على الروح الرياضية كونها مساحة لتقارب الشعوب حول القيم العالمية.</t>
  </si>
  <si>
    <t>Merci les #Bleus! @equipedefrance continue sur sa lancée avec une deuxième belle victoire qui leur assure la qualification pour les huitièmes de finale de la #FIFAWorldCupQatar! Merci également aux nombreux supporters 🇨🇵 présents pour soutenir les #Bleus! Ce n'est que le début! https://t.co/IqYC1Y4QUg</t>
  </si>
  <si>
    <t>Ils sont heureux, et nous aussi 🔥
#FRADAN I #FiersdetreBleus https://t.co/VdyjGTCpfg</t>
  </si>
  <si>
    <t>𝙌𝙐𝘼𝙇𝙄𝙁𝙄𝙀𝙎 🔥 
Direction les 8⃣es de finale de la Coupe du Monde 🇫🇷 
#FiersdetreBleus  #FRADAN https://t.co/UEaUc1jlOG</t>
  </si>
  <si>
    <t>𝙆𝙔𝙇𝙄𝘼𝘼𝘼𝘼𝘼𝘼𝘼𝘼𝙉 pour le doublé 🔥🔥
🇫🇷2-1🇩🇰 | #FRADAN | #FiersdetreBleus https://t.co/ZhXleTyAkQ</t>
  </si>
  <si>
    <t>In a world facing a series of crises, we must protect the spirit of sport. Sport must offer a space to bring people together, around universal values.</t>
  </si>
  <si>
    <t>Dans le match qui nous oppose à nos amis danois, et avant les prochaines étapes du tournoi que nous espérons nombreuses, j’adresse tous mes encouragements aux Bleus. Le pays est derrière vous !</t>
  </si>
  <si>
    <t>QNA Camera spotted thrilling vibes of #France fans at 974 Stadium. #QNA
#WorldCupQatar2022 #QATAR2022 #FIFAWorldCup
#QNA_Sport https://t.co/m40EbZqcat</t>
  </si>
  <si>
    <t>halhjri14</t>
  </si>
  <si>
    <t>بالتوفيق للمنتخب الفرنسي سعادة السفير ، حتى الآن مع منتخب البرازيل اثبتوا قوتهم الكروية 🇫🇷 https://t.co/ZsgKL7mAqx</t>
  </si>
  <si>
    <t>𝘾𝙤𝙪𝙥 𝙙'𝙚𝙣𝙫𝙤𝙞 de ce 2e match de 𝘊𝘰𝘶𝘱𝘦 𝘥𝘶 𝘔𝘰𝘯𝘥𝘦 🏆
Allez les Bleus 💙🤍❤️
🇫🇷🇩🇰 | #FRADAN | #FiersdetreBleus https://t.co/XMLowLnGij</t>
  </si>
  <si>
    <t>Coup d'envoi du deuxième match des #Bleus contre le Danemark. Tous avec les #Bleus!
#AllezLesBleus #FiersdetreBleus #FRADAN 🇨🇵🇨🇵🇨🇵 https://t.co/bpa4kwlu7f</t>
  </si>
  <si>
    <t>المشجعون الفرنسيون جاهزون للمباراة الثانية لمنتخب 🇫🇷 الليلة ضد الدنمارك. لا يزال هناك الكثير ممن تأهبوا لدعمهم اليوم. كامل الدعم @equipedefrance ، نحن معكم!
#FIFAWorldCup #Qatar2022 #AllezLesBleus #FiersdetreBleus 🇨🇵🇨🇵🇨🇵 https://t.co/oNnIeeQFT2</t>
  </si>
  <si>
    <t>Les supporters français 🇨🇵 sont prêts pour le deuxième match des #Bleus ce soir contre le Danemark. Ils sont encore nombreux aujourd'hui à s'être mobilisés pour les soutenir. Plein soutien @equipedefrance, nous sommes avec vous!
#FRADAN
#FIFAWorldCup #Qatar2022 #FiersdetreBleus https://t.co/DWjcp8C0vA</t>
  </si>
  <si>
    <t>ajplusfrancais</t>
  </si>
  <si>
    <t>Plus de 7000km à vélo en 3 mois ! Oui, c’est le parcours qu’ont effectué deux jeunes cyclistes français, Mehdi Balamissa et Gabriel Martin, pour assister au Mondial 2022 : https://t.co/jgs5xXfjo5</t>
  </si>
  <si>
    <t>Bonne journée à tous les supporters des Bleus ! 💙 https://t.co/z50GTHyCJW</t>
  </si>
  <si>
    <t>Les Bleus continuent à récupérer et se préparer pour France-Danemark 👊
#FiersdetreBleus https://t.co/Ylp7K8Nji6</t>
  </si>
  <si>
    <t>🇫🇷🇶🇦 Monsieur l’Ambassadeur @FranceauQatar a rencontré les équipes de @beinsports_fr à l’occasion de la Coupe du Monde de la FIFA, QATAR 2022 ! https://t.co/eAj35dWKZc</t>
  </si>
  <si>
    <t>PhilippeErrera</t>
  </si>
  <si>
    <t>Musulmans, Chrétiens et Juifs à Bagdad au siècle dernier. Si vous êtes à Doha, allez voir l’exposition « Bagdad, plaisir des yeux » au Musée d’art islamique. https://t.co/jHv1sg4tQ3</t>
  </si>
  <si>
    <t>Les Bleus vous racontent comment se passe la nuit après le match et le lendemain de match ! 👀 
Et Ibrahima Konaté passe un petit message aux supporters 💙 
#FiersdetreBleus https://t.co/bWBLazyk3n</t>
  </si>
  <si>
    <t>عودة الى ما قبل المباراة الاولى للمنتخب الفرنسي مع بعض اللقطات للمشجعين في طريقهم إلى الملعب. كان عدد 🇨🇵 كبيرًا لدعم المنتخب الذي منحنا فوزًا  في رائعا!
#FiersdetreBleus #AllezLesBleus #كأس_العالم_قطر_2022 https://t.co/gWZ8AZlK7A</t>
  </si>
  <si>
    <t>زيارة المدير السياسي @PhilippeErrera لدولة #قطر. مقابلات مهمة و ثرية مع @Dr_Al_Khulaifi و @Lolwah_Alkhater حول مختلف الأزمات الاقليمية. تشاور مستمر و وثيق بين #فرنسا و #قطر. 
@MofaQatar_AR 🇫🇷🇶🇦 https://t.co/a7JF3rsffG</t>
  </si>
  <si>
    <t>Déplacement du directeur politique @PhilippeErrera au #Qatar. Entretiens riches et denses avec @Dr_Al_Khulaifi et @Lolwah_Alkhater sur l'ensemble des crises régionales. #France et #Qatar entretiennent sur tous ces dossiers un haut niveau de concertation. 
@MofaQatar_FR 🇨🇵🇶🇦 https://t.co/a7JF3rsN5e</t>
  </si>
  <si>
    <t>Retour sur l'avant-match avec quelques clichés de 🇨🇵 se rendant au stade. Les 🇨🇵 ont été très nombreux hier à soutenir les #Bleus qui nous ont offert une belle victoire pour leur premier match! 
#FiersdetreBleus #AllezLesBleus #Qatar2022 https://t.co/f6fE5bCrCU</t>
  </si>
  <si>
    <t>CampusFrance</t>
  </si>
  <si>
    <t>🤝 Après le succès de la journée pays Qatar 🇶🇦, poursuite des échanges en vue d’un renforcement des relations entre #CampusFrance, l’Ambassade de France au #Qatar et la délégation du Qatar à l’Unesco @QatarAtUNESCO emmenée par M. Hassan Al-Mulla et M. Hocine Chalabi. https://t.co/RunUlJxN0v</t>
  </si>
  <si>
    <t>📸| سموّ الأمير @TamimBinHamad حفظهُ الله يشهد جانبًا من مباراة #فرنسا 🇫🇷 و #أستراليا 🇦🇺 في استاد الجنوب 🏟
#مونديال_قطر_2022 | #نديب_قطر 
#FIFAWorldCup | #Qatar2022 https://t.co/a0xMDd0mvS</t>
  </si>
  <si>
    <t>L’ambiance de l’hôtel au retour du stade ! 🔥🤩
 (Griezmann valide 😄)
#FiersdetreBleus https://t.co/NUX3I3YbOs</t>
  </si>
  <si>
    <t>Très belle victoire de nos #Bleus pour leur premier match de #CoupeDuMondeFIFA au #Qatar2022. Bravo et nous attendons la suite!
#FiersdetreBleus https://t.co/dSZ8BD1ZrO</t>
  </si>
  <si>
    <t>𝙋𝙧𝙚𝙢𝙞𝙚̀𝙧𝙚 𝙧𝙚́𝙪𝙨𝙨𝙞𝙚 ! 👌
Les Bleus lancent de la plus belle des manières leur Coupe du Monde 🔥
🇫🇷4-1🇦🇺 | #FRAAUS | #FiersdetreBleus https://t.co/I8ORIZn2pc</t>
  </si>
  <si>
    <t>71' Le doublé de Girouuuuuuuuuud !!! 🔥
Avec ce but, @_OlivierGiroud_ égale le record du nombre de buts en Bleu de Thierry Henry (51) 🤜🤛
🇫🇷4-1🇦🇺 | #FRAAUS | #FiersdetreBleus https://t.co/ZVN1YmDqnV</t>
  </si>
  <si>
    <t>Kyliaaaaaaaan Mbappéééééééé de la tête sur un centre d'Ousmane Dembélé ! 😍
Un but qui lui permet d'intégrer le 𝐓𝐎𝐏 1️⃣0️⃣ des 𝐦𝐞𝐢𝐥𝐥𝐞𝐮𝐫𝐬 𝐛𝐮𝐭𝐞𝐮𝐫𝐬 de l'histoire des Bleus 🇫🇷🙌
🇫🇷3-1🇦🇺 | #FRAAUS | #FiersdetreBleus | @KMbappe https://t.co/TuWqwLxIFw</t>
  </si>
  <si>
    <t>C'est la 𝙥𝙖𝙪𝙨𝙚 ⏸️
Grace à des buts d'Adrien Rabiot et Olivier Giroud, les Bleus ont inversé la tendance dans cette première période 👊
🇫🇷🇦🇺 | #FRAAUS | #FiersdetreBleus https://t.co/maIywy5ktk</t>
  </si>
  <si>
    <t>OLIVIER GIROUUUUUUUD 🤩
Les Bleus prennent l'avantage ! 
🇫🇷2-1🇦🇺 | #FRAAUS | #FiersdetreBleus https://t.co/aP2BNQ1Y8f</t>
  </si>
  <si>
    <t>Réaction des Bleus ! ⚽️🔥
Le but d'Adrien Rabiot sur une tête rageuse !! 
🇫🇷1-1🇦🇺 | #FRAAUS | #FiersdetreBleus https://t.co/6VkWKkKsrR</t>
  </si>
  <si>
    <t>L'ambassade de #France au #Qatar est prête pour le premier match des #Bleus ce soir pour leur entrée dans la compétition! @equipedefrance on compte sur vous!
#AllezLesBleus #FiersdetreBleus #FIFAWorldCup #Qatar2022 🇨🇵🇨🇵🇨🇵 https://t.co/ZYd7Oirk4r</t>
  </si>
  <si>
    <t>Très heureux d'y accueillir les nombreux supporters et sportifs 🇨🇵, les membres de la communauté 🇨🇵 ainsi que les amis de la 🇨🇵 en présence du sénateur @OlivierCadic et des forces de sécurité 🇨🇵 déployées sur le mondial. 
#AllezLesBleus 
#FIFAWorldCup2022 #Qatar2022 https://t.co/TfhNpFFaHj</t>
  </si>
  <si>
    <t>Belle 1ère soiree hier soir à la Résidence à l'occasion du début de la Coupe du monde #Qatar2022 et de l'arrivée de nos cyclistes Mehdi, Gabriel et Abder qui ont parcouru des milliers de kilomètres à vélo pour soutenir les #Bleus 🇨🇵.
#FiersdetreBleus #FIFAWorldCup2022 https://t.co/jJBiQ6w4wO https://t.co/BK9StIISDr</t>
  </si>
  <si>
    <t>𝐿𝑒 𝑚𝑜𝑚𝑒𝑛𝑡 𝑒𝑠𝑡 𝑣𝑒𝑛𝑢 🏆🙌
Notre 𝐂𝐨𝐮𝐩𝐞 𝐝𝐮 𝐌𝐨𝐧𝐝𝐞 commence aujourd'hui !
🇫🇷🇦🇺 - 20H - @TF1 📺 
#FRAAUS | #FiersdetreBleus https://t.co/0vZZCUychE</t>
  </si>
  <si>
    <t>𝗛𝗮̂𝘁𝗲 𝗱'𝘆 𝗲̂𝘁𝗿𝗲 ! RDV demain à 20h sur @TF1 pour le début de l'aventure 🔥
#FRAAUS | #FiersdetreBleus https://t.co/oLH4VMgPA0</t>
  </si>
  <si>
    <t>#Qatar2022 #FIFAWorldCup https://t.co/AQWkhPw3cK</t>
  </si>
  <si>
    <t>#Qatar2022 #FIFAWorldCup https://t.co/VeN1p7npLE</t>
  </si>
  <si>
    <t>#Qatar2022 #FIFAWorldCup https://t.co/C0ld9d0gOa</t>
  </si>
  <si>
    <t>حفل افتتاح استثنائي في استاد البيت مساء أمس مع أول مباراة في #كأس_العالم_قطر_2022  بين #العنابي    و الإكوادور. 
كلّ الدعم و التشجيع لمنتخب 🇨🇵 و حظ موفق لكل الفرق! 
#AllezLesBleus #FiersdetreBleus #قطر2022 #FIFAWorldCup https://t.co/fAoYnj5KCA</t>
  </si>
  <si>
    <t>Cérémonie d’ouverture exceptionnelle hier soir au stade Al Bayt pour le premier match de la #coupedumonde2022 entre les #Annabi et l’Equateur. Plein soutien aux #Bleus 🇨🇵 et bonne chance à toutes les équipes ! 
#AllezLesBleus #FiersdetreBleus 
#QatarWorldCup2022 #FIFAWorldCup https://t.co/0kvZUZZqLM</t>
  </si>
  <si>
    <t>À la rencontre des joueurs et du staff de l’Equipe de France à Doha où je suis venu apporter un message de soutien de la part de @EmmanuelMacron . On compte sur vous ! https://t.co/Oz5MUrjR12</t>
  </si>
  <si>
    <t>Avec une partie des 200 gendarmes et policiers déployés à Doha pour la Coupe du monde de football. La 🇫🇷apporte sa contribution à la sécurisation de ce grand événement au service de nos supporters &amp;amp; en aide au Qatar dans la lutte anti-drones, le déminage ou l’intervention du GIGN https://t.co/KrS28sOUPJ</t>
  </si>
  <si>
    <t>وزير الداخلية الفرنسي يصل الدوحة لحضور حفل افتتاح بطولة #كأس_العالم #قطر2022 
#Qatar2022
#FIFAWorldCup 
@FranceauQatar https://t.co/YCAbZfbYEU</t>
  </si>
  <si>
    <t>@JBMontarnier @equipedefrance @ASSO_LGBT_EDF Bonjour. Je vous verrais volontiers naturellement. A bientôt</t>
  </si>
  <si>
    <t>The French Minister of Interior arrives in Doha to attend the opening ceremony of the #FIFAWorldCupQatar2022. #QNA #Qatar2022 https://t.co/AxzxnacS37</t>
  </si>
  <si>
    <t>Un 𝙘𝙤𝙡𝙡𝙚𝙘𝙩𝙞𝙛 𝙪𝙣𝙞 pour représenter la 𝙁𝙧𝙖𝙣𝙘𝙚 𝙚𝙣𝙩𝙞𝙚̀𝙧𝙚 🇫🇷
#FiersdetreBleus 
𝘗𝘩𝘰𝘵𝘰 𝘱𝘳𝘪𝘴𝘦 𝘮𝘢𝘳𝘥𝘪. 𝘎𝘳𝘰𝘴𝘴𝘦 𝘱𝘦𝘯𝘴𝘦́𝘦 𝘱𝘰𝘶𝘳 𝘊𝘩𝘳𝘪𝘴𝘵𝘰𝘱𝘩𝘦𝘳 💙
© Jean-François Robert / modds https://t.co/almUYrWgkI</t>
  </si>
  <si>
    <t>Heureux de partager un excellent moment avec déjà de très nombreux supporters 🇨🇵 à la #Guinguette, et d'y retrouver Mehdi et Gabriel 🚲. Au -  17.000 🇨🇵 attendus à #Doha. #AllezLesBleus et vivement mardi!
#Qatar2022
N'hésitez pas à consulter notre site 👉https://t.co/7WSVdYuhYR https://t.co/fQjfM7U54o</t>
  </si>
  <si>
    <t>عودة على الوصول الاستثنائي للشابين 🚴🏼🚴🏽‍♂️ 🇨🇵 إلى استاد #لوسيل لدعم منتخب #فرنسا بعد 3 أشهر من المغامرة مروراً بأوروبا والشرق الأوسط.  فخورون برحلتهم وجزيل الشكر أيضًا لكل الدراجين الذين قدموا لدعْمهِما!
 #قطر_2022 https://t.co/kDfpHqbkXw https://t.co/kyLL5rqchK</t>
  </si>
  <si>
    <t>@Qatarcyclists11</t>
  </si>
  <si>
    <t>Retour en images sur l'arrivée exceptionnelle de nos deux jeunes cyclistes 🇨🇵 au stade de #Lusail après 3 mois d'aventure à travers l'Europe et le Moyen-Orient pour soutenir les #Bleus. Fier de leur parcours et un grand 🙏 également aux nombreux cyclistes mobilisés!
#Qatar2022 https://t.co/PFgLuGyFni</t>
  </si>
  <si>
    <t>@FranceauQatar s'est associée au magnifique concert "gala of champions" hier à @kataraqatar Opera House. Merci au @qatar_phil pour ce voyage musical autour des compositeurs phares des 8 pays champions du monde. https://t.co/BiYHTtRYr5</t>
  </si>
  <si>
    <t>لحظة استثنائية ومميزة في #كأس_العالم_2022 حيث تدرب المنتخب الفرنسي بحضور المشجعين الفرنسيين 🇨🇵 وطلاب المدارس وأعوان سفارة فرنسا في 🇶🇦، الذين جاؤوا بأعداد كبيرة لدعمهم.
#Allez_les_bleus
#FiersdetreBleus 🇨🇵
@equipedefrance https://t.co/XPdRecLOw5 https://t.co/9KPdWqYMQF</t>
  </si>
  <si>
    <t>سعيد جدًا بحضور تدريب المنتخب الفرنسي مساء أمس قبل أيام قليلة من أول مبارة لهم في #كأس_العالم_2022 #قطر2022. ثقتنا كبيرة في مدربنا و لاعبينا. 
@equipedefrance 
#AllezLesBleus 
#FiersdetreBleus 🇨🇵 https://t.co/J3F8qRnJnf https://t.co/ojKFf18in3</t>
  </si>
  <si>
    <t>After three-month bicycle journey, two French football fans arrive Doha
#QatarWorldCup2022 #Qatar2022 #FIFAWorldCup2022 
https://t.co/CJh3ZDdz09</t>
  </si>
  <si>
    <t>Très heureux d'avoir assisté hier soir à l'entraînement des #Bleus à quelques jours de leur premier match de #CoupeDuMonde #Qatar2022. Confiance totale en notre entraîneur et en nos joueurs! #AllezLesBleus #FiersdetreBleus 🇨🇵
@equipedefrance https://t.co/86j0Na0j2O</t>
  </si>
  <si>
    <t>Moment exceptionnel et unique durant cette Coupe du monde #Qatar2022, les #Bleus s’entraînent devant les supporters français 🇨🇵, les écoliers, les fans et les équipes de l'ambassade de #France, venus en nombre pour les soutenir!
@equipedefrance #AllezLesBleus #FiersdetreBleus 🇨🇵 https://t.co/pQbBCxglYB https://t.co/vEvMWBM6U3</t>
  </si>
  <si>
    <t>OlivierCadic</t>
  </si>
  <si>
    <t>Conférence de presse au @Senat 
À l’occasion de la Coupe du monde de football au #Qatar🇶🇦 qui débutera dimanche, je m’envolerai samedi vers Doha pour un premier séjour, à l'invitation de la Choura.
@UC_Senat @francediplo
Intervention complète et verbatim https://t.co/uS3Ej7OJfM https://t.co/9Te0iqu7dN</t>
  </si>
  <si>
    <t>1er entraînement à Doha pour les Bleus 👊 #FiersdetreBleus https://t.co/dug9hOdXql</t>
  </si>
  <si>
    <t>👏The two cyclists Mehdi and Gabriel were welcomed at the Lusail Stadium by many Qatari and French friends👇
https://t.co/gqTBEgDZNp
#ILoveQatar #Qatar #QataNews @FranceauQatar</t>
  </si>
  <si>
    <t>لقطات من وصول المشجعين الفرنسيين مهدي و غابريال إلى #الدوحة على متن الدراجة الهوائية لحضور #كأس_العالم #قطر2022
@FranceauQatar
@equipedefrance  @FFF https://t.co/4btC0PH1fB</t>
  </si>
  <si>
    <t>بعد رحلة دامت 3 أشهر و8000 كيلومتر بالدراجة انطلاقا من #باريس، وصل المغامران مهدي وغابرييل صباح اليوم الى #الدوحة عند استاد #لوسيل. كان في استقبالهم عدد من الفرنسيين والأصدقاء القطريين.
أحسنتما!
@roadto2022 #كأس_العالم_قطر_2022 #قطر_2022 https://t.co/LaVrWgD8v0 https://t.co/k5vjwPy8l0</t>
  </si>
  <si>
    <t>Après de 3 mois de périple et 8000 kms à vélo, nos deux aventuriers, Mehdi et Gabriel, sont arrivés ce matin à #Doha, au stade de #Lusail. Accueillis par de nombreux français et amis qatariens, un seul mot : bravo !
@roadto2022 #FIFAWorldCupQatar2022 #Qatar2022 #FiersdetreBleus https://t.co/1nlyNasM7E</t>
  </si>
  <si>
    <t>Après un vol de 6h30, les joueurs ont effectué une séance d'étirements hier soir ! 
#FiersdetreBleus https://t.co/YBnjjS1zUt</t>
  </si>
  <si>
    <t>AFP</t>
  </si>
  <si>
    <t>#BREAKING  France's Macron says 'must not politicise sport' ahead of Qatar World Cup https://t.co/ArICSnGCas</t>
  </si>
  <si>
    <t>وصل منتخب #فرنسا إلى #قطر للدفاع عن لقب بطل العالم. 
نتمنى لهم اقامة طيبة قبيل انطلاق الاثارة في مباريات الدور الأول.
#AllezLesBleus 
#كأس_العالم_قطر_2022 
@roadto2022 https://t.co/K5CCGFClGP</t>
  </si>
  <si>
    <t>سعيد جدًا وفخور بلقاء المنتخب الفرنسي عند وصوله مساء أمس الى #قطر للمشاركة في كأس العالم. كل الفرنسيين في 🇶🇦 والمشجعين الذين قدموا من 🇨🇵 يعتمدون عليكم لجعلهم فخورين بإنجاز جديد.
كل التوفيق لديدييه ديشان و لكل الفريق. 
#AllezLesBleus 
#كأس_العالم_قطر_2022 
@FFF 
@roadto2022 https://t.co/Teip8H6qNU</t>
  </si>
  <si>
    <t>Très heureux et honoré d'accueillir nos #Bleus hier soir à #DOHA. Les Français du Qatar et les nombreux supporters venus de l’hexagone sont derrière vous. 
Très beau mondial à Didier Deschamps et à toute l'équipe.
#AllezLesBleus 
#WorldCup2022
@FFF 
@roadto2022 https://t.co/UwAKg62xbI</t>
  </si>
  <si>
    <t>Les #Bleus sont arrivés au #Qatar pour défendre leur titre de champion du monde. Nous leur souhaitons une bonne installation avant de nous faire vibrer durant les premiers matchs de groupe ! 
#AllezLesBleus 
#WorldCup2022 https://t.co/K5CCGFClGP</t>
  </si>
  <si>
    <t>الجماهير الفرنسية تستقبل بعثة منتخب بلادها بحفاوة لدى وصولهم فندق الإقامة
@equipedefrance @FranceauQatar
#قطر2022 https://t.co/55T85nxbJk</t>
  </si>
  <si>
    <t>عاجل: وصول بعثة منتخب #فرنسا إلى مطار حمد الدولي استعداداً للمشاركة في #كأس_العالم #قطر2022
@equipedefrance  @FFF 
 #FiersdetreBleus  #LesBleus https://t.co/fsZzXLBK5p</t>
  </si>
  <si>
    <t>QFA_EN</t>
  </si>
  <si>
    <t>Bienvenue au Qatar, @equipedefrance 🇫🇷 
We welcome the world champions to Qatar! 🇶🇦 
#Qatar2022 https://t.co/o5hHrDnLJA</t>
  </si>
  <si>
    <t>Les Bleus sont arrivés à Doha ! 📍 https://t.co/U9MbVUU95m</t>
  </si>
  <si>
    <t>📸 Photo d’équipe avant le décollage pour la 𝘾𝙤𝙪𝙥𝙚 𝙙𝙪 𝙈𝙤𝙣𝙙𝙚 ! 🌍 #FiersdetreBleus 
𝘎𝘳𝘰𝘴𝘴𝘦 𝘱𝘦𝘯𝘴𝘦́𝘦 𝘱𝘰𝘶𝘳 𝘊𝘩𝘳𝘪𝘴𝘵𝘰𝘱𝘩𝘦𝘳 💙 https://t.co/V3CHt7LnJU</t>
  </si>
  <si>
    <t>👋 Clairefontaine 
🔜 La Coupe du Monde 🌍 
#FiersdetreBleus https://t.co/vtypNdlEtX</t>
  </si>
  <si>
    <t>Concentrés, mais engagés. Fidèles à leurs valeurs. Libres. https://t.co/KC1jervBoO</t>
  </si>
  <si>
    <t>lequipe</t>
  </si>
  <si>
    <t>#Paris2024 a dévoilé, ce lundi, les mascottes olympique et paralympique des Jeux parisiens sous les traits de bonnets phrygiens, symboles de liberté, sur deux pieds et un pied-une lame https://t.co/UktOemh8iI https://t.co/PVuQezsdfT</t>
  </si>
  <si>
    <t>اللقاء الكامل مع سعادة السفير جان باتيست فافر في برنامج #مجلس_قناة_الكاس مع الاعلامي @khalidjassem74.
👇👇👇
https://t.co/3gj34aPg4i
#كأس_العالم_قطر_2022 
@alkasschannel
@roadto2022</t>
  </si>
  <si>
    <t>📸 La 𝐏𝐡𝐨𝐭𝐨 𝐨𝐟𝐟𝐢𝐜𝐢𝐞𝐥𝐥𝐞 de l’Équipe de France pour la Coupe du Monde 2022 🇫🇷
#FiersdetreBleus https://t.co/FXULv55W9g</t>
  </si>
  <si>
    <t>ConseilsVoyages</t>
  </si>
  <si>
    <t>📌Avant un départ à l’étranger n’oubliez pas les bons réflexes :
➡Téléchargez l'app @ConseilsVoyages du @CdCMAE 
➡Inscrivez-vous sur Ariane : https://t.co/ocGOl7r3WG https://t.co/ilM6U15eLG</t>
  </si>
  <si>
    <t>La Coupe du Monde débute pour les Bleus ! 
#FiersdetreBleus https://t.co/W7nfJEwiGY</t>
  </si>
  <si>
    <t>Le rassemblement débute demain 🔥
Hâte de retrouver nos Bleus ? 😄
#FiersdetreBleus https://t.co/cqmfQQOSGQ</t>
  </si>
  <si>
    <t>fifamedia</t>
  </si>
  <si>
    <t>Israelis and Palestinians to fly together to the FIFA World Cup Qatar 2022™️
👉 https://t.co/UUV4mOiZl8 https://t.co/bCaDmGdkar</t>
  </si>
  <si>
    <t>بعد الإعلان عن القائمة الرسمية للمنتخب الفرنسي، يحمل الفرنسيون 🇫🇷 في #قطر 🇶🇦 رسالة لفريق #فرنسا، بطل العالم:
#Allez_les_bleus ! نعتمد عليكم! 
#كأس_العالم_قطر_2022 
@roadto2022 https://t.co/V2JOhna3ky</t>
  </si>
  <si>
    <t>@FFF @francediplo @roadto2022news</t>
  </si>
  <si>
    <t>Au lendemain de l'annonce de la liste des #Bleus, les Français 🇨🇵 du Qatar 🇶🇦 ont un message pour l'@equipedefrance, championne du monde en titre : Allez les #Bleus ! On compte sur vous ! 
#SeeYouInQatar #FiersdetreBleus #FIFAWorldCupQatar2022 
@roadto2022 #Qatar2022 https://t.co/WRsewUcjkS</t>
  </si>
  <si>
    <t>Fier d’avoir décoré de l’Ordre national du mérite le général de brigade Abdulla Mohamed Al Kubaisi, un grand serviteur de l’État du #Qatar et un ami fidèle de la #France. 
#FRQA50 🇫🇷🇶🇦 https://t.co/NoA81qpBsU</t>
  </si>
  <si>
    <t>Très heureux d’avoir tenu, en compagnie du Dr. @HassanAlderham @QU_President, une nouvelle réunion du comité strat. conjoint. Occasion de faire avancer les projets de coop. avec les établissements d’ens. sup. ainsi que les entreprises 🇨🇵. De belles perspectives à venir ! 🇶🇦🇨🇵 https://t.co/slCoIttXAt</t>
  </si>
  <si>
    <t>🗣 Faut-il déconseiller aux personnes homosexuelles de se rendre au Qatar ? ➡️ "Je ne vois pas pourquoi ils seraient privés du plaisir. Il faut s'en tenir à l’engagement que l’émir a pris devant le monde entier et qui devra être respecté à la lettre”, pour Amélie Oudéa-Castéra. https://t.co/bWIVPFx73W</t>
  </si>
  <si>
    <t>🗣 Les Bleus doivent-ils s’exprimer sur les droits de l’Homme au Qatar ? ➡️ "Didier Deschamps a prononcé le mot important : liberté. Je leur fais confiance”, dit la ministre. “Ce qui est important, c’est qu’on rééquilibre, qu’on parle plus du sportif.” https://t.co/sqUB2uUe9L</t>
  </si>
  <si>
    <t>سعيد جدًا بلقاء السيد عبدالرزاق البدوي هذا الصباح بعد رحلته الطويلة على الدراجة بين #أوكسير و #الدوحة. ابهرتني إنجازاته الرياضية وعزيمته، و أتمنى له الاستمتاع بكأس العالم في #قطر!
 مبروك Abder على هذا الانجاز!
 @roadto2022 #كأس_العالم_قطر_2022 🇨🇵🇶🇦 https://t.co/MdC4A8Ut6K https://t.co/3zD21JgIZh</t>
  </si>
  <si>
    <t>اختتاماً للعام الثّقافي #فرنسا_قطر_2020 واحتفالاً بمرور 50 عاماً على تأسيس العلاقات الثنائية بين البلدين تم تدشين نسيج الفنانة 🇶🇦بثينة المفتاح بالتعاون مع @CiteTapisserie في #M7.👏 لجميع ورش العمل 🇨🇵 وخبرائهم وكذلك للفنان بثينة المفتاح.
#قطر_ميناسا_2022
#الأعوام_الثقافية https://t.co/S6wyFo5tUq https://t.co/RMhJUxPk3j</t>
  </si>
  <si>
    <t>مساعد وزير الخارجية @Lolwah_Alkhater تجتمع مع السفير الفرنسي 
#الخارجية_القطرية https://t.co/leWfm45HeF</t>
  </si>
  <si>
    <t>Vous vous rendez au Qatar dans le cadre de la #FIFAWorldCup2022 ? L'équipe de l'ambassade de #France au #Qatar est en place au @Deccqatar pour vous accueillir en cas de difficulté.
Vous pouvez également consulter le guide du supporter 🇨🇵 👉 https://t.co/6XcLGGHcHy
@roadto2022 https://t.co/rz5u1zdaqE</t>
  </si>
  <si>
    <t>roadto2022</t>
  </si>
  <si>
    <t>قائمة أبطال العالم #فرنسا 🇫🇷 
#قطر2022 
#عالوعد https://t.co/MBz0GAjVcA</t>
  </si>
  <si>
    <t>Très heureux d'avoir rencontré ce matin M. El Badaoui après son long périple à vélo entre #Auxerre et #Doha. Impressionné par son exploit sportif et sa détermination, je lui souhaite de vivre un excellent mondial au #Qatar! 
Bravo cher Abder!
@roadto2022 #QatarWorldCup2022 🇨🇵🇶🇦 https://t.co/KkoZEZOPvK</t>
  </si>
  <si>
    <t>𝙇𝙖 𝙡𝙞𝙨𝙩𝙚 des 2️⃣5️⃣ Bleus retenus pour
𝙡𝙖 𝘾𝙤𝙪𝙥𝙚 𝙙𝙪 𝙈𝙤𝙣𝙙𝙚 👊
#FiersdetreBleus https://t.co/RpQ0ddN3he</t>
  </si>
  <si>
    <t>Afin de clôturer l’Année cult. #France_Qatar_2020 et de célébrer les 50 ans de rel. bilat., la tapisserie de l’artiste 🇶🇦 Bouthayna Al Muftah et de la @CiteTapisserie a été inaugurée hier au #M7.👏 à tous les ateliers 🇨🇵 et leurs experts ainsi qu’à l’artiste B Al Muftah.
#Yeebhom https://t.co/CixQ97Y3WH</t>
  </si>
  <si>
    <t>تُعقد الدورة ال27 لمؤتمر الأطراف #COP27 في مصر في الفترة ما بين 6 و18 نوفمبر في سياق تسوده القضايا الملحة.
وكيف تعقد 🇫🇷 التزامها؟ ولماذا يُعد التمويل المناخي من أولويات ذلك المؤتمر؟
تطلعكم على الإجابة المتحدثة باسم @francediplo_AR، السيدة
@AClaireLegendre
⬇️ https://t.co/hDoeW4RcEU</t>
  </si>
  <si>
    <t>السفير الفرنسي في قطر من الشخصيات الرائعة التي سبق وأن جلست معها ويعمل جاهداً لوقف هذه الهجمات بالذات من الصحف الفرنسية الصفراء .. بالذات أننا شعبين صديقين ولدينا مصالح مشتركة ، جهاز قطر للاستثمار احد اكبر المستثمرين في فرنسا وشركة Total احد اكبر المستثمرين في قطر .. https://t.co/AiV2YpUzp5</t>
  </si>
  <si>
    <t>⏳ Rendez-vous demain à 20h sur TF1 pour connaître 𝗟𝗔 𝗟𝗜𝗦𝗧𝗘 𝗗𝗘𝗦 𝗕𝗟𝗘𝗨𝗦 qui participeront à la 𝗖𝗼𝘂𝗽𝗲 𝗱𝘂 𝗠𝗼𝗻𝗱𝗲 𝟮𝟬𝟮𝟮 🇫🇷🔥
#FiersdetreBleus https://t.co/23hegyF1wo</t>
  </si>
  <si>
    <t>استضافة سعادة السفير جان باتيست فافر في برنامج #مجلس_قناة_الكاس مع @khalidjassem74. 
🇫🇷🇶🇦
لمشاهدة كامل اللقاء 👈🏻 https://t.co/3PbODiBtcv…
 #كأس_العالم_قطر_2022 
@alkasschannel 
@roadto2022 
https://t.co/Ciku6wDLW3</t>
  </si>
  <si>
    <t>تشرّفت بالحضور مع @khalidjassem74 في برنامج #مجلس_قناة_الكاس على @alkasschannel . كل الشكر على حسن الاستقبال و النقاش الثري. 
لِمشاهدة كامل اللّقاء 👈🏻 https://t.co/Ib0aPsgIxd
#فرنسا 🇫🇷 #قطر 🇶🇦
#قطر_2022 #كأس_العالم_2022 
@roadto2022 https://t.co/K2Y9rDDVu5</t>
  </si>
  <si>
    <t>جان باتيست فافر سفير جمهورية فرنسا في دولة قطر: فرنسا ستساند دولة قطر في مجال الأمن، وأكثر من 300 شخص من وزارتي الدفاع والداخلية الفرنسيين يشاركون في تأمين المونديال 
#مجلس_قنوات_الكاس https://t.co/N96wTaCHI0</t>
  </si>
  <si>
    <t>جان باتيست فافر سفير جمهورية فرنسا في دولة قطر: قطر التزمت بدعم أوروبا في مجال الطاقة في توقيت صعب جدا، وقطر شريك عسكري وثقافي، والعلاقات القطرية الفرنسية تاريخية 
#مجلس_قنوات_الكاس https://t.co/akbuFqI1UE</t>
  </si>
  <si>
    <t>جان باتيست فافر سفير جمهورية فرنسا في دولة قطر: بعض البلديات أعلنت عن عدم وجود الشاشات، وهذا يرجع لاسباب البرد وأسباب اقتصادية، وموقف فرنسا الرسمي لا يعطي دروس، ونعلم أن دولة قطر تريد أن تسير للأمام 
#مجلس_قنوات_الكاس https://t.co/OgwcGmMyI5</t>
  </si>
  <si>
    <t>BoHomoud007</t>
  </si>
  <si>
    <t>شكراً سعادة السفير على الكلام الرائع والإطراء وتمنياتنا لك بالاستمتاع بالبطولة والتوفيق للمنتخب الفرنسي
@FranceauQatar https://t.co/rqZyYr0m1S</t>
  </si>
  <si>
    <t>#مجلس_قناة_الكاس | جان باتيست فافر سفير جمهورية فرنسا في دولة قطر : بعض البلديات الفرنسية اعلنت عدم وضع شاشات في الشوارع لعرض مباريات مونديال قطر بسبب فصل الشتاء كما أنه تدبير افتصادي
 #كأس_العالم 
#قطر2022 
#WorldCup 
@FranceauQatar https://t.co/S62DyD08pj</t>
  </si>
  <si>
    <t>#مجلس_قناة_الكاس | جان باتيست فافر سفير جمهورية #فرنسا في دولة #قطر : عملنا في المونديال يكسبنا خبرة في تنظيم أولمبياد 2024 و علاقة فرنسا مع قطر هي علاقة شراكة والدوحة مستعدة لاستضافة كأس العالم
#كأس_العالم 
#قطر2022
 #WorldCup
@FranceauQatar https://t.co/dSKv60jBfC</t>
  </si>
  <si>
    <t>#مجلس_قناة_الكاس | جان باتيست فافر سفير جمهورية فرنسا في دولة قطر : 60 % من الشعب الفرنسي سيشاهد مونديال قطر 2022 بزيادة 10 % عن مونديال روسيا 2018 ونحو 10 آلاف فرنسي حصلوا على بطاقة هيا 
#كأس_العالم 
#قطر2022
#WorldCup
@FranceauQatar https://t.co/tHmnlotBNI</t>
  </si>
  <si>
    <t>#سورية | تدين فرنسا بأشد العبارات عمليات القصف التي شنها النظام السوري في 6 تشرين الثاني/نوفمبر بدعم من روسيا على مخيمات النازحين بالقرب من مدينة إدلب.
التصريح ← https://t.co/PZ5gs7RywE https://t.co/9mgOLmMiSy</t>
  </si>
  <si>
    <t>La jeunesse du monde entier nous regarde.
Mon appel à la COP 27 : https://t.co/uBztUtCE0j</t>
  </si>
  <si>
    <t>Cérémonie du #GuinessWordRecord obtenu par le @miaqatar pour la lecture du Petit Prince dans le plus grand nombre de langues. 
🏆Lecteurs et juges ayant participé au défi se sont vu remettre des certificats. 
@Le_PetitPrince @canesugar @franceauqatar 
#LePetitPrince https://t.co/1Yu2PMnFGU</t>
  </si>
  <si>
    <t>Dans une interview avec le journal français “ Le Monde”    
Le vice-Premier ministre et ministre des Affaires étrangères @MBA_AlThani_ : le peuple qatari est très accueillant, et le monde entier est le bienvenu dans notre pays
#MOFAQatar
#Qatar2022
@lemondefr https://t.co/wGT616eLOj</t>
  </si>
  <si>
    <t>Son Excellence Cheikh Mohammed bin Abdulrahman Al Thani vice-Premier ministre et ministre des Affaires étrangères @MBA_AlThani_ , dans une interview avec le journal "Le Monde"
#MOFAQatar
#Qatar2022 https://t.co/cgb37Ho0FF</t>
  </si>
  <si>
    <t>Moment convivial au @MIAQatar autour de la diffusion du film d’animation 🇫🇷 « Le Petit Prince », et du documentaire 🇨🇦 « Invisible Essence: The Little Prince ».
🙏 à nos partenaires pour ce bel événement autour de l’œuvre d’Antoine de Saint-Exupéry.
@Le_PetitPrince @canesugar https://t.co/sdjpfcc4Sr https://t.co/Ji4f9nnxtp</t>
  </si>
  <si>
    <t>أود أن أشكر لاعبة الجولف المحترفة @yasmian_Qatar على دعوتها لزوجتي، زكية فيفر ، إلى هذا اللقاء المميز الذي جمع العديد من النساء والأمهات والرياضيات أسابيع قليلة قبل انطلاق  #كأس_العالم_قطر_2022.
@roadto2022 @llREEMOo https://t.co/9NOmETCh6O https://t.co/DxfgmXAbF2</t>
  </si>
  <si>
    <t>#Ukraine | Confirmation par l'@iaeaorg de l’absence d’activités et de matières nucléaires non déclarées. 
Déclaration intégrale → https://t.co/8IfHlwCiCU https://t.co/l2LjjeWYw4</t>
  </si>
  <si>
    <t>Je remercie @yasmian_Qatar, 🏌‍♀️ professionnelle, d'avoir convié mon épouse, Zakia Faivre, à cette rencontre très conviviale et enrichissante en présence de nombreuses femmes actives, mères, sportives et athlètes à quelques semaines de la @fifaworldcup.
@llREEMOo @roadto2022 https://t.co/7W0j4MQios</t>
  </si>
  <si>
    <t>🇪🇺 @Europarl_EN VP @EvaKaili met with the Heads of Diplomatic Missions of #EU Member States (HoMs) in #Doha.
It was a fruitful exchange on opportunities to further deepen our comprehensive partnership with #Qatar. 
@EUinQatar https://t.co/Y9aM9Ym1Yf</t>
  </si>
  <si>
    <t>#Qatar2022 Vous comptez vous rendre au #Qatar pour assister à la #CDM2022 ? 
Consultez le guide du supporter français pour des conseils pratiques avant votre séjour. 
#FIFAWorldCupQatar2022 
@francediplo 
https://t.co/6XcLGGYO68👉</t>
  </si>
  <si>
    <t>ilo</t>
  </si>
  <si>
    <t>4️⃣ years of labour reforms in 🇶🇦
2️⃣ new @ILOQatar reports outline progress made and the challenges that remain in the implementation of Qatar’s labour reforms. 
➡️https://t.co/BnThE2G6mV https://t.co/vMcgTEw04b</t>
  </si>
  <si>
    <t>سعيد جدًا بالمشاركة في افتتاح المركز الدولي للخدمات القنصلية في @Deccqatar. في حالة مواجهة أي صعوبات، سيستقبل فريق عمل سفارة #فرنسا في دولة #قطر، المشجعين ال🇫🇷 في الجناح D1 إبتداءً من 19 نوفمبر. 
@roadto2022 #ICSC ⚽️🇫🇷🇶🇦 https://t.co/B6oorbyATE https://t.co/Ch9hDJw80g</t>
  </si>
  <si>
    <t>Très heureux de participer à l'inauguration du Centre international de services consulaires @Deccqatar. En cas de difficultés, les équipes de l'ambassade de #France au #Qatar seront présentes pour vous accueillir sur le stand D1 à partir du 19 novembre. 
@roadto2022 #ICSC 🇨🇵🇶🇦 ⚽️ https://t.co/MrywITjpsl</t>
  </si>
  <si>
    <t>qbsradiofm</t>
  </si>
  <si>
    <t>Two French soccer fans are cycling all the way from Paris to Doha, for the World Cup in #Qatar.
Mehdi Balamissa and Gabriel Martin, speaks to us about their ongoing #journey 🔉 https://t.co/K7fuwNCDOl</t>
  </si>
  <si>
    <t>سعادة السيد جان إيف لودريان، وزير أوروبا والشؤون الخارجية الأسبق، برفقة سعادة السيد حسن الذوادي، الأمين العام للجنة العليا للمشاريع والإرث خلال زيارتهما لإستاد المدينة التعليمية.زُوروا معرض "فرنسا-قطر، 50 عاماً من الصداقة" في @QNLib والذي يتواصل حتى 31 اكتوبر الحالي.
#فرنسا_قطر50 https://t.co/AM0QcRKUAY https://t.co/M1j31KIcUW</t>
  </si>
  <si>
    <t>#FRQA50 Visite du stade d'#EducationCity par l’anc. Min. de l'Europe et des Affaires étrangères, S.E.M Jean-Yves Le Drian et S.E.M @HAlThawadi, Sec. gén.  @roadto2022, le 10 déc. 2020.     
📌Retrouvez l'exp. «France-Qatar, 50 ans d’amitié» @QNLib, jusqu'au 31/10/2022. 
🇫🇷🇶🇦 https://t.co/xTvbw5bol0</t>
  </si>
  <si>
    <t>أسعدتني زيارة المدرسة اللبنانية في الدوحة لتسليم شهادات #DELF لطلاب الصف الأول من المرحلة الثانوية. مثال رائع على التعاون بين #فرنسا و #لبنان في #الدوحة و على حيوية #الفرانكوفونية في #قطر. https://t.co/kVW87JiUN7 https://t.co/CpdZutJESp</t>
  </si>
  <si>
    <t>Pierre Soulages avait su réinventer le noir, en y faisant jaillir la lumière. Par-delà le noir, ses œuvres sont des métaphores vives où chacun de nous puise l’espoir. https://t.co/4dxiCXCYy6</t>
  </si>
  <si>
    <t>RimaAbdulMalak</t>
  </si>
  <si>
    <t>“La peinture est une humanisation du monde” écrivait Pierre Soulages. Avec lui le noir est devenu bien plus qu’une couleur : un univers profond, un paysage sans limites. Pinceau en main jusqu’au dernier jour ; merci pour la lumière, merci pour l’infini. https://t.co/ALhJLJIyo3</t>
  </si>
  <si>
    <t>QNA_Sports</t>
  </si>
  <si>
    <t>مقر اللجنة العليا للمشاريع والإرث يشهد لقاءً بين منظمي #كأس_العالم #قطر2022 وسفراء الدول التي تشارك منتخباتها في المونديال، لاستعراض آخر الاستعدادات لاستضافة البطولة قبل أسابيع قليلة من انطلاق منافساتها
#قنا_رياضي https://t.co/yDY9i74QZh</t>
  </si>
  <si>
    <t>Ravi d’être présent à l’école libanaise pour la remise des diplômes du #DELF aux élèves de seconde. Un bel exemple de coopération entre la #France et le #Liban à #Doha et de vitalité de la #francophonie au #Qatar. https://t.co/ALP9PZjk5v</t>
  </si>
  <si>
    <t>To celebrate the record achieved by the @miaqatar
on Oct 12 for the most languages used in a reading relay, 
@franceauqatar in partnership with @Fondation_ASEJ
 &amp;amp; @miaqatar are organising #filmscreenings of #TheLittlePrince. 
➡️https://t.co/SasSyLRftQ
@canesugar
@Le_PetitPrince https://t.co/wYnqyHLDp8</t>
  </si>
  <si>
    <t>زيارة رسمية لصاحب السمو الأمير الوالد الشيخ حمد بن خليفة آل ثاني، (ولي العهد ووزير الدفاع، 1977 – 1995) إلى #فرنسا، واستقباله في قصر ماتينيون في #باريس.
📌زُوروا معرض "فرنسا-قطر، 50 عاماً من الصداقة" في @QNLib والذي يتواصل حتى 31 اكتوبر الحالي.
#فرنسا_قطر50
🇫🇷🇶🇦 https://t.co/YEskqsMXZd https://t.co/osC7O8aIiM</t>
  </si>
  <si>
    <t>Visite officielle en #France de Son Altesse l’Emir Père Cheikh Hamad bin Khalifa Al Thani, (Prince héritier et Ministre de la Défense du #Qatar 1977-1995) Matignon, Paris.
📌Retrouvez l'exposition «France-Qatar, 50 ans d’amitié» à @QNLib, jusqu'au 31 octobre 2022. 
#FRQA50 
🇫🇷🇶🇦 https://t.co/QTMioOwj3F</t>
  </si>
  <si>
    <t>سُعدت باللقاء الذي نظمته زوجتي زكية مع السيدات أمينة زينال، وأمينة قطبة، وإلهام الانصاري، والصديقات 🇶🇦 و 🇫🇷من أفراد @dohaaccueil. كان لقاءً ودياً حول الثقافة القطرية. 
#قطر #الدوحة https://t.co/GjgV8Ci1Vc https://t.co/u2RUBDTnMK</t>
  </si>
  <si>
    <t>شاركت 22 مؤسسة في معرض "بغداد قرّة العين" من خلال إعارة القطع المعروضة، من ضمنها متحف #Louvre الذي قدّم قطع أثرية يعود تاريخها إلى القرن التاسع. 
@Qatar_Museums @MIAQatar @QatarCreates_AR @QatarCreates https://t.co/i82bjUUyHz</t>
  </si>
  <si>
    <t>"بغداد قرّة العين" معرض جديد ل@MIAQatar يحتفي بمدينة #بغداد مركز العالم الإسلامي على مدى قرون عدّة.
تُعرض 186 قطعة أثرية تشهد على ثراء العاصمة العباسية قبل 500 عام، كمدينة القوّة و العلم.  
@Qatar_Museums @MIAQatar @QatarCreates_AR @QatarCreates https://t.co/PujlFQsxFM https://t.co/tKc046Zr8s</t>
  </si>
  <si>
    <t>22 institutions ont participé à l’exposition « Baghdad, Eye’s delight » par le prêt d’objets, dont le musée du #Louvre avec des artefacts datant du 9ème siècle.
@Qatar_Museums @MIAQatar @QatarCreates https://t.co/5UZQdafVlJ</t>
  </si>
  <si>
    <t>« Baghdad, Eye’s delight » est la nouv. expo. du @MIAQatar qui célèbre #Bagdad, centre du monde islamique pendant de nombreux siècles. 186 pièces qui témoignent de la richesse de celle qui a été la capitale du califat abbasside pendant 500 ans, ville de pouvoir et d'érudition. https://t.co/ObHBtq3ato</t>
  </si>
  <si>
    <t>Ravi de la rencontre ce matin organisée par mon épouse Zakia avec Mmes Ameena Zeinal, Amina Qotba, Elham Al Ansari, des amies 🇶🇦 et de la communauté 🇫🇷 de @dohaaccueil. Matinée amicale autour de la culture 🇶🇦.
#Qatar #Doha https://t.co/hM99B3gNwm</t>
  </si>
  <si>
    <t>احتفلنا باليوم العالمي للأمم المتحدة مع أفراد البعثات الدبلوماسية في الدوحة في #ساحة_الأعلام. منذ 77 عاماً، تم توقيع #ميثاق_الأمم_المتحدة الذي تدافع #فرنسا باستمرار على قيمِهِ العالمية.
#UNDay2022 @MofaQatar_AR @MofaQatar_FR https://t.co/CAaZWoSTOI https://t.co/0fTV8iQJLm</t>
  </si>
  <si>
    <t>Célébration de la #JourneedesNationsUnies à #FlagPlaza avec la communauté diplomatique de #Doha. Il y a 77 ans, était signée la #Charte des Nations unies : la #France défend avec constance ses valeurs universelles.
#UNDay2022 
@MofaQatar_FR @MofaQatar_EN https://t.co/1I1gcM84q3</t>
  </si>
  <si>
    <t>Lolwah_Alkhater</t>
  </si>
  <si>
    <t>أود أن أشكر رسميا وشخصيا كل الجهات التي لعبت دورًا جبارا خلال ما يعتبر أكبر عملية إجلاء جوي عبر التاريخ حيث تم إجلاء أكثر من ٨٠ ألف شخص من أفغانستان عبر دولة قطر إلى وجهاتهم النهائية. لقد رأينا تفانيا وإخلاصًا وتعاونا بين الجهات لا مثيل له والشكر لا يفي الجميع حقهم، كلنا 🇶🇦 💪🏼 https://t.co/j37Mqwt4R8 https://t.co/SSAKIz0hEJ</t>
  </si>
  <si>
    <t>Plaisir d’accueillir à la résidence de 🇫🇷 C. Grenier, l’équipe de @Qatar_Museums et des artistes à l’occ. de l’expo #ArtMillMuseum2030. Heureux de voir autant d’expertise 🇫🇷 mobilisée sur des projets ambitieux pour le 🇶🇦, que ce soit pour le #ArtMillMuseum, ou le #LusailMuseum. https://t.co/xUWcTMDYUb</t>
  </si>
  <si>
    <t>"متحف مطاحن الفن 2030" هذا المعرض الرائع الذي يقدم رؤية المتحف و المشروع المعماري وحديقته المميزة من تصميم #Elemental و  #VOGTLandscapeArchitects . تهانينا ل@Qatar_Museums و لفريق عمل المعرض و مديرته كاترين غرنيي. https://t.co/QsHdOFcCRB https://t.co/RYvDzOiUcd</t>
  </si>
  <si>
    <t>معرض رائع له دلالة خاصة ل #فرنسا و للعلاقة الفرنسية –القطرية. تتشارك 🇫🇷و🇶🇦 نفس القلق بشأن وضعية حقوق الانسان و لا سيما النساء و الفتيات في #أفغانستان. #فرنسا_قطر50 
@MofaQatar_AR @MofaQatar_FR @Lolwah_Alkhater https://t.co/KXBh2VqBPo</t>
  </si>
  <si>
    <t>"سفر" معرض غني و مؤثر يقام في حديقة @MIAQatar. يلقي الضوء على تجارب اللاجئين #الأفغان والدعم الذي وفرته لهم دولة #قطر.
 @MofaQatar_FR @MofaQatar_AR @Lolwah_Alkhater https://t.co/4H81rXr7Pb https://t.co/IBJjDEtY3f</t>
  </si>
  <si>
    <t>يكشف المعرض الخاص "متحف لوسيل: حكايات عالم يجمعنا" عن متحف جديد من تصميم  #HerzogdeMeuron . وسيضم متحف لوسيل الجديد مقتنيات من الفن الاستشراقي من @Qatar_Museums، احدى أهم المجموعات الفنية المتوفرة. تهانينا للمدير @Xavier_Dectot https://t.co/s9h3N3UE9d https://t.co/IfVYRSbIfX</t>
  </si>
  <si>
    <t>@MofaQatar_AR @MofaQatar_FR @Lolwah_Alkhater @MBA_AlThani_</t>
  </si>
  <si>
    <t>Une superbe exposition qui revêt une signification particulière pour la #France et pour la relation 🇫🇷🇶🇦. 
La 🇫🇷 et le 🇶🇦 partagent une même préoccupation sur la situation des droits de l'Homme en #Afghanistan, en particulier ceux des femmes et des jeunes filles en 🇦🇫.
#FRQA50 https://t.co/VGLmPce9Uy</t>
  </si>
  <si>
    <t>« #SAFAR », une exposition riche et émouvante dans le jardin de @MIAQatar  pour mettre en lumière le parcours des réfugiés #Afghans, et le rôle du #Qatar pour leur venir en aide.
@MofaQatar_FR @MofaQatar_AR @Lolwah_Alkhater https://t.co/PDdgZ14ARU https://t.co/ZDIOP2YLqx</t>
  </si>
  <si>
    <t>L’expo. spéc. « Lusail Museum: Tales of a Connected World » présente un nouveau musée conçu par @HerzogdeMeuron. Le futur musée de #Lusail accueillera la coll. orientaliste de @Qatar_Museums, une des plus imp. coll. de ce type d'art jamais réunies. 👏 au directeur @Xavier_Dectot. https://t.co/tDuWlhgb0u</t>
  </si>
  <si>
    <t>Une superbe exposition « Art Mill Museum 2030 » qui présente la vision, le projet architectural du musée, ainsi que son jardin conçus par #Elemental et #VOGTLandscapeArchitects. Bravo @Qatar_Museums et à l’équipe du #ArtMillMuseum autour de Catherine Grenier, dir. de projet. https://t.co/5Xw4wPQ55K</t>
  </si>
  <si>
    <t>Ukraine | Joint Statement by Foreign Ministers of France, the United Kingdom and the United States
#Ukraine #Russia https://t.co/PLYDW1ORKP</t>
  </si>
  <si>
    <t>زار الرئيس إيمانويل ماكرون @EmmanuelMacron مسجد باريس الكبير للاحتفال بمئوية تشييده. في عام 1922، "أكّدت أمتنا للعالم بأسره أنّه يمكن للفرد أن يكون فرنسيًا ومسلمًا في الآن معًا، وبرهنت هذا التأكيد فيما هو جلي ودائم، ألا وهو الحجر". ⬇
📸وزارة أوروبا والشؤون الخارجية/جوديث ليتفين https://t.co/QfVJqGkaJh</t>
  </si>
  <si>
    <t>ApollineMatin</t>
  </si>
  <si>
    <t>⚽️🏆 « Les Français et la Coupe du monde »
📊 Selon un sondage exclusif réalisé par @harrisint_fr pour @RMCInfo, 60 % des Français souhaitent suivre la Coupe du monde 2022.
+10 points par rapport à 2018.
➡️ Le détail à retrouver ici : https://t.co/I5TL2bRzdf https://t.co/6kmn2lV1tX</t>
  </si>
  <si>
    <t>أسعدتني المشاركة في افتتاح أول متجر RitzParis# في  #غاليري_لافاييت_الدوحة. ويسرني أن تكون هذه العلامة البارزة من ساحة فاندوم في باريس، مثالا لفن الحياة ال🇫🇷 في دولة قطر @GLFDoha #FRQA50 https://t.co/GSw8JHAXgl https://t.co/A0XFPDB4Rf</t>
  </si>
  <si>
    <t>QatarRail</t>
  </si>
  <si>
    <t>سعادة د.عبدالله السبيعي، العضو المنتدب والرئيس التنفيذي لشركة الرّيل، وجان بيير فاراندو رئيس مجلس الإدارة والرئيس التنفيذي لـSNCF وجان إيف لوكليرك الرئيس التنفيذي لـRATP والإدارة العليا في الرّيل وآر كيه إتش خلال جولة بمحطة لوسيلQNB لتفقد تجهيزات إدارة الحشود استعداداً لـ#قطر2022 https://t.co/VG5SsGKMj1</t>
  </si>
  <si>
    <t>FRTreasury_GCC</t>
  </si>
  <si>
    <t>Networking au féminin : petit-déjeuner sous le signe du sport et de la Coupe du Monde, organisé par le SE de Doha. Pour en savoir plus, c'est ici : https://t.co/71pUZwNNs9
@Lolwalmarri @SmatiLeila @P_FSanchez @QatarWomenSport @roadto2022 @GA4good @beinsports_FR  @FranceauQatar</t>
  </si>
  <si>
    <t>Reuters</t>
  </si>
  <si>
    <t>Two ardent soccer fans show their love for France by cycling all the way from Paris to Doha, to cheer for the defending champions at the World Cup in Qatar https://t.co/sKBvw5PRdx https://t.co/HnlEYlPABk</t>
  </si>
  <si>
    <t>Paris2024</t>
  </si>
  <si>
    <t>28/08/2024 – From the lower end of the Champs-Elysées to Concorde
The most beautiful avenue in the world,
The most beautiful square in Paris,
For the Paralympics Opening Ceremony!
Une 1ère en France, une 1ère pour les athlètes
Ouvrons grand les Jeux Paralympiques de #Paris2024 https://t.co/gxLWO5nf69</t>
  </si>
  <si>
    <t>Heureux de participer à l’ouverture de la première boutique #RitzParis aux Galeries Lafayette de #Doha. Ravi que ce nom iconique de la Place Vendôme puisse désormais faire rayonner, depuis le 🇶🇦, l’art de vivre à la 🇫🇷.
@GLFDoha 
#FRQA50
#Qatar https://t.co/uUs1S5nhjR</t>
  </si>
  <si>
    <t>H.E Dr. Abdulla Al Subaie, MD &amp;amp; CEO of Qatar Rail, Jean Pierre Farandou, Chairman &amp;amp; CEO of SNCF, Jean Yves Leclercq, RATP Group CEO &amp;amp; senior management in Qatar Rail &amp;amp; RKH, during a tour at Lusail QNB Station in Doha Metro to check the crowd management preparations for #Qatar2022 https://t.co/bxPD4W89P4</t>
  </si>
  <si>
    <t>FR_Consulaire</t>
  </si>
  <si>
    <t>🎥 JOUR J ! Sortie du webdoc l’Action consulaire : des femmes et des hommes engagés au service des Français 🇫🇷 
Tout ce que vous vouliez savoir sur ceux qui vous accompagnent à l'étranger, sans jamais oser le demander ! #servicepublic #consulaire
👉 https://t.co/wKtLzgLpCZ https://t.co/Hfqp41sodM</t>
  </si>
  <si>
    <t>Striker Karim @Benzema was awarded the #BallonDor for best player ⚽🏆, one of football's top honours worldwide.
Benzema is the first French player to win the award since Zinedine Zidane in 1998, and the fifth ever in #frenchfootball 🇫🇷 
#bestplayer #GoldenBall #KB9 https://t.co/1BOvV6WKcu</t>
  </si>
  <si>
    <t>PPouyanne</t>
  </si>
  <si>
    <t>🇶🇦 Honored and proud to inaugurate Al Kharsaah #solarpower plant, a giant 800 MW plant of 1,6 million solar panels producing 10% of the electricity of #Qatar. A new step in relationship between @TotalEnergies and @QatarEnergy, for the sustainable development of the country ☀️ https://t.co/qkXxXmywih</t>
  </si>
  <si>
    <t>51_East</t>
  </si>
  <si>
    <t>يسرّنا الإعلان عن الافتتاح الرسمي لبوتيك جيفنشي بيوتي الأول من نوعه في قطر، وذلك في پلاس ڤاندوم في لوسيل.
وقد تم حفل الافتتاح بحضور سعادة السيد جان باتيست فافر، سفير الجمهورية الفرنسية لدى دولة قطر، والسيد بدر الدرويش، رئيس مجلس الإدارة والمدير التنفيذي لفيفتي ون إيست... https://t.co/tbOVGv8Jcy</t>
  </si>
  <si>
    <t>HH The Amir meets the Chairman and CEO of #Total, on the sidelines of the inauguration ceremony of  Al Kharsaah Solar Power Plant.#QNA https://t.co/kXp6HDq7HF</t>
  </si>
  <si>
    <t>alkawari4unesco</t>
  </si>
  <si>
    <t>@FranceauQatar @QNLib @MofaQatar_EN كانت زيارة الرئيس جيسكار دستان عام ١٩٧٩ أول زيارة يقوم بها رئيسا فرنسيا لقطر 
وكان لهذه الزيارة أثرا كبيرا في تطور العلاقات بين البلدين 
كنت آنذاك السفير القطري في باريس وقد كان شرف المشاركة في ترتيب هذه الزيارة التاريخية</t>
  </si>
  <si>
    <t>لقاء المغفور له صاحب السمو الأمير الأب الشيخ خليفة بن حمد آل ثاني مع سعادة السيد جيسكار ديستان فخامة رئيس الجمهورية الفرنسية الأسبق، في باريس سنة 1979. #فرنسا_قطر50
📌 زُوروا معرض "فرنسا-قطر، 50 عاماً من الصداقة" في @QNLib والذي يتواصل حتى 31 اكتوبر الحالي. 🇫🇷🇶🇦 https://t.co/8AciduiKaX https://t.co/1TzcbUffoF</t>
  </si>
  <si>
    <t>#FRQA50 Audience de S.E.M Giscard d'Estaing, ancien Président de la République Française, avec S.A feu l’Emir Grand-Père Khalifa bin Hamad Al Thani, à Paris, en 1979.
📌Retrouvez l'exposition « France-Qatar, 50 ans d’amitié » à @QNLib, jusqu'au 31 octobre 2022.
🇫🇷🇶🇦 https://t.co/R8IOH8bl1F</t>
  </si>
  <si>
    <t>سعدني حضوري افتتاح اول متجر #GivenchyBeauty في @PlaceVendomeQa  في الدوحة الى جانب سعادة السيد بدر الدرويش ، صديق فرنسا 🇫🇷 ووكيل عدد كبير من الماركات الفرنسية. https://t.co/qCwiiDFYJp</t>
  </si>
  <si>
    <t>I was extremely pleased to have been present for the opening of the first #Givenchy Beauty store in @PlaceVendomeQa, alongside M. Bader Al Darwish, a friend of 🇫🇷 and a representative of several French brands in 🇶🇦.
#FRQA50 https://t.co/1pAz3WVT3V</t>
  </si>
  <si>
    <t>Très honoré d’avoir assisté à l’ouverture de la première boutique #Givenchy Beauty à @PlaceVendomeQa, aux côtés de M. Bader Al-Darwish, un ami de la 🇫🇷 et représentant de plusieurs marques françaises au 🇶🇦.
#FRQA50 https://t.co/dN3Tk5zrg6</t>
  </si>
  <si>
    <t>CanalplusFoot</t>
  </si>
  <si>
    <t>La réaction des jeunes du SC Bron Terraillon à l'annonce du sacre de Karim @Benzema 🥰
"𝐂'𝐞𝐬𝐭 𝐥𝐞 #𝐁𝐚𝐥𝐥𝐨𝐧𝐝𝐎𝐫 𝐝𝐮 𝐩𝐞𝐮𝐩𝐥𝐞" https://t.co/Yr0XPoAVpt</t>
  </si>
  <si>
    <t>Karim Benzema, la quête d'une vie 
Avec des témoignages de Carlo Ancelotti, Zinédine Zidane, Paul Le Guen ou encore José Mourinho #BallondOr https://t.co/0h4n4ARhLu</t>
  </si>
  <si>
    <t>francefootball</t>
  </si>
  <si>
    <t>KARIM BENZEMA IS THE 2022 BALLON D’OR! ✨
@Benzema
@realmadrid
#ballondor https://t.co/TXLkHJIhJM</t>
  </si>
  <si>
    <t>Deux lettres et un chiffre qui resteront dans l'Histoire du football. 24 ans après Zidane, Karim @Benzema ramène un nouveau Ballon d'or à la France. Félicitations à lui ! https://t.co/Y8bCJTfLVm</t>
  </si>
  <si>
    <t>أسعدتني استضافة هذا اللقاء للتّواصل بين السيدات في مقرّ اقامتي و الذي نظّمه القسم الاقتصادي لسفارة 🇫🇷. وتمحْور النقاش حول الرياضة مع اقتراب انطلاق فعاليات #كأس_العالم_قطر_2022. كل الشّكر للمداخلات المميّزة لسيّدات @Lolwalmarri @SmatiLeila @P_FSanchez. https://t.co/P7jd7U93zr https://t.co/MOo6upoocP</t>
  </si>
  <si>
    <t>Delighted to welcome at the 🇫🇷 Residence the 3rd women networking event organized by the Economic Department of the Emb., dedicated to sports in the context of the forthcoming #WorldcupQatar2022. 🙏 to our inspiring speakers @Lolwalmarri @SmatiLeila and Paulette Fortes Sanchez. https://t.co/bTjIBjJiGe https://t.co/xXtMnpLUNQ</t>
  </si>
  <si>
    <t>Très heureux d’avoir accueilli à la Résidence de 🇫🇷 un événement de networking au féminin organisé par le Service économique, autour du sport à un mois du coup d’envoi de #Qatar2022. 🙏 à nos inspirantes intervenantes @Lolwalmarri @SmatiLeila et Paulette Fortes Sanchez.
🇫🇷🇶🇦 https://t.co/w8rI4hEA4M</t>
  </si>
  <si>
    <t>مساعد وزير الخارجية @Lolwah_Alkhater  تجتمع مع دبلوماسيين فرنسيين
#الخارجية_القطرية https://t.co/KVFHFcalhE</t>
  </si>
  <si>
    <t>ludovic_pouille</t>
  </si>
  <si>
    <t>مسرور باكتشاف متحف الدوحة الوطني الرائع ، "زهرة رمال" معاصرة ، صممه المهندس المعماري الفرنسي الشهير جان نوفيل.😍 https://t.co/PutuHEhxTA</t>
  </si>
  <si>
    <t>delphborione</t>
  </si>
  <si>
    <t>Mission importante à #Doha pour poursuivre le dialogue engagé avec les autorités 🇶🇦 et Organisation int. du travail @OIT sur les #droitshumains, la situation des #femmes, la peine de mort, la liberté d'expression et les conditions de travail des ouvriers au #Qatar.
(Suite 🔽)</t>
  </si>
  <si>
    <t>سعيد جدًا بحضور الحفل الموسيقي ال 🇫🇷 ضمن فعاليات #أيام_الجاليات في #ساحة_الأعلام مع الزملاء و الأصدقاء الأعزاء، سفراء 🇫🇷 في منطقة الشرق الأوسط. استمتع الجمهور بأجمل أنغام الأوبرا و ألحان الموسيقى الفرنسية. 🙏 للفنانين على الأداء المميّز و @Qatar_Museums لهذه المبادرة الرائعة. https://t.co/af3EBXiLcJ https://t.co/NbSktDiugf</t>
  </si>
  <si>
    <t>Très heureux d'assister au concert 🇫🇷 #CommunityDays sur la #FlagPlaza avec mes collègues et amis amb. de 🇫🇷 dans la région Moyen-Orient. Les plus grands airs d'opéra et des 🎶 🇫🇷 mythiques pour le bonheur du public. 🙏 aux artistes et à @Qatar_Museums pour cette belle initiative https://t.co/L6ffTzUuPW https://t.co/VNSky3rHWG</t>
  </si>
  <si>
    <t>احتفت #ساحة_الأعلام الليلة ب 🇫🇷 في حفل للسوبرانو  @FabienneConrad برفقة عازفة البيانو #SonjaPark ضمن فعاليات #أيام_الجاليات التي تنظمها @Qatar_Museums. كل الشكر لكلّ الذين تواجدوا معنا الليلة للاحتفال بالموروث الموسيقي ال 🇫🇷 قُبيل #قطر2022. https://t.co/W1X8uU8Ymj https://t.co/Nhh3Bpu05H</t>
  </si>
  <si>
    <t>La 🇫🇷 à l'honneur ce soir avec le concert des talentueuses @FabienneConrad, soprano, accompagnée de la pianiste #SonjaPark au #FlagPlaza, à l'occasion des #CommunityDays de @Qatar_Museums. 🙏 au public nombreux pour célébrer le patrim. musical 🇫🇷 à quelques semaines de #Qatar2022 https://t.co/ItBlZF627r</t>
  </si>
  <si>
    <t>مساعد وزير الخارجية للشؤون الإقليمية @Dr_Al_Khulaifi يجتمع مع مسؤولة فرنسية
#الخارجية_القطرية https://t.co/zpkldfZYRQ</t>
  </si>
  <si>
    <t>سعيد جدًا بمشاركتِي في هذه الفعالية الاستثنائية تحت قبة متحف الفن الاسلامي.
جزيل الشكر ل@miaqatar و @qatartelevision على التنظيم الرائع وأيضا للقرّاء المميزين لخوضهم هذا التحدي حول #الأمير_الصغير. فقد صنعتم التاريخ! 👏 https://t.co/8lm0bVl5XJ</t>
  </si>
  <si>
    <t>L'invitée d'Oryxfm
@fabienneconradsoprano est une soprano française de renommée internationale. Elle se produit ce soir à 19h45 avec Sonja Park dans le cadre des festivités du #FlagPlaza au #MIAPark .
Le podcast 👉 https://t.co/QsPUNphG6h
  @franceauqatar @if_qatar @qatar_museums https://t.co/HAyvjTtRwA</t>
  </si>
  <si>
    <t>Pour savoir qui vote quoi 👇 https://t.co/Hd6VupcgnL</t>
  </si>
  <si>
    <t>NDeRiviere</t>
  </si>
  <si>
    <t>#UNGA adopts today with overwhelming majority the resolution condemning the illegal annexation of Ukrainian territories by Russia. We will never resign ourselves to a world in which force prevails over law. We will keep defending the UN charter.
https://t.co/1zEzPZpsl3 https://t.co/bW1YrwP9kL</t>
  </si>
  <si>
    <t>@QatarTelevision 
@MIAQatar 
@Qatar_Museums 
@Le_PetitPrince 
#thelittleprince
@Fondation_ASEJ 
@GWR #Qatar 
@ifqdoha</t>
  </si>
  <si>
    <t>أسعدني لقاء الدكتورة منية شخاب أبودية التي افتتحت التحدي بقراءة الأسطر الأولى من رائعة #الأمير_الصغير باللّغة 🇫🇷: 
 "عندما كنت في السادسة من عمري ، رأيت مرة صورة رائعة في كتاب يتحدث عن الغابة العذراء بعنوان" قصص حقيقية ". https://t.co/nmyk6sOccY https://t.co/vTCfO2rsxv</t>
  </si>
  <si>
    <t>🇶🇦📖❤️The @MIAQatar along with over 150 individuals, achieved reading "The Little Prince" in over 50 languages! 👇
The ILQ team congratulates all participants for achieving this world record! 🎉 
#ILoveQatar #QatarNews #Qatar 
https://t.co/nzNsBb9coo https://t.co/MLa3B5fjNt</t>
  </si>
  <si>
    <t>تَمّ نشر النسخة الأولى من #الأمير_الصغير سنة 1943 في نيويورك من قبل الكاتب والطيّار أنطوان دو سانت إكزوبيري. و نُشر لاحقًا في 🇫🇷 عام 1945 بعد وفاته. توجدُ المخطوطة الأصلية في @MorganLibrary في #نيويورك ، وتم إعارتها مرةً واحدة فقط للعرض في @madparisfr.
@Le_PetitPrince https://t.co/qZxw8rWsZr https://t.co/iwOtcvjll9</t>
  </si>
  <si>
    <t>أشكر @MIAQatar  و @Qatar_Museums على تنظيم هذه الفعالية الرائعة حول  التّحفة الأدبية #الأمير_الصغير .كانت  أمسية مميّزة بطابع الأدب الفرنسي والتّنوع اللغوي.
@QatarTelevision @ifqdoha @GWR @Le_PetitPrince https://t.co/yKLtdDqBa8 https://t.co/PNGiAYuunk</t>
  </si>
  <si>
    <t>@Qatar_Museums
@MIAQatar
@QatarTelevision
@ifqdoha
@GWR #Doha
@Le_PetitPrince 
#thelittleprince 
@Fondation_ASEJ</t>
  </si>
  <si>
    <t>En compagnie de Dr Mounia Chekhab-Abudaya qui a ouvert le défi en lisant en #français les premières lignes du chef d’œuvre #lepetitprince :
« Lorsque j’avais six ans j’ai vu, une fois, une magnifique image, dans un livre sur la Forêt Vierge qui s’appellerait « Histoires Vécues ». https://t.co/CXzL5Rt6a0</t>
  </si>
  <si>
    <t>#lepetitprince a été publié en 1943 à New York par l’écrivain et aviateur 🇫🇷 Antoine de Saint Exupéry. Il a ensuite été publié en 🇫🇷 en 1945 à titre posthume. Le manuscrit original se trouve à la @MorganLibrary à #NY, et ne l’a quitté qu’une fois pour une expo. au @madparisfr. https://t.co/eH1dqwK2Oh</t>
  </si>
  <si>
    <t>Je remercie chaleureusement le @MIAQatar et @Qatar_Museums pour cet événement grandiose autour du chef d'oeuvre #LePetitPrince. Une soirée formidable aux couleurs de la littérature #française et de la diversité linguistique. 
@QatarTelevision
@ifqdoha
@GWR
@Le_PetitPrince https://t.co/BmzGktlsfB</t>
  </si>
  <si>
    <t>قراءة في 56 لغة لمحاولة تسجيل رقم قياسي 🌍 الليلة من الساعة 6 مساءً في@MIAQatar 
تابعوا هذا الحدث مباشرة 👈 https://t.co/R0WqxkpnN4 
@Le_PetitPrince #lepetitprince #thelittleprince
@LettheWorldread @Qatar_Museums @Fondation_ASEJ #FASEJ https://t.co/m8l7U2coAn https://t.co/Eq3JyKwIRl</t>
  </si>
  <si>
    <t>@LettheWorldread 
@Qatar_Museums 
@Fondation_ASEJ
#FASEJ</t>
  </si>
  <si>
    <t>56 langues pour une tentative de record 🌍 ce soir à partir du 18h au @MIAQatar.
56 languages for a 🌍 record attempt tonight from 6pm at @MIAQatar.
Suivez cet évènement en direct !
To watch live!
👉 https://t.co/53sZJUBp1j
@Le_PetitPrince #lepetitprince #thelittleprince https://t.co/PkzipWI28B</t>
  </si>
  <si>
    <t>Le ministre adjoint des Affaires étrangères chargé des Affaires régionales rencontre l’Ambassadeur de France au Yémen
#MOFAQatar https://t.co/3QF3xD55kt</t>
  </si>
  <si>
    <t>@GWR @MIAQatar @Qatar_Museums @ifqdoha @LettheWorldread</t>
  </si>
  <si>
    <t>#Qatar will be attempting to set the Guinness World Record for Most Languages in a Reading Relay while reading the masterpiece "Le Petit Prince" of the renowned 🇫🇷 writer Antoine de Saint-Exupéry today at the recently reopened @MIAQatar.
#FRQA50
https://t.co/n4WLoWvYTy</t>
  </si>
  <si>
    <t>L’exposition est disponible jusqu’au 31 octobre 2022. Entrée libre à tout public.
@qatarnationallibrary @franceauqatar #france #qatar #doha  #library #education https://t.co/BI98tvPG2c</t>
  </si>
  <si>
    <t>☀️Today, the @miaqatar proposes to challenge the Guiness World Record for reading The Little Prince in more than 55 languages! 📚
➡️Discover the video of Olivier d'Agay, little nephew of Antoine de Saint Exupéry. 
➡️Follow the event online :https://t.co/TRcMtiHoE7 https://t.co/H44xx1Ncrs</t>
  </si>
  <si>
    <t>LettheWorldread</t>
  </si>
  <si>
    <t>https://t.co/BDvZtfEcEW</t>
  </si>
  <si>
    <t>☀️Aujourd'hui, le @MIAQatar propose de battre le record mondial de lecture du #PetitPrince en plus de 55 langues ! 📚
➡️Découvrez la vidéo d’Olivier d’Agay, petit-neveu d’Antoine de Saint-Exupéry. 
➡️Pour suivre l'évènement en ligne : https://t.co/TRcMtiqlC7
@FranceauQatar https://t.co/QVyXFzTbGR</t>
  </si>
  <si>
    <t>kataraqatar</t>
  </si>
  <si>
    <t>بالإنابة عن مدير عام #كتارا يكشف السيد/سيف الدوسري، مدير إدارة الموارد البشرية بكتارا عن العمل الفني "خروف، نعجة، ماعز، التسعينيات، العشرينات"
للفنان الفرنسي فرانسوا كزافييه لالان
المقام على #تلال_كتارا، بالتعاون مع #متاحف_قطر
@qatar_museums
#قطر #الوعد2022
#كتارا_ملتقى_الثقافات https://t.co/f4kMSGYOLB</t>
  </si>
  <si>
    <t>🔴 In response to the escalation of Russian aggression in Ukraine, the European Union is adopting an 8th package of sanctions. 
[1/8] 👇 https://t.co/6y1r72z8Bv</t>
  </si>
  <si>
    <t>🎶As part of the @Qatar_Museums Community Days, the French Institute and @FranceauQatar invite you to a concert held by soprano @FabienneConrad and pianist Sonja Park. 
🗓️Thursday October 13, 2022 at 7.45PM
📍Flag Plaza (@MIAQatar Park)
Free entry, welcome ! https://t.co/haPMp6G2KX</t>
  </si>
  <si>
    <t>معرض بمكتبة قطر احتفالا بمرور 50 عاما على إقامة العلاقات الدبلوماسية مع فرنسا | ثقافة | الجزيرة نت https://t.co/pJOJSE3lg1</t>
  </si>
  <si>
    <t>زُوروا هذا المعرض المميّز الذي تحتضنُه @QNLib أحد أجمل المعالم، من 11-31 أكتوبر الجاري. #فرنسا_قطر50 🇫🇷🇶🇦 https://t.co/rc8wHHxgMV https://t.co/mPI6XPGInQ</t>
  </si>
  <si>
    <t>أتقدّم بجزيل الشكر لسعادة الدكتور @alkawari4unesco  على صداقته ودعمه المستمر لتنمية العلاقات الثنائية 🇫🇷🇶🇦. كما أشكر @QNLib  على استضافة هذا المعرض الذي يحتفل بمناسبة ذات دلالة هامّة على صداقة بلَديْنا. 
#فرنسا_قطر50 https://t.co/ZvpXRVZhO3 https://t.co/w1jPXlRg4M</t>
  </si>
  <si>
    <t>QNLib</t>
  </si>
  <si>
    <t>We are pleased to host a special exhibition that celebrates the 50th anniversary of diplomatic relations between France and Qatar, in the presence of His Excellency Jean-Baptiste Faivre, Ambassador of France to Qatar.
The exhibition is on display until 31 October. https://t.co/QRtKBEcHWo</t>
  </si>
  <si>
    <t>شرّفني جدًا افتتاح معرض "فرنسا-قطر، 50 عاما من الصداقة" الذي تحتضنه @QNLib, بمناسبة الاحتفال بالذكرى الخمسين لتأسيس العلاقات الدبلوماسية بين 🇫🇷و🇶🇦. تُعرَض صور نادرة تشهد على الصداقة العميقة والشراكة القوية بين بلدينا. #فرنسا_قطر50 https://t.co/Ix3FT0gBrW https://t.co/ySiqSF1aMw</t>
  </si>
  <si>
    <t>Venez découvrir cette exposition d’exception dans le cadre magnifique de la @QNLib du 11 au 31 octobre 2022. 
#FRQA50 🇫🇷🇶🇦 https://t.co/cENgtWZMLQ</t>
  </si>
  <si>
    <t>Je remercie chaleureusement S.E le Dr. @alkawari4unesco pour son amitié et son soutien sans faille pour le développement de la relation bilatérale 🇫🇷🇶🇦. Je remercie également @QNLib pour l’accueil de cette exposition qui célébre un moment clé de notre amitié. 
#FRQA50 https://t.co/IgwBy9wSeG</t>
  </si>
  <si>
    <t>Très honoré d'inaugurer l’exposition « France-Qatar, 50 ans d’amitié » à @QNLib, à l’occasion de la célébration du cinquantenaire de nos rel. diplomatiques. Des clichés rares d’archives qui témoignent de l’amitié profonde et du partenariat solide entre nos deux pays. #FRQA50 🇫🇷🇶🇦 https://t.co/SPKlqteVnK</t>
  </si>
  <si>
    <t>بمناسبة الذكرى الخمسين لتأسيس العلاقات الدبلوماسية بين 🇫🇷 و 🇶🇦 ، يسرّ @FranceauQatar بالتعاون مع @QNLib ، دعوتكم لزيارة معرض مميّز يرسم مسار الصداقة بين الدولتين. 
#فرنسا_قطر50
للمزيد من التفاصيل 👈🏻 https://t.co/xDOPbQ1tNt https://t.co/qrBb67RDdg https://t.co/B9rhzP4VXF</t>
  </si>
  <si>
    <t>A l'occasion du cinquantenaire de l'établissement des rel. diplomatiques entre la 🇫🇷 et le 🇶🇦,  @FranceauQatar, en collaboration avec @QNLib, est heureuse de vous inviter à une exposition d'exception retraçant l'amitié 🇫🇷🇶🇦. 
#FRQA50
En savoir plus 👉 https://t.co/FvyX7oe9Ah https://t.co/3viCt5yXqH</t>
  </si>
  <si>
    <t>NobelPrize</t>
  </si>
  <si>
    <t>BREAKING NEWS: 
The 2022 #NobelPrize in Literature is awarded to the French author Annie Ernaux “for the courage and clinical acuity with which she uncovers the roots, estrangements and collective restraints of personal memory.” https://t.co/D9yAvki1LL</t>
  </si>
  <si>
    <t>تعرفوا على آخر رسالة لِغابرييل و مهدي قبل وصولهم و ملاقاتهم في 🇶🇦. يَحملهم و يحفّزُهم في هذه الرحلة شغفهم بكرة القدم و حبّهم للمنتخب الفرنسي و كذلك للمغامرة. لنواصل دعمهم و تشجيعَهم معًا! #كأس_العالم_قطر_2022 
#قطر2022 @roadto2022 https://t.co/ge5bOWPVvd https://t.co/ZUBL2ca9US</t>
  </si>
  <si>
    <t>Ravi d’avoir rencontré les 10 jeunes talents affectés récemment en V.I.E par @TechnipEnergies . Le dynamisme et le savoir-faire de ces volontaires concourent activement aux projets 🇫🇷🇶🇦. Bonne mission ! @BF_VIE @BF_MiddleEast https://t.co/Z6HsvHe5F5</t>
  </si>
  <si>
    <t>✨لاقونا في سوق المصممين
🧵ستكرّم الأشغال اليدوية والمهارة الحرفية 
للمصممين الفرنسيين والقطريين المجتمعين🇨🇵🇶🇦
🎞️الصور لمنتجات المصممين
🗓️٢٢ أكتوبر من ٩ صباحًا إلى ١٣ ظهرًا
📍حديقة المعهد الفرنسي في قطر
➡️دخول مجاني
@FranceauQatar https://t.co/JHsbUhxrq4</t>
  </si>
  <si>
    <t>emanalkabee</t>
  </si>
  <si>
    <t>بحضور سعادة نائب رئيس مجلس الوزراء وزير الخارجية .. وسعادة الشيخة المياسة بن حمد ال ثاني .. وعدد من أصحاب السعادة الوزراء والسفراء .. تم رفع اعلام دول العالم في #ساحة_الاعلام في كورنيش الدوحة 
@MofaQatar_AR @almayassahamad 
@MOCQatar https://t.co/rldwMD9p9P</t>
  </si>
  <si>
    <t>سيريل موان المعد البدني للمنتخب الفرنسي لكرة القدم: تعرفنا على فندق الإقامة وملاعب التدريب من خلال المشاركة في قمة #أكاديمية_أسباير
#كأس_العالم #قطر2022
#قنوات_الكاس https://t.co/hVurZZbiMy</t>
  </si>
  <si>
    <t>يوري دجوركاييف نجم المنتخب الفرنسي سابقاً والرئيس التنفيذي لمؤسسة FIFA خلال قمة أسباير : #كأس_العالم يأتي في منتصف الموسم والجميع على أهبة الاستعداد وستكون خبرة رائعة لـ #قطر التي تستضيف البطولة للمرة الأولى بمنطقة الشرق الأوسط وكل معطيات النجاح متوفرة
#قنا_رياضي
#قطر2022 https://t.co/CDdpVen3pf</t>
  </si>
  <si>
    <t>1/2)
Conférence sur les femmes, les sports et le changement climatique, l'ingénieure Bodour Al-Meer, Directrice Exécutive du département de la durabilité du Comité suprême, en présence de son Excellence @FranceauQatar a souligné que la Coupe du monde #قطر٢٠٢٢ #Qatar2022 ⤵️ https://t.co/eFqdrWZYYR</t>
  </si>
  <si>
    <t>L'exposition "World of Football" au @321QOSM comprend plusieurs oeuvres prêtées par le @MuseeduSport de Nice. Une belle collaboration 🇫🇷🇶🇦 mêlant art et sport !
#Qatar_France #Qatar #Doha https://t.co/V3SFkSpmJn</t>
  </si>
  <si>
    <t>Sur la route de 🇫🇷 au 🇶🇦, Gabriel et Medhi enchaînent rencontres et échanges avec les locaux. Ils partagent avec nous 2 anecdotes du début de leur parcours ! Suivez-nous et soutenez-les vous aussi dans leur incroyable aventure ! #QatarWorldCup2022 @roadto2022 @FranceauQatar https://t.co/1AMk2hs2zF</t>
  </si>
  <si>
    <t>On the road from 🇫🇷 to 🇶🇦, Gabriel and Medhi meet and exchange with locals. They are sharing with us 2 anecdotes from the beginning of their journey! Follow us and support them too in their incredible adventure! #QatarWorldCup2022 @roadto2022 @FranceauQatar https://t.co/Evz8s1JKjy</t>
  </si>
  <si>
    <t>يلتقي غابرييل ومهدي بالسكان المحليين و يَتفاعلان معهم على امتداد رحلتِهما من 🇫🇷 إلى 🇶🇦. و هنا يشاركاننا بعض الطرائف التي واجَهاهَا منذ انطِلاقهما. تابعونا لمواصلة دعمهما في هذه المغامرة الممتعة.
#قطر2022 @roadto2022 https://t.co/eW08lPWxdo https://t.co/rgNjIjCquP</t>
  </si>
  <si>
    <t>Sustainability Director at Supreme Committee for Delivery &amp;amp; Legacy: #Qatar2022 #World_Cup will play an essential role in reducing risks of climate change by building a legacy for the tournament in terms of taking into account aspects of sustainability across region. #QNA_Sports https://t.co/HHyydb6HrB</t>
  </si>
  <si>
    <t>أسعدني اليوم المشاركة في افتتاح دار الإنسانية ،من قِبل سعادة الدكتور علي بن صميخ المري، وزير العمل ، بعد إعادة تأهيلها ، بحضور سعادة السيدة مريم بنت عبد الله العطية، رئيس اللجنة الوطنية لحقوق الإنسان. https://t.co/KKLAaAiF2K</t>
  </si>
  <si>
    <t>@lmgaveriaux Bonjour. Vous pouvez nous joindre via MP. Cordialement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</si>
</sst>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27"/>
  <sheetViews>
    <sheetView tabSelected="1" topLeftCell="A407" workbookViewId="0">
      <selection activeCell="A428" sqref="A428:XFD3114"/>
    </sheetView>
  </sheetViews>
  <sheetFormatPr baseColWidth="10" defaultColWidth="8.83203125" defaultRowHeight="15" x14ac:dyDescent="0.2"/>
  <cols>
    <col min="3" max="3" width="43.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HYPERLINK("http://www.twitter.com/banuakdenizli/status/1609293182856052737", "1609293182856052737")</f>
        <v>1609293182856052737</v>
      </c>
      <c r="B2" t="s">
        <v>15</v>
      </c>
      <c r="C2" s="2">
        <v>44926.87462962963</v>
      </c>
      <c r="D2">
        <v>0</v>
      </c>
      <c r="E2">
        <v>1278</v>
      </c>
      <c r="F2" t="s">
        <v>17</v>
      </c>
      <c r="G2" t="s">
        <v>33</v>
      </c>
      <c r="L2">
        <v>0</v>
      </c>
      <c r="M2">
        <v>0</v>
      </c>
      <c r="N2">
        <v>1</v>
      </c>
      <c r="O2">
        <v>0</v>
      </c>
    </row>
    <row r="3" spans="1:15" x14ac:dyDescent="0.2">
      <c r="A3" s="1" t="str">
        <f>HYPERLINK("http://www.twitter.com/banuakdenizli/status/1608813144557907968", "1608813144557907968")</f>
        <v>1608813144557907968</v>
      </c>
      <c r="B3" t="s">
        <v>15</v>
      </c>
      <c r="C3" s="2">
        <v>44925.549976851849</v>
      </c>
      <c r="D3">
        <v>0</v>
      </c>
      <c r="E3">
        <v>14803</v>
      </c>
      <c r="F3" t="s">
        <v>17</v>
      </c>
      <c r="G3" t="s">
        <v>34</v>
      </c>
      <c r="H3" t="str">
        <f>HYPERLINK("http://pbs.twimg.com/media/FlKxpzNXkAYMh1i.jpg", "http://pbs.twimg.com/media/FlKxpzNXkAYMh1i.jpg")</f>
        <v>http://pbs.twimg.com/media/FlKxpzNXkAYMh1i.jpg</v>
      </c>
      <c r="L3">
        <v>0</v>
      </c>
      <c r="M3">
        <v>0</v>
      </c>
      <c r="N3">
        <v>1</v>
      </c>
      <c r="O3">
        <v>0</v>
      </c>
    </row>
    <row r="4" spans="1:15" x14ac:dyDescent="0.2">
      <c r="A4" s="1" t="str">
        <f>HYPERLINK("http://www.twitter.com/banuakdenizli/status/1608414835317899266", "1608414835317899266")</f>
        <v>1608414835317899266</v>
      </c>
      <c r="B4" t="s">
        <v>15</v>
      </c>
      <c r="C4" s="2">
        <v>44924.450856481482</v>
      </c>
      <c r="D4">
        <v>0</v>
      </c>
      <c r="E4">
        <v>16</v>
      </c>
      <c r="F4" t="s">
        <v>19</v>
      </c>
      <c r="G4" t="s">
        <v>35</v>
      </c>
      <c r="H4" t="str">
        <f>HYPERLINK("http://pbs.twimg.com/media/FlIvAdpWIAE0vTA.jpg", "http://pbs.twimg.com/media/FlIvAdpWIAE0vTA.jpg")</f>
        <v>http://pbs.twimg.com/media/FlIvAdpWIAE0vTA.jpg</v>
      </c>
      <c r="I4" t="str">
        <f>HYPERLINK("http://pbs.twimg.com/media/FlIvAdtWQAEzzyC.jpg", "http://pbs.twimg.com/media/FlIvAdtWQAEzzyC.jpg")</f>
        <v>http://pbs.twimg.com/media/FlIvAdtWQAEzzyC.jpg</v>
      </c>
      <c r="L4">
        <v>0.83160000000000001</v>
      </c>
      <c r="M4">
        <v>0</v>
      </c>
      <c r="N4">
        <v>0.78600000000000003</v>
      </c>
      <c r="O4">
        <v>0.214</v>
      </c>
    </row>
    <row r="5" spans="1:15" x14ac:dyDescent="0.2">
      <c r="A5" s="1" t="str">
        <f>HYPERLINK("http://www.twitter.com/banuakdenizli/status/1608414814614831104", "1608414814614831104")</f>
        <v>1608414814614831104</v>
      </c>
      <c r="B5" t="s">
        <v>15</v>
      </c>
      <c r="C5" s="2">
        <v>44924.450798611113</v>
      </c>
      <c r="D5">
        <v>0</v>
      </c>
      <c r="E5">
        <v>18</v>
      </c>
      <c r="F5" t="s">
        <v>19</v>
      </c>
      <c r="G5" t="s">
        <v>36</v>
      </c>
      <c r="H5" t="str">
        <f>HYPERLINK("http://pbs.twimg.com/media/FlI1K8vWIAMnPHD.png", "http://pbs.twimg.com/media/FlI1K8vWIAMnPHD.png")</f>
        <v>http://pbs.twimg.com/media/FlI1K8vWIAMnPHD.png</v>
      </c>
      <c r="L5">
        <v>-0.85550000000000004</v>
      </c>
      <c r="M5">
        <v>0.22900000000000001</v>
      </c>
      <c r="N5">
        <v>0.77100000000000002</v>
      </c>
      <c r="O5">
        <v>0</v>
      </c>
    </row>
    <row r="6" spans="1:15" x14ac:dyDescent="0.2">
      <c r="A6" s="1" t="str">
        <f>HYPERLINK("http://www.twitter.com/banuakdenizli/status/1608414473697509376", "1608414473697509376")</f>
        <v>1608414473697509376</v>
      </c>
      <c r="B6" t="s">
        <v>15</v>
      </c>
      <c r="C6" s="2">
        <v>44924.449861111112</v>
      </c>
      <c r="D6">
        <v>0</v>
      </c>
      <c r="E6">
        <v>55</v>
      </c>
      <c r="F6" t="s">
        <v>20</v>
      </c>
      <c r="G6" t="s">
        <v>37</v>
      </c>
      <c r="H6" t="str">
        <f>HYPERLINK("http://pbs.twimg.com/media/FlIowmAWAAAS0qW.jpg", "http://pbs.twimg.com/media/FlIowmAWAAAS0qW.jpg")</f>
        <v>http://pbs.twimg.com/media/FlIowmAWAAAS0qW.jpg</v>
      </c>
      <c r="I6" t="str">
        <f>HYPERLINK("http://pbs.twimg.com/media/FlIowmDXwAANrf-.jpg", "http://pbs.twimg.com/media/FlIowmDXwAANrf-.jpg")</f>
        <v>http://pbs.twimg.com/media/FlIowmDXwAANrf-.jpg</v>
      </c>
      <c r="L6">
        <v>0.15310000000000001</v>
      </c>
      <c r="M6">
        <v>0</v>
      </c>
      <c r="N6">
        <v>0.96199999999999997</v>
      </c>
      <c r="O6">
        <v>3.7999999999999999E-2</v>
      </c>
    </row>
    <row r="7" spans="1:15" x14ac:dyDescent="0.2">
      <c r="A7" s="1" t="str">
        <f>HYPERLINK("http://www.twitter.com/banuakdenizli/status/1607766921025392642", "1607766921025392642")</f>
        <v>1607766921025392642</v>
      </c>
      <c r="B7" t="s">
        <v>15</v>
      </c>
      <c r="C7" s="2">
        <v>44922.662951388891</v>
      </c>
      <c r="D7">
        <v>0</v>
      </c>
      <c r="E7">
        <v>67</v>
      </c>
      <c r="F7" t="s">
        <v>38</v>
      </c>
      <c r="G7" t="s">
        <v>39</v>
      </c>
      <c r="H7" t="str">
        <f>HYPERLINK("http://pbs.twimg.com/media/FkqbUt6XoAELGWZ.jpg", "http://pbs.twimg.com/media/FkqbUt6XoAELGWZ.jpg")</f>
        <v>http://pbs.twimg.com/media/FkqbUt6XoAELGWZ.jpg</v>
      </c>
      <c r="L7">
        <v>0.75790000000000002</v>
      </c>
      <c r="M7">
        <v>0</v>
      </c>
      <c r="N7">
        <v>0.85699999999999998</v>
      </c>
      <c r="O7">
        <v>0.14299999999999999</v>
      </c>
    </row>
    <row r="8" spans="1:15" x14ac:dyDescent="0.2">
      <c r="A8" s="1" t="str">
        <f>HYPERLINK("http://www.twitter.com/banuakdenizli/status/1606719182984433664", "1606719182984433664")</f>
        <v>1606719182984433664</v>
      </c>
      <c r="B8" t="s">
        <v>15</v>
      </c>
      <c r="C8" s="2">
        <v>44919.771747685183</v>
      </c>
      <c r="D8">
        <v>0</v>
      </c>
      <c r="E8">
        <v>59</v>
      </c>
      <c r="F8" t="s">
        <v>28</v>
      </c>
      <c r="G8" t="s">
        <v>40</v>
      </c>
      <c r="H8" t="str">
        <f>HYPERLINK("http://pbs.twimg.com/media/Fkv-UW5WYAEz8Yn.jpg", "http://pbs.twimg.com/media/Fkv-UW5WYAEz8Yn.jpg")</f>
        <v>http://pbs.twimg.com/media/Fkv-UW5WYAEz8Yn.jpg</v>
      </c>
      <c r="L8">
        <v>0</v>
      </c>
      <c r="M8">
        <v>0</v>
      </c>
      <c r="N8">
        <v>1</v>
      </c>
      <c r="O8">
        <v>0</v>
      </c>
    </row>
    <row r="9" spans="1:15" x14ac:dyDescent="0.2">
      <c r="A9" s="1" t="str">
        <f>HYPERLINK("http://www.twitter.com/banuakdenizli/status/1606719166274207746", "1606719166274207746")</f>
        <v>1606719166274207746</v>
      </c>
      <c r="B9" t="s">
        <v>15</v>
      </c>
      <c r="C9" s="2">
        <v>44919.771701388891</v>
      </c>
      <c r="D9">
        <v>0</v>
      </c>
      <c r="E9">
        <v>33</v>
      </c>
      <c r="F9" t="s">
        <v>20</v>
      </c>
      <c r="G9" t="s">
        <v>41</v>
      </c>
      <c r="H9" t="str">
        <f>HYPERLINK("https://video.twimg.com/ext_tw_video/1606649661850279936/pu/vid/720x720/pkvp0pcZ_L_MnNEq.mp4?tag=12", "https://video.twimg.com/ext_tw_video/1606649661850279936/pu/vid/720x720/pkvp0pcZ_L_MnNEq.mp4?tag=12")</f>
        <v>https://video.twimg.com/ext_tw_video/1606649661850279936/pu/vid/720x720/pkvp0pcZ_L_MnNEq.mp4?tag=12</v>
      </c>
      <c r="L9">
        <v>0</v>
      </c>
      <c r="M9">
        <v>0</v>
      </c>
      <c r="N9">
        <v>1</v>
      </c>
      <c r="O9">
        <v>0</v>
      </c>
    </row>
    <row r="10" spans="1:15" x14ac:dyDescent="0.2">
      <c r="A10" s="1" t="str">
        <f>HYPERLINK("http://www.twitter.com/banuakdenizli/status/1606330274329116673", "1606330274329116673")</f>
        <v>1606330274329116673</v>
      </c>
      <c r="B10" t="s">
        <v>15</v>
      </c>
      <c r="C10" s="2">
        <v>44918.698564814818</v>
      </c>
      <c r="D10">
        <v>0</v>
      </c>
      <c r="E10">
        <v>26</v>
      </c>
      <c r="F10" t="s">
        <v>18</v>
      </c>
      <c r="G10" t="s">
        <v>42</v>
      </c>
      <c r="H10" t="str">
        <f>HYPERLINK("http://pbs.twimg.com/media/FkpzjmiWIAEbZFB.jpg", "http://pbs.twimg.com/media/FkpzjmiWIAEbZFB.jpg")</f>
        <v>http://pbs.twimg.com/media/FkpzjmiWIAEbZFB.jpg</v>
      </c>
      <c r="I10" t="str">
        <f>HYPERLINK("http://pbs.twimg.com/media/FkpzjlpWQAMdxYl.jpg", "http://pbs.twimg.com/media/FkpzjlpWQAMdxYl.jpg")</f>
        <v>http://pbs.twimg.com/media/FkpzjlpWQAMdxYl.jpg</v>
      </c>
      <c r="J10" t="str">
        <f>HYPERLINK("http://pbs.twimg.com/media/FkpzjmkXkAIjQ18.jpg", "http://pbs.twimg.com/media/FkpzjmkXkAIjQ18.jpg")</f>
        <v>http://pbs.twimg.com/media/FkpzjmkXkAIjQ18.jpg</v>
      </c>
      <c r="K10" t="str">
        <f>HYPERLINK("http://pbs.twimg.com/media/FkpzjmgWAAAFbM_.jpg", "http://pbs.twimg.com/media/FkpzjmgWAAAFbM_.jpg")</f>
        <v>http://pbs.twimg.com/media/FkpzjmgWAAAFbM_.jpg</v>
      </c>
      <c r="L10">
        <v>0</v>
      </c>
      <c r="M10">
        <v>0</v>
      </c>
      <c r="N10">
        <v>1</v>
      </c>
      <c r="O10">
        <v>0</v>
      </c>
    </row>
    <row r="11" spans="1:15" x14ac:dyDescent="0.2">
      <c r="A11" s="1" t="str">
        <f>HYPERLINK("http://www.twitter.com/banuakdenizli/status/1606330206259515393", "1606330206259515393")</f>
        <v>1606330206259515393</v>
      </c>
      <c r="B11" t="s">
        <v>15</v>
      </c>
      <c r="C11" s="2">
        <v>44918.698379629634</v>
      </c>
      <c r="D11">
        <v>0</v>
      </c>
      <c r="E11">
        <v>6</v>
      </c>
      <c r="F11" t="s">
        <v>18</v>
      </c>
      <c r="G11" t="s">
        <v>43</v>
      </c>
      <c r="H11" t="str">
        <f>HYPERLINK("http://pbs.twimg.com/media/Fkp7b3dWYAE3YU-.jpg", "http://pbs.twimg.com/media/Fkp7b3dWYAE3YU-.jpg")</f>
        <v>http://pbs.twimg.com/media/Fkp7b3dWYAE3YU-.jpg</v>
      </c>
      <c r="L11">
        <v>0</v>
      </c>
      <c r="M11">
        <v>0</v>
      </c>
      <c r="N11">
        <v>1</v>
      </c>
      <c r="O11">
        <v>0</v>
      </c>
    </row>
    <row r="12" spans="1:15" x14ac:dyDescent="0.2">
      <c r="A12" s="1" t="str">
        <f>HYPERLINK("http://www.twitter.com/banuakdenizli/status/1606222741341818880", "1606222741341818880")</f>
        <v>1606222741341818880</v>
      </c>
      <c r="B12" t="s">
        <v>15</v>
      </c>
      <c r="C12" s="2">
        <v>44918.401828703703</v>
      </c>
      <c r="D12">
        <v>0</v>
      </c>
      <c r="E12">
        <v>14</v>
      </c>
      <c r="F12" t="s">
        <v>18</v>
      </c>
      <c r="G12" t="s">
        <v>44</v>
      </c>
      <c r="H12" t="str">
        <f>HYPERLINK("http://pbs.twimg.com/media/Fkks9WqXkAARAAF.jpg", "http://pbs.twimg.com/media/Fkks9WqXkAARAAF.jpg")</f>
        <v>http://pbs.twimg.com/media/Fkks9WqXkAARAAF.jpg</v>
      </c>
      <c r="I12" t="str">
        <f>HYPERLINK("http://pbs.twimg.com/media/Fkks9SfWIAAgvo1.jpg", "http://pbs.twimg.com/media/Fkks9SfWIAAgvo1.jpg")</f>
        <v>http://pbs.twimg.com/media/Fkks9SfWIAAgvo1.jpg</v>
      </c>
      <c r="L12">
        <v>0</v>
      </c>
      <c r="M12">
        <v>0</v>
      </c>
      <c r="N12">
        <v>1</v>
      </c>
      <c r="O12">
        <v>0</v>
      </c>
    </row>
    <row r="13" spans="1:15" x14ac:dyDescent="0.2">
      <c r="A13" s="1" t="str">
        <f>HYPERLINK("http://www.twitter.com/banuakdenizli/status/1606222462227779584", "1606222462227779584")</f>
        <v>1606222462227779584</v>
      </c>
      <c r="B13" t="s">
        <v>15</v>
      </c>
      <c r="C13" s="2">
        <v>44918.401053240741</v>
      </c>
      <c r="D13">
        <v>0</v>
      </c>
      <c r="E13">
        <v>20</v>
      </c>
      <c r="F13" t="s">
        <v>20</v>
      </c>
      <c r="G13" t="s">
        <v>45</v>
      </c>
      <c r="H13" t="str">
        <f>HYPERLINK("http://pbs.twimg.com/media/FkpdBM3WQAEBe-p.jpg", "http://pbs.twimg.com/media/FkpdBM3WQAEBe-p.jpg")</f>
        <v>http://pbs.twimg.com/media/FkpdBM3WQAEBe-p.jpg</v>
      </c>
      <c r="L13">
        <v>0</v>
      </c>
      <c r="M13">
        <v>0</v>
      </c>
      <c r="N13">
        <v>1</v>
      </c>
      <c r="O13">
        <v>0</v>
      </c>
    </row>
    <row r="14" spans="1:15" x14ac:dyDescent="0.2">
      <c r="A14" s="1" t="str">
        <f>HYPERLINK("http://www.twitter.com/banuakdenizli/status/1605256453077753856", "1605256453077753856")</f>
        <v>1605256453077753856</v>
      </c>
      <c r="B14" t="s">
        <v>15</v>
      </c>
      <c r="C14" s="2">
        <v>44915.735381944447</v>
      </c>
      <c r="D14">
        <v>0</v>
      </c>
      <c r="E14">
        <v>41</v>
      </c>
      <c r="F14" t="s">
        <v>29</v>
      </c>
      <c r="G14" t="s">
        <v>46</v>
      </c>
      <c r="H14" t="str">
        <f>HYPERLINK("http://pbs.twimg.com/media/FkcD97TXwAEuIUU.jpg", "http://pbs.twimg.com/media/FkcD97TXwAEuIUU.jpg")</f>
        <v>http://pbs.twimg.com/media/FkcD97TXwAEuIUU.jpg</v>
      </c>
      <c r="L14">
        <v>0</v>
      </c>
      <c r="M14">
        <v>0</v>
      </c>
      <c r="N14">
        <v>1</v>
      </c>
      <c r="O14">
        <v>0</v>
      </c>
    </row>
    <row r="15" spans="1:15" x14ac:dyDescent="0.2">
      <c r="A15" s="1" t="str">
        <f>HYPERLINK("http://www.twitter.com/banuakdenizli/status/1605172879800209408", "1605172879800209408")</f>
        <v>1605172879800209408</v>
      </c>
      <c r="B15" t="s">
        <v>15</v>
      </c>
      <c r="C15" s="2">
        <v>44915.504756944443</v>
      </c>
      <c r="D15">
        <v>0</v>
      </c>
      <c r="E15">
        <v>35</v>
      </c>
      <c r="F15" t="s">
        <v>18</v>
      </c>
      <c r="G15" t="s">
        <v>47</v>
      </c>
      <c r="H15" t="str">
        <f>HYPERLINK("https://video.twimg.com/ext_tw_video/1603763309148360706/pu/vid/600x336/M6OCJfSQ87x9ymgT.mp4?tag=12", "https://video.twimg.com/ext_tw_video/1603763309148360706/pu/vid/600x336/M6OCJfSQ87x9ymgT.mp4?tag=12")</f>
        <v>https://video.twimg.com/ext_tw_video/1603763309148360706/pu/vid/600x336/M6OCJfSQ87x9ymgT.mp4?tag=12</v>
      </c>
      <c r="L15">
        <v>0</v>
      </c>
      <c r="M15">
        <v>0</v>
      </c>
      <c r="N15">
        <v>1</v>
      </c>
      <c r="O15">
        <v>0</v>
      </c>
    </row>
    <row r="16" spans="1:15" x14ac:dyDescent="0.2">
      <c r="A16" s="1" t="str">
        <f>HYPERLINK("http://www.twitter.com/banuakdenizli/status/1605172402669121539", "1605172402669121539")</f>
        <v>1605172402669121539</v>
      </c>
      <c r="B16" t="s">
        <v>15</v>
      </c>
      <c r="C16" s="2">
        <v>44915.503449074073</v>
      </c>
      <c r="D16">
        <v>0</v>
      </c>
      <c r="E16">
        <v>4</v>
      </c>
      <c r="F16" t="s">
        <v>18</v>
      </c>
      <c r="G16" t="s">
        <v>48</v>
      </c>
      <c r="H16" t="str">
        <f>HYPERLINK("http://pbs.twimg.com/media/FkauHfcX0AAEYTK.jpg", "http://pbs.twimg.com/media/FkauHfcX0AAEYTK.jpg")</f>
        <v>http://pbs.twimg.com/media/FkauHfcX0AAEYTK.jpg</v>
      </c>
      <c r="L16">
        <v>0</v>
      </c>
      <c r="M16">
        <v>0</v>
      </c>
      <c r="N16">
        <v>1</v>
      </c>
      <c r="O16">
        <v>0</v>
      </c>
    </row>
    <row r="17" spans="1:15" x14ac:dyDescent="0.2">
      <c r="A17" s="1" t="str">
        <f>HYPERLINK("http://www.twitter.com/banuakdenizli/status/1605172140692705280", "1605172140692705280")</f>
        <v>1605172140692705280</v>
      </c>
      <c r="B17" t="s">
        <v>15</v>
      </c>
      <c r="C17" s="2">
        <v>44915.50271990741</v>
      </c>
      <c r="D17">
        <v>0</v>
      </c>
      <c r="E17">
        <v>109</v>
      </c>
      <c r="F17" t="s">
        <v>49</v>
      </c>
      <c r="G17" t="s">
        <v>50</v>
      </c>
      <c r="L17">
        <v>0</v>
      </c>
      <c r="M17">
        <v>0</v>
      </c>
      <c r="N17">
        <v>1</v>
      </c>
      <c r="O17">
        <v>0</v>
      </c>
    </row>
    <row r="18" spans="1:15" x14ac:dyDescent="0.2">
      <c r="A18" s="1" t="str">
        <f>HYPERLINK("http://www.twitter.com/banuakdenizli/status/1604951335123795968", "1604951335123795968")</f>
        <v>1604951335123795968</v>
      </c>
      <c r="B18" t="s">
        <v>15</v>
      </c>
      <c r="C18" s="2">
        <v>44914.893414351849</v>
      </c>
      <c r="D18">
        <v>0</v>
      </c>
      <c r="E18">
        <v>9613</v>
      </c>
      <c r="F18" t="s">
        <v>51</v>
      </c>
      <c r="G18" t="s">
        <v>52</v>
      </c>
      <c r="H18" t="str">
        <f>HYPERLINK("https://video.twimg.com/ext_tw_video/1604949996318629889/pu/vid/720x1280/HWjkRymUEdkrudtD.mp4?tag=12", "https://video.twimg.com/ext_tw_video/1604949996318629889/pu/vid/720x1280/HWjkRymUEdkrudtD.mp4?tag=12")</f>
        <v>https://video.twimg.com/ext_tw_video/1604949996318629889/pu/vid/720x1280/HWjkRymUEdkrudtD.mp4?tag=12</v>
      </c>
      <c r="L18">
        <v>0</v>
      </c>
      <c r="M18">
        <v>0</v>
      </c>
      <c r="N18">
        <v>1</v>
      </c>
      <c r="O18">
        <v>0</v>
      </c>
    </row>
    <row r="19" spans="1:15" x14ac:dyDescent="0.2">
      <c r="A19" s="1" t="str">
        <f>HYPERLINK("http://www.twitter.com/banuakdenizli/status/1604951303049846787", "1604951303049846787")</f>
        <v>1604951303049846787</v>
      </c>
      <c r="B19" t="s">
        <v>15</v>
      </c>
      <c r="C19" s="2">
        <v>44914.893321759257</v>
      </c>
      <c r="D19">
        <v>0</v>
      </c>
      <c r="E19">
        <v>1313</v>
      </c>
      <c r="F19" t="s">
        <v>51</v>
      </c>
      <c r="G19" t="s">
        <v>53</v>
      </c>
      <c r="H19" t="str">
        <f>HYPERLINK("https://video.twimg.com/ext_tw_video/1604925923702218763/pu/vid/720x1280/4XMJhzyFwEVIynz9.mp4?tag=12", "https://video.twimg.com/ext_tw_video/1604925923702218763/pu/vid/720x1280/4XMJhzyFwEVIynz9.mp4?tag=12")</f>
        <v>https://video.twimg.com/ext_tw_video/1604925923702218763/pu/vid/720x1280/4XMJhzyFwEVIynz9.mp4?tag=12</v>
      </c>
      <c r="L19">
        <v>0</v>
      </c>
      <c r="M19">
        <v>0</v>
      </c>
      <c r="N19">
        <v>1</v>
      </c>
      <c r="O19">
        <v>0</v>
      </c>
    </row>
    <row r="20" spans="1:15" x14ac:dyDescent="0.2">
      <c r="A20" s="1" t="str">
        <f>HYPERLINK("http://www.twitter.com/banuakdenizli/status/1604951217771249666", "1604951217771249666")</f>
        <v>1604951217771249666</v>
      </c>
      <c r="B20" t="s">
        <v>15</v>
      </c>
      <c r="C20" s="2">
        <v>44914.893090277779</v>
      </c>
      <c r="D20">
        <v>0</v>
      </c>
      <c r="E20">
        <v>254</v>
      </c>
      <c r="F20" t="s">
        <v>54</v>
      </c>
      <c r="G20" t="s">
        <v>55</v>
      </c>
      <c r="H20" t="str">
        <f>HYPERLINK("http://pbs.twimg.com/media/FkXtdV6X0Bs04Ma.jpg", "http://pbs.twimg.com/media/FkXtdV6X0Bs04Ma.jpg")</f>
        <v>http://pbs.twimg.com/media/FkXtdV6X0Bs04Ma.jpg</v>
      </c>
      <c r="L20">
        <v>-0.128</v>
      </c>
      <c r="M20">
        <v>8.5999999999999993E-2</v>
      </c>
      <c r="N20">
        <v>0.91400000000000003</v>
      </c>
      <c r="O20">
        <v>0</v>
      </c>
    </row>
    <row r="21" spans="1:15" x14ac:dyDescent="0.2">
      <c r="A21" s="1" t="str">
        <f>HYPERLINK("http://www.twitter.com/banuakdenizli/status/1604774414288969733", "1604774414288969733")</f>
        <v>1604774414288969733</v>
      </c>
      <c r="B21" t="s">
        <v>15</v>
      </c>
      <c r="C21" s="2">
        <v>44914.40520833333</v>
      </c>
      <c r="D21">
        <v>0</v>
      </c>
      <c r="E21">
        <v>81</v>
      </c>
      <c r="F21" t="s">
        <v>56</v>
      </c>
      <c r="G21" t="s">
        <v>57</v>
      </c>
      <c r="H21" t="str">
        <f>HYPERLINK("http://pbs.twimg.com/media/FkU3GgBXoAA5051.jpg", "http://pbs.twimg.com/media/FkU3GgBXoAA5051.jpg")</f>
        <v>http://pbs.twimg.com/media/FkU3GgBXoAA5051.jpg</v>
      </c>
      <c r="I21" t="str">
        <f>HYPERLINK("http://pbs.twimg.com/media/FkU3GgAXwAEgfpL.jpg", "http://pbs.twimg.com/media/FkU3GgAXwAEgfpL.jpg")</f>
        <v>http://pbs.twimg.com/media/FkU3GgAXwAEgfpL.jpg</v>
      </c>
      <c r="J21" t="str">
        <f>HYPERLINK("http://pbs.twimg.com/media/FkU3GgGWYAUwOyr.jpg", "http://pbs.twimg.com/media/FkU3GgGWYAUwOyr.jpg")</f>
        <v>http://pbs.twimg.com/media/FkU3GgGWYAUwOyr.jpg</v>
      </c>
      <c r="K21" t="str">
        <f>HYPERLINK("http://pbs.twimg.com/media/FkU3GgCWYAI3CyE.jpg", "http://pbs.twimg.com/media/FkU3GgCWYAI3CyE.jpg")</f>
        <v>http://pbs.twimg.com/media/FkU3GgCWYAI3CyE.jpg</v>
      </c>
      <c r="L21">
        <v>-0.1326</v>
      </c>
      <c r="M21">
        <v>3.9E-2</v>
      </c>
      <c r="N21">
        <v>0.96099999999999997</v>
      </c>
      <c r="O21">
        <v>0</v>
      </c>
    </row>
    <row r="22" spans="1:15" x14ac:dyDescent="0.2">
      <c r="A22" s="1" t="str">
        <f>HYPERLINK("http://www.twitter.com/banuakdenizli/status/1604738126538280960", "1604738126538280960")</f>
        <v>1604738126538280960</v>
      </c>
      <c r="B22" t="s">
        <v>15</v>
      </c>
      <c r="C22" s="2">
        <v>44914.305069444446</v>
      </c>
      <c r="D22">
        <v>0</v>
      </c>
      <c r="E22">
        <v>21274</v>
      </c>
      <c r="F22" t="s">
        <v>51</v>
      </c>
      <c r="G22" t="s">
        <v>58</v>
      </c>
      <c r="H22" t="str">
        <f>HYPERLINK("http://pbs.twimg.com/media/FkR7gHSXEAIEx5z.jpg", "http://pbs.twimg.com/media/FkR7gHSXEAIEx5z.jpg")</f>
        <v>http://pbs.twimg.com/media/FkR7gHSXEAIEx5z.jpg</v>
      </c>
      <c r="L22">
        <v>0</v>
      </c>
      <c r="M22">
        <v>0</v>
      </c>
      <c r="N22">
        <v>1</v>
      </c>
      <c r="O22">
        <v>0</v>
      </c>
    </row>
    <row r="23" spans="1:15" x14ac:dyDescent="0.2">
      <c r="A23" s="1" t="str">
        <f>HYPERLINK("http://www.twitter.com/banuakdenizli/status/1604584935473393664", "1604584935473393664")</f>
        <v>1604584935473393664</v>
      </c>
      <c r="B23" t="s">
        <v>15</v>
      </c>
      <c r="C23" s="2">
        <v>44913.882349537038</v>
      </c>
      <c r="D23">
        <v>0</v>
      </c>
      <c r="E23">
        <v>25854</v>
      </c>
      <c r="F23" t="s">
        <v>17</v>
      </c>
      <c r="G23" t="s">
        <v>59</v>
      </c>
      <c r="H23" t="str">
        <f>HYPERLINK("https://video.twimg.com/amplify_video/1604580431508041730/vid/720x720/vU7ONajloVdRDLlr.mp4?tag=16", "https://video.twimg.com/amplify_video/1604580431508041730/vid/720x720/vU7ONajloVdRDLlr.mp4?tag=16")</f>
        <v>https://video.twimg.com/amplify_video/1604580431508041730/vid/720x720/vU7ONajloVdRDLlr.mp4?tag=16</v>
      </c>
      <c r="L23">
        <v>0</v>
      </c>
      <c r="M23">
        <v>0</v>
      </c>
      <c r="N23">
        <v>1</v>
      </c>
      <c r="O23">
        <v>0</v>
      </c>
    </row>
    <row r="24" spans="1:15" x14ac:dyDescent="0.2">
      <c r="A24" s="1" t="str">
        <f>HYPERLINK("http://www.twitter.com/banuakdenizli/status/1604569167167950853", "1604569167167950853")</f>
        <v>1604569167167950853</v>
      </c>
      <c r="B24" t="s">
        <v>15</v>
      </c>
      <c r="C24" s="2">
        <v>44913.838831018518</v>
      </c>
      <c r="D24">
        <v>0</v>
      </c>
      <c r="E24">
        <v>337</v>
      </c>
      <c r="F24" t="s">
        <v>49</v>
      </c>
      <c r="G24" t="s">
        <v>60</v>
      </c>
      <c r="L24">
        <v>0</v>
      </c>
      <c r="M24">
        <v>0</v>
      </c>
      <c r="N24">
        <v>1</v>
      </c>
      <c r="O24">
        <v>0</v>
      </c>
    </row>
    <row r="25" spans="1:15" x14ac:dyDescent="0.2">
      <c r="A25" s="1" t="str">
        <f>HYPERLINK("http://www.twitter.com/banuakdenizli/status/1604558487379386369", "1604558487379386369")</f>
        <v>1604558487379386369</v>
      </c>
      <c r="B25" t="s">
        <v>15</v>
      </c>
      <c r="C25" s="2">
        <v>44913.809363425928</v>
      </c>
      <c r="D25">
        <v>0</v>
      </c>
      <c r="E25">
        <v>7783</v>
      </c>
      <c r="F25" t="s">
        <v>17</v>
      </c>
      <c r="G25" t="s">
        <v>61</v>
      </c>
      <c r="L25">
        <v>0.44040000000000001</v>
      </c>
      <c r="M25">
        <v>0</v>
      </c>
      <c r="N25">
        <v>0.91400000000000003</v>
      </c>
      <c r="O25">
        <v>8.5999999999999993E-2</v>
      </c>
    </row>
    <row r="26" spans="1:15" x14ac:dyDescent="0.2">
      <c r="A26" s="1" t="str">
        <f>HYPERLINK("http://www.twitter.com/banuakdenizli/status/1604555438405689344", "1604555438405689344")</f>
        <v>1604555438405689344</v>
      </c>
      <c r="B26" t="s">
        <v>15</v>
      </c>
      <c r="C26" s="2">
        <v>44913.800949074073</v>
      </c>
      <c r="D26">
        <v>19</v>
      </c>
      <c r="E26">
        <v>6</v>
      </c>
      <c r="G26" t="s">
        <v>62</v>
      </c>
      <c r="H26" t="str">
        <f>HYPERLINK("https://video.twimg.com/ext_tw_video/1604555208851427330/pu/vid/1280x720/dfSIgX3cOUUFJc__.mp4?tag=12", "https://video.twimg.com/ext_tw_video/1604555208851427330/pu/vid/1280x720/dfSIgX3cOUUFJc__.mp4?tag=12")</f>
        <v>https://video.twimg.com/ext_tw_video/1604555208851427330/pu/vid/1280x720/dfSIgX3cOUUFJc__.mp4?tag=12</v>
      </c>
      <c r="L26">
        <v>0</v>
      </c>
      <c r="M26">
        <v>0</v>
      </c>
      <c r="N26">
        <v>1</v>
      </c>
      <c r="O26">
        <v>0</v>
      </c>
    </row>
    <row r="27" spans="1:15" x14ac:dyDescent="0.2">
      <c r="A27" s="1" t="str">
        <f>HYPERLINK("http://www.twitter.com/banuakdenizli/status/1604544390227279879", "1604544390227279879")</f>
        <v>1604544390227279879</v>
      </c>
      <c r="B27" t="s">
        <v>15</v>
      </c>
      <c r="C27" s="2">
        <v>44913.770462962973</v>
      </c>
      <c r="D27">
        <v>301</v>
      </c>
      <c r="E27">
        <v>57</v>
      </c>
      <c r="G27" t="s">
        <v>63</v>
      </c>
      <c r="H27" t="str">
        <f>HYPERLINK("https://video.twimg.com/ext_tw_video/1604543360852688900/pu/vid/1280x720/IV7wQ6yovMkqzet0.mp4?tag=12", "https://video.twimg.com/ext_tw_video/1604543360852688900/pu/vid/1280x720/IV7wQ6yovMkqzet0.mp4?tag=12")</f>
        <v>https://video.twimg.com/ext_tw_video/1604543360852688900/pu/vid/1280x720/IV7wQ6yovMkqzet0.mp4?tag=12</v>
      </c>
      <c r="L27">
        <v>0</v>
      </c>
      <c r="M27">
        <v>0</v>
      </c>
      <c r="N27">
        <v>1</v>
      </c>
      <c r="O27">
        <v>0</v>
      </c>
    </row>
    <row r="28" spans="1:15" x14ac:dyDescent="0.2">
      <c r="A28" s="1" t="str">
        <f>HYPERLINK("http://www.twitter.com/banuakdenizli/status/1604540526736289792", "1604540526736289792")</f>
        <v>1604540526736289792</v>
      </c>
      <c r="B28" t="s">
        <v>15</v>
      </c>
      <c r="C28" s="2">
        <v>44913.75980324074</v>
      </c>
      <c r="D28">
        <v>0</v>
      </c>
      <c r="E28">
        <v>22214</v>
      </c>
      <c r="F28" t="s">
        <v>17</v>
      </c>
      <c r="G28" t="s">
        <v>64</v>
      </c>
      <c r="L28">
        <v>0</v>
      </c>
      <c r="M28">
        <v>0</v>
      </c>
      <c r="N28">
        <v>1</v>
      </c>
      <c r="O28">
        <v>0</v>
      </c>
    </row>
    <row r="29" spans="1:15" x14ac:dyDescent="0.2">
      <c r="A29" s="1" t="str">
        <f>HYPERLINK("http://www.twitter.com/banuakdenizli/status/1604540448919277568", "1604540448919277568")</f>
        <v>1604540448919277568</v>
      </c>
      <c r="B29" t="s">
        <v>15</v>
      </c>
      <c r="C29" s="2">
        <v>44913.759583333333</v>
      </c>
      <c r="D29">
        <v>0</v>
      </c>
      <c r="E29">
        <v>171</v>
      </c>
      <c r="F29" t="s">
        <v>56</v>
      </c>
      <c r="G29" t="s">
        <v>65</v>
      </c>
      <c r="H29" t="str">
        <f>HYPERLINK("http://pbs.twimg.com/media/FkR45BcWQAQ6y0-.jpg", "http://pbs.twimg.com/media/FkR45BcWQAQ6y0-.jpg")</f>
        <v>http://pbs.twimg.com/media/FkR45BcWQAQ6y0-.jpg</v>
      </c>
      <c r="I29" t="str">
        <f>HYPERLINK("http://pbs.twimg.com/media/FkR45BZXkAMf9NY.jpg", "http://pbs.twimg.com/media/FkR45BZXkAMf9NY.jpg")</f>
        <v>http://pbs.twimg.com/media/FkR45BZXkAMf9NY.jpg</v>
      </c>
      <c r="J29" t="str">
        <f>HYPERLINK("http://pbs.twimg.com/media/FkR45BcXwAIfYAn.jpg", "http://pbs.twimg.com/media/FkR45BcXwAIfYAn.jpg")</f>
        <v>http://pbs.twimg.com/media/FkR45BcXwAIfYAn.jpg</v>
      </c>
      <c r="K29" t="str">
        <f>HYPERLINK("http://pbs.twimg.com/media/FkR45BZX0AIhb6K.jpg", "http://pbs.twimg.com/media/FkR45BZX0AIhb6K.jpg")</f>
        <v>http://pbs.twimg.com/media/FkR45BZX0AIhb6K.jpg</v>
      </c>
      <c r="L29">
        <v>0</v>
      </c>
      <c r="M29">
        <v>0</v>
      </c>
      <c r="N29">
        <v>1</v>
      </c>
      <c r="O29">
        <v>0</v>
      </c>
    </row>
    <row r="30" spans="1:15" x14ac:dyDescent="0.2">
      <c r="A30" s="1" t="str">
        <f>HYPERLINK("http://www.twitter.com/banuakdenizli/status/1604537595207483394", "1604537595207483394")</f>
        <v>1604537595207483394</v>
      </c>
      <c r="B30" t="s">
        <v>15</v>
      </c>
      <c r="C30" s="2">
        <v>44913.751712962963</v>
      </c>
      <c r="D30">
        <v>0</v>
      </c>
      <c r="E30">
        <v>3244</v>
      </c>
      <c r="F30" t="s">
        <v>51</v>
      </c>
      <c r="G30" t="s">
        <v>66</v>
      </c>
      <c r="H30" t="str">
        <f>HYPERLINK("http://pbs.twimg.com/media/FkR2VpjXEAg2AL5.jpg", "http://pbs.twimg.com/media/FkR2VpjXEAg2AL5.jpg")</f>
        <v>http://pbs.twimg.com/media/FkR2VpjXEAg2AL5.jpg</v>
      </c>
      <c r="L30">
        <v>0</v>
      </c>
      <c r="M30">
        <v>0</v>
      </c>
      <c r="N30">
        <v>1</v>
      </c>
      <c r="O30">
        <v>0</v>
      </c>
    </row>
    <row r="31" spans="1:15" x14ac:dyDescent="0.2">
      <c r="A31" s="1" t="str">
        <f>HYPERLINK("http://www.twitter.com/banuakdenizli/status/1604537325643452416", "1604537325643452416")</f>
        <v>1604537325643452416</v>
      </c>
      <c r="B31" t="s">
        <v>15</v>
      </c>
      <c r="C31" s="2">
        <v>44913.750960648147</v>
      </c>
      <c r="D31">
        <v>0</v>
      </c>
      <c r="E31">
        <v>121</v>
      </c>
      <c r="F31" t="s">
        <v>54</v>
      </c>
      <c r="G31" t="s">
        <v>67</v>
      </c>
      <c r="H31" t="str">
        <f>HYPERLINK("http://pbs.twimg.com/media/FkR103LXEAYQEe5.jpg", "http://pbs.twimg.com/media/FkR103LXEAYQEe5.jpg")</f>
        <v>http://pbs.twimg.com/media/FkR103LXEAYQEe5.jpg</v>
      </c>
      <c r="L31">
        <v>0</v>
      </c>
      <c r="M31">
        <v>0</v>
      </c>
      <c r="N31">
        <v>1</v>
      </c>
      <c r="O31">
        <v>0</v>
      </c>
    </row>
    <row r="32" spans="1:15" x14ac:dyDescent="0.2">
      <c r="A32" s="1" t="str">
        <f>HYPERLINK("http://www.twitter.com/banuakdenizli/status/1604532539405770753", "1604532539405770753")</f>
        <v>1604532539405770753</v>
      </c>
      <c r="B32" t="s">
        <v>15</v>
      </c>
      <c r="C32" s="2">
        <v>44913.737754629627</v>
      </c>
      <c r="D32">
        <v>0</v>
      </c>
      <c r="E32">
        <v>11</v>
      </c>
      <c r="F32" t="s">
        <v>56</v>
      </c>
      <c r="G32" t="s">
        <v>68</v>
      </c>
      <c r="H32" t="str">
        <f>HYPERLINK("https://video.twimg.com/ext_tw_video/1604532029114179584/pu/vid/720x1280/gdnX2PyZnq4-nMV7.mp4?tag=12", "https://video.twimg.com/ext_tw_video/1604532029114179584/pu/vid/720x1280/gdnX2PyZnq4-nMV7.mp4?tag=12")</f>
        <v>https://video.twimg.com/ext_tw_video/1604532029114179584/pu/vid/720x1280/gdnX2PyZnq4-nMV7.mp4?tag=12</v>
      </c>
      <c r="L32">
        <v>0</v>
      </c>
      <c r="M32">
        <v>0</v>
      </c>
      <c r="N32">
        <v>1</v>
      </c>
      <c r="O32">
        <v>0</v>
      </c>
    </row>
    <row r="33" spans="1:15" x14ac:dyDescent="0.2">
      <c r="A33" s="1" t="str">
        <f>HYPERLINK("http://www.twitter.com/banuakdenizli/status/1604523603785093121", "1604523603785093121")</f>
        <v>1604523603785093121</v>
      </c>
      <c r="B33" t="s">
        <v>15</v>
      </c>
      <c r="C33" s="2">
        <v>44913.713101851848</v>
      </c>
      <c r="D33">
        <v>0</v>
      </c>
      <c r="E33">
        <v>855</v>
      </c>
      <c r="F33" t="s">
        <v>51</v>
      </c>
      <c r="G33" t="s">
        <v>69</v>
      </c>
      <c r="H33" t="str">
        <f>HYPERLINK("http://pbs.twimg.com/media/FkRo64WXgAQQdO0.jpg", "http://pbs.twimg.com/media/FkRo64WXgAQQdO0.jpg")</f>
        <v>http://pbs.twimg.com/media/FkRo64WXgAQQdO0.jpg</v>
      </c>
      <c r="L33">
        <v>-0.20030000000000001</v>
      </c>
      <c r="M33">
        <v>0.13</v>
      </c>
      <c r="N33">
        <v>0.87</v>
      </c>
      <c r="O33">
        <v>0</v>
      </c>
    </row>
    <row r="34" spans="1:15" x14ac:dyDescent="0.2">
      <c r="A34" s="1" t="str">
        <f>HYPERLINK("http://www.twitter.com/banuakdenizli/status/1604494070633885696", "1604494070633885696")</f>
        <v>1604494070633885696</v>
      </c>
      <c r="B34" t="s">
        <v>15</v>
      </c>
      <c r="C34" s="2">
        <v>44913.631608796299</v>
      </c>
      <c r="D34">
        <v>0</v>
      </c>
      <c r="E34">
        <v>857</v>
      </c>
      <c r="F34" t="s">
        <v>51</v>
      </c>
      <c r="G34" t="s">
        <v>70</v>
      </c>
      <c r="H34" t="str">
        <f>HYPERLINK("http://pbs.twimg.com/media/FkRNVQoWIAQMe1h.jpg", "http://pbs.twimg.com/media/FkRNVQoWIAQMe1h.jpg")</f>
        <v>http://pbs.twimg.com/media/FkRNVQoWIAQMe1h.jpg</v>
      </c>
      <c r="L34">
        <v>0</v>
      </c>
      <c r="M34">
        <v>0</v>
      </c>
      <c r="N34">
        <v>1</v>
      </c>
      <c r="O34">
        <v>0</v>
      </c>
    </row>
    <row r="35" spans="1:15" x14ac:dyDescent="0.2">
      <c r="A35" s="1" t="str">
        <f>HYPERLINK("http://www.twitter.com/banuakdenizli/status/1604493176076648448", "1604493176076648448")</f>
        <v>1604493176076648448</v>
      </c>
      <c r="B35" t="s">
        <v>15</v>
      </c>
      <c r="C35" s="2">
        <v>44913.629131944443</v>
      </c>
      <c r="D35">
        <v>0</v>
      </c>
      <c r="E35">
        <v>6498</v>
      </c>
      <c r="F35" t="s">
        <v>17</v>
      </c>
      <c r="G35" t="s">
        <v>71</v>
      </c>
      <c r="L35">
        <v>0</v>
      </c>
      <c r="M35">
        <v>0</v>
      </c>
      <c r="N35">
        <v>1</v>
      </c>
      <c r="O35">
        <v>0</v>
      </c>
    </row>
    <row r="36" spans="1:15" x14ac:dyDescent="0.2">
      <c r="A36" s="1" t="str">
        <f>HYPERLINK("http://www.twitter.com/banuakdenizli/status/1604493124759429120", "1604493124759429120")</f>
        <v>1604493124759429120</v>
      </c>
      <c r="B36" t="s">
        <v>15</v>
      </c>
      <c r="C36" s="2">
        <v>44913.628993055558</v>
      </c>
      <c r="D36">
        <v>0</v>
      </c>
      <c r="E36">
        <v>11</v>
      </c>
      <c r="F36" t="s">
        <v>56</v>
      </c>
      <c r="G36" t="s">
        <v>72</v>
      </c>
      <c r="H36" t="str">
        <f>HYPERLINK("http://pbs.twimg.com/media/FkRMbFPXkAAEhSo.jpg", "http://pbs.twimg.com/media/FkRMbFPXkAAEhSo.jpg")</f>
        <v>http://pbs.twimg.com/media/FkRMbFPXkAAEhSo.jpg</v>
      </c>
      <c r="L36">
        <v>0</v>
      </c>
      <c r="M36">
        <v>0</v>
      </c>
      <c r="N36">
        <v>1</v>
      </c>
      <c r="O36">
        <v>0</v>
      </c>
    </row>
    <row r="37" spans="1:15" x14ac:dyDescent="0.2">
      <c r="A37" s="1" t="str">
        <f>HYPERLINK("http://www.twitter.com/banuakdenizli/status/1604492975257620480", "1604492975257620480")</f>
        <v>1604492975257620480</v>
      </c>
      <c r="B37" t="s">
        <v>15</v>
      </c>
      <c r="C37" s="2">
        <v>44913.628576388888</v>
      </c>
      <c r="D37">
        <v>0</v>
      </c>
      <c r="E37">
        <v>0</v>
      </c>
      <c r="G37" t="s">
        <v>73</v>
      </c>
      <c r="H37" t="str">
        <f>HYPERLINK("http://pbs.twimg.com/media/FkRN0krWYAA138V.jpg", "http://pbs.twimg.com/media/FkRN0krWYAA138V.jpg")</f>
        <v>http://pbs.twimg.com/media/FkRN0krWYAA138V.jpg</v>
      </c>
      <c r="I37" t="str">
        <f>HYPERLINK("http://pbs.twimg.com/media/FkRN1XVXgAAM2zz.jpg", "http://pbs.twimg.com/media/FkRN1XVXgAAM2zz.jpg")</f>
        <v>http://pbs.twimg.com/media/FkRN1XVXgAAM2zz.jpg</v>
      </c>
      <c r="J37" t="str">
        <f>HYPERLINK("http://pbs.twimg.com/media/FkRN2LxXgAE16lE.jpg", "http://pbs.twimg.com/media/FkRN2LxXgAE16lE.jpg")</f>
        <v>http://pbs.twimg.com/media/FkRN2LxXgAE16lE.jpg</v>
      </c>
      <c r="L37">
        <v>0</v>
      </c>
      <c r="M37">
        <v>0</v>
      </c>
      <c r="N37">
        <v>1</v>
      </c>
      <c r="O37">
        <v>0</v>
      </c>
    </row>
    <row r="38" spans="1:15" x14ac:dyDescent="0.2">
      <c r="A38" s="1" t="str">
        <f>HYPERLINK("http://www.twitter.com/banuakdenizli/status/1604492602170015745", "1604492602170015745")</f>
        <v>1604492602170015745</v>
      </c>
      <c r="B38" t="s">
        <v>15</v>
      </c>
      <c r="C38" s="2">
        <v>44913.627557870372</v>
      </c>
      <c r="D38">
        <v>0</v>
      </c>
      <c r="E38">
        <v>0</v>
      </c>
      <c r="G38" t="s">
        <v>74</v>
      </c>
      <c r="H38" t="str">
        <f>HYPERLINK("http://pbs.twimg.com/media/FkRNeucWAAIGeCC.jpg", "http://pbs.twimg.com/media/FkRNeucWAAIGeCC.jpg")</f>
        <v>http://pbs.twimg.com/media/FkRNeucWAAIGeCC.jpg</v>
      </c>
      <c r="I38" t="str">
        <f>HYPERLINK("http://pbs.twimg.com/media/FkRNfjYWYAEdQRv.jpg", "http://pbs.twimg.com/media/FkRNfjYWYAEdQRv.jpg")</f>
        <v>http://pbs.twimg.com/media/FkRNfjYWYAEdQRv.jpg</v>
      </c>
      <c r="J38" t="str">
        <f>HYPERLINK("http://pbs.twimg.com/media/FkRNgaFaMAAj8aQ.jpg", "http://pbs.twimg.com/media/FkRNgaFaMAAj8aQ.jpg")</f>
        <v>http://pbs.twimg.com/media/FkRNgaFaMAAj8aQ.jpg</v>
      </c>
      <c r="L38">
        <v>0</v>
      </c>
      <c r="M38">
        <v>0</v>
      </c>
      <c r="N38">
        <v>1</v>
      </c>
      <c r="O38">
        <v>0</v>
      </c>
    </row>
    <row r="39" spans="1:15" x14ac:dyDescent="0.2">
      <c r="A39" s="1" t="str">
        <f>HYPERLINK("http://www.twitter.com/banuakdenizli/status/1604482207829082118", "1604482207829082118")</f>
        <v>1604482207829082118</v>
      </c>
      <c r="B39" t="s">
        <v>15</v>
      </c>
      <c r="C39" s="2">
        <v>44913.598865740743</v>
      </c>
      <c r="D39">
        <v>0</v>
      </c>
      <c r="E39">
        <v>3319</v>
      </c>
      <c r="F39" t="s">
        <v>51</v>
      </c>
      <c r="G39" t="s">
        <v>75</v>
      </c>
      <c r="H39" t="str">
        <f>HYPERLINK("http://pbs.twimg.com/media/FkQ31jfXgAIFOz9.jpg", "http://pbs.twimg.com/media/FkQ31jfXgAIFOz9.jpg")</f>
        <v>http://pbs.twimg.com/media/FkQ31jfXgAIFOz9.jpg</v>
      </c>
      <c r="L39">
        <v>0</v>
      </c>
      <c r="M39">
        <v>0</v>
      </c>
      <c r="N39">
        <v>1</v>
      </c>
      <c r="O39">
        <v>0</v>
      </c>
    </row>
    <row r="40" spans="1:15" x14ac:dyDescent="0.2">
      <c r="A40" s="1" t="str">
        <f>HYPERLINK("http://www.twitter.com/banuakdenizli/status/1604473081430417410", "1604473081430417410")</f>
        <v>1604473081430417410</v>
      </c>
      <c r="B40" t="s">
        <v>15</v>
      </c>
      <c r="C40" s="2">
        <v>44913.573680555557</v>
      </c>
      <c r="D40">
        <v>0</v>
      </c>
      <c r="E40">
        <v>123</v>
      </c>
      <c r="F40" t="s">
        <v>76</v>
      </c>
      <c r="G40" t="s">
        <v>77</v>
      </c>
      <c r="H40" t="str">
        <f>HYPERLINK("https://video.twimg.com/ext_tw_video/1604455317336735746/pu/vid/720x1280/E8kpSbnwcW-zDDzg.mp4?tag=12", "https://video.twimg.com/ext_tw_video/1604455317336735746/pu/vid/720x1280/E8kpSbnwcW-zDDzg.mp4?tag=12")</f>
        <v>https://video.twimg.com/ext_tw_video/1604455317336735746/pu/vid/720x1280/E8kpSbnwcW-zDDzg.mp4?tag=12</v>
      </c>
      <c r="L40">
        <v>0.44040000000000001</v>
      </c>
      <c r="M40">
        <v>0</v>
      </c>
      <c r="N40">
        <v>0.81799999999999995</v>
      </c>
      <c r="O40">
        <v>0.182</v>
      </c>
    </row>
    <row r="41" spans="1:15" x14ac:dyDescent="0.2">
      <c r="A41" s="1" t="str">
        <f>HYPERLINK("http://www.twitter.com/banuakdenizli/status/1604472045915480064", "1604472045915480064")</f>
        <v>1604472045915480064</v>
      </c>
      <c r="B41" t="s">
        <v>15</v>
      </c>
      <c r="C41" s="2">
        <v>44913.570833333331</v>
      </c>
      <c r="D41">
        <v>0</v>
      </c>
      <c r="E41">
        <v>10</v>
      </c>
      <c r="F41" t="s">
        <v>78</v>
      </c>
      <c r="G41" t="s">
        <v>79</v>
      </c>
      <c r="H41" t="str">
        <f>HYPERLINK("https://video.twimg.com/amplify_video/1604464789710848005/vid/848x464/QzgFklSAWDfQKsvy.mp4?tag=16", "https://video.twimg.com/amplify_video/1604464789710848005/vid/848x464/QzgFklSAWDfQKsvy.mp4?tag=16")</f>
        <v>https://video.twimg.com/amplify_video/1604464789710848005/vid/848x464/QzgFklSAWDfQKsvy.mp4?tag=16</v>
      </c>
      <c r="L41">
        <v>0</v>
      </c>
      <c r="M41">
        <v>0</v>
      </c>
      <c r="N41">
        <v>1</v>
      </c>
      <c r="O41">
        <v>0</v>
      </c>
    </row>
    <row r="42" spans="1:15" x14ac:dyDescent="0.2">
      <c r="A42" s="1" t="str">
        <f>HYPERLINK("http://www.twitter.com/banuakdenizli/status/1604469909513183233", "1604469909513183233")</f>
        <v>1604469909513183233</v>
      </c>
      <c r="B42" t="s">
        <v>15</v>
      </c>
      <c r="C42" s="2">
        <v>44913.564930555563</v>
      </c>
      <c r="D42">
        <v>0</v>
      </c>
      <c r="E42">
        <v>660</v>
      </c>
      <c r="F42" t="s">
        <v>51</v>
      </c>
      <c r="G42" t="s">
        <v>80</v>
      </c>
      <c r="H42" t="str">
        <f>HYPERLINK("https://video.twimg.com/ext_tw_video/1604462594529677312/pu/vid/720x1280/lWcJcvoZctuFEeu3.mp4?tag=12", "https://video.twimg.com/ext_tw_video/1604462594529677312/pu/vid/720x1280/lWcJcvoZctuFEeu3.mp4?tag=12")</f>
        <v>https://video.twimg.com/ext_tw_video/1604462594529677312/pu/vid/720x1280/lWcJcvoZctuFEeu3.mp4?tag=12</v>
      </c>
      <c r="L42">
        <v>0</v>
      </c>
      <c r="M42">
        <v>0</v>
      </c>
      <c r="N42">
        <v>1</v>
      </c>
      <c r="O42">
        <v>0</v>
      </c>
    </row>
    <row r="43" spans="1:15" x14ac:dyDescent="0.2">
      <c r="A43" s="1" t="str">
        <f>HYPERLINK("http://www.twitter.com/banuakdenizli/status/1604455339524513792", "1604455339524513792")</f>
        <v>1604455339524513792</v>
      </c>
      <c r="B43" t="s">
        <v>15</v>
      </c>
      <c r="C43" s="2">
        <v>44913.524722222217</v>
      </c>
      <c r="D43">
        <v>0</v>
      </c>
      <c r="E43">
        <v>927</v>
      </c>
      <c r="F43" t="s">
        <v>51</v>
      </c>
      <c r="G43" t="s">
        <v>81</v>
      </c>
      <c r="H43" t="str">
        <f>HYPERLINK("http://pbs.twimg.com/media/FkQnuQXXgAIbiuM.jpg", "http://pbs.twimg.com/media/FkQnuQXXgAIbiuM.jpg")</f>
        <v>http://pbs.twimg.com/media/FkQnuQXXgAIbiuM.jpg</v>
      </c>
      <c r="I43" t="str">
        <f>HYPERLINK("http://pbs.twimg.com/media/FkQn-rNX0AMFbjn.jpg", "http://pbs.twimg.com/media/FkQn-rNX0AMFbjn.jpg")</f>
        <v>http://pbs.twimg.com/media/FkQn-rNX0AMFbjn.jpg</v>
      </c>
      <c r="L43">
        <v>0</v>
      </c>
      <c r="M43">
        <v>0</v>
      </c>
      <c r="N43">
        <v>1</v>
      </c>
      <c r="O43">
        <v>0</v>
      </c>
    </row>
    <row r="44" spans="1:15" x14ac:dyDescent="0.2">
      <c r="A44" s="1" t="str">
        <f>HYPERLINK("http://www.twitter.com/banuakdenizli/status/1604434438267572225", "1604434438267572225")</f>
        <v>1604434438267572225</v>
      </c>
      <c r="B44" t="s">
        <v>15</v>
      </c>
      <c r="C44" s="2">
        <v>44913.467048611114</v>
      </c>
      <c r="D44">
        <v>0</v>
      </c>
      <c r="E44">
        <v>6690</v>
      </c>
      <c r="F44" t="s">
        <v>17</v>
      </c>
      <c r="G44" t="s">
        <v>82</v>
      </c>
      <c r="H44" t="str">
        <f>HYPERLINK("https://video.twimg.com/amplify_video/1604225256935239681/vid/1920x1080/YXTdKlLFNNylwb2y.mp4?tag=16", "https://video.twimg.com/amplify_video/1604225256935239681/vid/1920x1080/YXTdKlLFNNylwb2y.mp4?tag=16")</f>
        <v>https://video.twimg.com/amplify_video/1604225256935239681/vid/1920x1080/YXTdKlLFNNylwb2y.mp4?tag=16</v>
      </c>
      <c r="L44">
        <v>0</v>
      </c>
      <c r="M44">
        <v>0</v>
      </c>
      <c r="N44">
        <v>1</v>
      </c>
      <c r="O44">
        <v>0</v>
      </c>
    </row>
    <row r="45" spans="1:15" x14ac:dyDescent="0.2">
      <c r="A45" s="1" t="str">
        <f>HYPERLINK("http://www.twitter.com/banuakdenizli/status/1604434177541251072", "1604434177541251072")</f>
        <v>1604434177541251072</v>
      </c>
      <c r="B45" t="s">
        <v>15</v>
      </c>
      <c r="C45" s="2">
        <v>44913.466331018521</v>
      </c>
      <c r="D45">
        <v>0</v>
      </c>
      <c r="E45">
        <v>6</v>
      </c>
      <c r="F45" t="s">
        <v>83</v>
      </c>
      <c r="G45" t="s">
        <v>84</v>
      </c>
      <c r="H45" t="str">
        <f>HYPERLINK("https://video.twimg.com/ext_tw_video/1604433917074935808/pu/vid/720x720/-r8veaPOrGhMik7c.mp4?tag=12", "https://video.twimg.com/ext_tw_video/1604433917074935808/pu/vid/720x720/-r8veaPOrGhMik7c.mp4?tag=12")</f>
        <v>https://video.twimg.com/ext_tw_video/1604433917074935808/pu/vid/720x720/-r8veaPOrGhMik7c.mp4?tag=12</v>
      </c>
      <c r="L45">
        <v>0</v>
      </c>
      <c r="M45">
        <v>0</v>
      </c>
      <c r="N45">
        <v>1</v>
      </c>
      <c r="O45">
        <v>0</v>
      </c>
    </row>
    <row r="46" spans="1:15" x14ac:dyDescent="0.2">
      <c r="A46" s="1" t="str">
        <f>HYPERLINK("http://www.twitter.com/banuakdenizli/status/1604418116955635715", "1604418116955635715")</f>
        <v>1604418116955635715</v>
      </c>
      <c r="B46" t="s">
        <v>15</v>
      </c>
      <c r="C46" s="2">
        <v>44913.422013888892</v>
      </c>
      <c r="D46">
        <v>0</v>
      </c>
      <c r="E46">
        <v>47</v>
      </c>
      <c r="F46" t="s">
        <v>56</v>
      </c>
      <c r="G46" t="s">
        <v>85</v>
      </c>
      <c r="H46" t="str">
        <f>HYPERLINK("http://pbs.twimg.com/media/FkQHIR5WQAEOovv.jpg", "http://pbs.twimg.com/media/FkQHIR5WQAEOovv.jpg")</f>
        <v>http://pbs.twimg.com/media/FkQHIR5WQAEOovv.jpg</v>
      </c>
      <c r="L46">
        <v>0</v>
      </c>
      <c r="M46">
        <v>0</v>
      </c>
      <c r="N46">
        <v>1</v>
      </c>
      <c r="O46">
        <v>0</v>
      </c>
    </row>
    <row r="47" spans="1:15" x14ac:dyDescent="0.2">
      <c r="A47" s="1" t="str">
        <f>HYPERLINK("http://www.twitter.com/banuakdenizli/status/1604397472440143872", "1604397472440143872")</f>
        <v>1604397472440143872</v>
      </c>
      <c r="B47" t="s">
        <v>15</v>
      </c>
      <c r="C47" s="2">
        <v>44913.365046296298</v>
      </c>
      <c r="D47">
        <v>0</v>
      </c>
      <c r="E47">
        <v>3</v>
      </c>
      <c r="F47" t="s">
        <v>54</v>
      </c>
      <c r="G47" t="s">
        <v>86</v>
      </c>
      <c r="L47">
        <v>0.44040000000000001</v>
      </c>
      <c r="M47">
        <v>0</v>
      </c>
      <c r="N47">
        <v>0.75600000000000001</v>
      </c>
      <c r="O47">
        <v>0.24399999999999999</v>
      </c>
    </row>
    <row r="48" spans="1:15" x14ac:dyDescent="0.2">
      <c r="A48" s="1" t="str">
        <f>HYPERLINK("http://www.twitter.com/banuakdenizli/status/1604396410237059073", "1604396410237059073")</f>
        <v>1604396410237059073</v>
      </c>
      <c r="B48" t="s">
        <v>15</v>
      </c>
      <c r="C48" s="2">
        <v>44913.362118055556</v>
      </c>
      <c r="D48">
        <v>0</v>
      </c>
      <c r="E48">
        <v>4355</v>
      </c>
      <c r="F48" t="s">
        <v>51</v>
      </c>
      <c r="G48" t="s">
        <v>87</v>
      </c>
      <c r="H48" t="str">
        <f>HYPERLINK("http://pbs.twimg.com/media/FkOP2osXgAIe37T.jpg", "http://pbs.twimg.com/media/FkOP2osXgAIe37T.jpg")</f>
        <v>http://pbs.twimg.com/media/FkOP2osXgAIe37T.jpg</v>
      </c>
      <c r="L48">
        <v>0</v>
      </c>
      <c r="M48">
        <v>0</v>
      </c>
      <c r="N48">
        <v>1</v>
      </c>
      <c r="O48">
        <v>0</v>
      </c>
    </row>
    <row r="49" spans="1:15" x14ac:dyDescent="0.2">
      <c r="A49" s="1" t="str">
        <f>HYPERLINK("http://www.twitter.com/banuakdenizli/status/1604396395527561217", "1604396395527561217")</f>
        <v>1604396395527561217</v>
      </c>
      <c r="B49" t="s">
        <v>15</v>
      </c>
      <c r="C49" s="2">
        <v>44913.362071759257</v>
      </c>
      <c r="D49">
        <v>0</v>
      </c>
      <c r="E49">
        <v>1395</v>
      </c>
      <c r="F49" t="s">
        <v>51</v>
      </c>
      <c r="G49" t="s">
        <v>88</v>
      </c>
      <c r="H49" t="str">
        <f>HYPERLINK("https://video.twimg.com/amplify_video/1604285915752718337/vid/1080x1920/9qdmRYCcsZ5kwtSH.mp4?tag=16", "https://video.twimg.com/amplify_video/1604285915752718337/vid/1080x1920/9qdmRYCcsZ5kwtSH.mp4?tag=16")</f>
        <v>https://video.twimg.com/amplify_video/1604285915752718337/vid/1080x1920/9qdmRYCcsZ5kwtSH.mp4?tag=16</v>
      </c>
      <c r="L49">
        <v>0</v>
      </c>
      <c r="M49">
        <v>0</v>
      </c>
      <c r="N49">
        <v>1</v>
      </c>
      <c r="O49">
        <v>0</v>
      </c>
    </row>
    <row r="50" spans="1:15" x14ac:dyDescent="0.2">
      <c r="A50" s="1" t="str">
        <f>HYPERLINK("http://www.twitter.com/banuakdenizli/status/1604273693529612288", "1604273693529612288")</f>
        <v>1604273693529612288</v>
      </c>
      <c r="B50" t="s">
        <v>15</v>
      </c>
      <c r="C50" s="2">
        <v>44913.0234837963</v>
      </c>
      <c r="D50">
        <v>0</v>
      </c>
      <c r="E50">
        <v>1</v>
      </c>
      <c r="F50" t="s">
        <v>25</v>
      </c>
      <c r="G50" t="s">
        <v>89</v>
      </c>
      <c r="H50" t="str">
        <f>HYPERLINK("http://pbs.twimg.com/media/FkNn37RWAAM-iSn.jpg", "http://pbs.twimg.com/media/FkNn37RWAAM-iSn.jpg")</f>
        <v>http://pbs.twimg.com/media/FkNn37RWAAM-iSn.jpg</v>
      </c>
      <c r="I50" t="str">
        <f>HYPERLINK("http://pbs.twimg.com/media/FkNn36jWAAI-7hE.jpg", "http://pbs.twimg.com/media/FkNn36jWAAI-7hE.jpg")</f>
        <v>http://pbs.twimg.com/media/FkNn36jWAAI-7hE.jpg</v>
      </c>
      <c r="L50">
        <v>0</v>
      </c>
      <c r="M50">
        <v>0</v>
      </c>
      <c r="N50">
        <v>1</v>
      </c>
      <c r="O50">
        <v>0</v>
      </c>
    </row>
    <row r="51" spans="1:15" x14ac:dyDescent="0.2">
      <c r="A51" s="1" t="str">
        <f>HYPERLINK("http://www.twitter.com/banuakdenizli/status/1604185568325378049", "1604185568325378049")</f>
        <v>1604185568325378049</v>
      </c>
      <c r="B51" t="s">
        <v>15</v>
      </c>
      <c r="C51" s="2">
        <v>44912.780300925922</v>
      </c>
      <c r="D51">
        <v>0</v>
      </c>
      <c r="E51">
        <v>1403</v>
      </c>
      <c r="F51" t="s">
        <v>51</v>
      </c>
      <c r="G51" t="s">
        <v>90</v>
      </c>
      <c r="H51" t="str">
        <f>HYPERLINK("http://pbs.twimg.com/media/FkL7tZPWQAA1F8U.jpg", "http://pbs.twimg.com/media/FkL7tZPWQAA1F8U.jpg")</f>
        <v>http://pbs.twimg.com/media/FkL7tZPWQAA1F8U.jpg</v>
      </c>
      <c r="L51">
        <v>0</v>
      </c>
      <c r="M51">
        <v>0</v>
      </c>
      <c r="N51">
        <v>1</v>
      </c>
      <c r="O51">
        <v>0</v>
      </c>
    </row>
    <row r="52" spans="1:15" x14ac:dyDescent="0.2">
      <c r="A52" s="1" t="str">
        <f>HYPERLINK("http://www.twitter.com/banuakdenizli/status/1604099944880668672", "1604099944880668672")</f>
        <v>1604099944880668672</v>
      </c>
      <c r="B52" t="s">
        <v>15</v>
      </c>
      <c r="C52" s="2">
        <v>44912.544027777767</v>
      </c>
      <c r="D52">
        <v>0</v>
      </c>
      <c r="E52">
        <v>397</v>
      </c>
      <c r="F52" t="s">
        <v>51</v>
      </c>
      <c r="G52" t="s">
        <v>91</v>
      </c>
      <c r="H52" t="str">
        <f>HYPERLINK("https://video.twimg.com/ext_tw_video/1604085432102313985/pu/vid/720x1280/KWcm1fWj0uY8CfLB.mp4?tag=12", "https://video.twimg.com/ext_tw_video/1604085432102313985/pu/vid/720x1280/KWcm1fWj0uY8CfLB.mp4?tag=12")</f>
        <v>https://video.twimg.com/ext_tw_video/1604085432102313985/pu/vid/720x1280/KWcm1fWj0uY8CfLB.mp4?tag=12</v>
      </c>
      <c r="L52">
        <v>0</v>
      </c>
      <c r="M52">
        <v>0</v>
      </c>
      <c r="N52">
        <v>1</v>
      </c>
      <c r="O52">
        <v>0</v>
      </c>
    </row>
    <row r="53" spans="1:15" x14ac:dyDescent="0.2">
      <c r="A53" s="1" t="str">
        <f>HYPERLINK("http://www.twitter.com/banuakdenizli/status/1604096700095815680", "1604096700095815680")</f>
        <v>1604096700095815680</v>
      </c>
      <c r="B53" t="s">
        <v>15</v>
      </c>
      <c r="C53" s="2">
        <v>44912.535069444442</v>
      </c>
      <c r="D53">
        <v>0</v>
      </c>
      <c r="E53">
        <v>19</v>
      </c>
      <c r="F53" t="s">
        <v>92</v>
      </c>
      <c r="G53" t="s">
        <v>93</v>
      </c>
      <c r="H53" t="str">
        <f>HYPERLINK("http://pbs.twimg.com/media/FkH8WikXkAEolZH.jpg", "http://pbs.twimg.com/media/FkH8WikXkAEolZH.jpg")</f>
        <v>http://pbs.twimg.com/media/FkH8WikXkAEolZH.jpg</v>
      </c>
      <c r="L53">
        <v>0</v>
      </c>
      <c r="M53">
        <v>0</v>
      </c>
      <c r="N53">
        <v>1</v>
      </c>
      <c r="O53">
        <v>0</v>
      </c>
    </row>
    <row r="54" spans="1:15" x14ac:dyDescent="0.2">
      <c r="A54" s="1" t="str">
        <f>HYPERLINK("http://www.twitter.com/banuakdenizli/status/1604090423001112579", "1604090423001112579")</f>
        <v>1604090423001112579</v>
      </c>
      <c r="B54" t="s">
        <v>15</v>
      </c>
      <c r="C54" s="2">
        <v>44912.517754629633</v>
      </c>
      <c r="D54">
        <v>0</v>
      </c>
      <c r="E54">
        <v>288</v>
      </c>
      <c r="F54" t="s">
        <v>94</v>
      </c>
      <c r="G54" t="s">
        <v>95</v>
      </c>
      <c r="H54" t="str">
        <f>HYPERLINK("http://pbs.twimg.com/media/FkHa_3QXwBUmEsK.jpg", "http://pbs.twimg.com/media/FkHa_3QXwBUmEsK.jpg")</f>
        <v>http://pbs.twimg.com/media/FkHa_3QXwBUmEsK.jpg</v>
      </c>
      <c r="L54">
        <v>0</v>
      </c>
      <c r="M54">
        <v>0</v>
      </c>
      <c r="N54">
        <v>1</v>
      </c>
      <c r="O54">
        <v>0</v>
      </c>
    </row>
    <row r="55" spans="1:15" x14ac:dyDescent="0.2">
      <c r="A55" s="1" t="str">
        <f>HYPERLINK("http://www.twitter.com/banuakdenizli/status/1603854055868141605", "1603854055868141605")</f>
        <v>1603854055868141605</v>
      </c>
      <c r="B55" t="s">
        <v>15</v>
      </c>
      <c r="C55" s="2">
        <v>44911.865497685183</v>
      </c>
      <c r="D55">
        <v>0</v>
      </c>
      <c r="E55">
        <v>9</v>
      </c>
      <c r="F55" t="s">
        <v>78</v>
      </c>
      <c r="G55" t="s">
        <v>96</v>
      </c>
      <c r="H55" t="str">
        <f>HYPERLINK("https://video.twimg.com/amplify_video/1603833270290026496/vid/1920x1080/8NLkd7Lztq2U0JjN.mp4?tag=16", "https://video.twimg.com/amplify_video/1603833270290026496/vid/1920x1080/8NLkd7Lztq2U0JjN.mp4?tag=16")</f>
        <v>https://video.twimg.com/amplify_video/1603833270290026496/vid/1920x1080/8NLkd7Lztq2U0JjN.mp4?tag=16</v>
      </c>
      <c r="L55">
        <v>0</v>
      </c>
      <c r="M55">
        <v>0</v>
      </c>
      <c r="N55">
        <v>1</v>
      </c>
      <c r="O55">
        <v>0</v>
      </c>
    </row>
    <row r="56" spans="1:15" x14ac:dyDescent="0.2">
      <c r="A56" s="1" t="str">
        <f>HYPERLINK("http://www.twitter.com/banuakdenizli/status/1603854029737627660", "1603854029737627660")</f>
        <v>1603854029737627660</v>
      </c>
      <c r="B56" t="s">
        <v>15</v>
      </c>
      <c r="C56" s="2">
        <v>44911.865428240737</v>
      </c>
      <c r="D56">
        <v>0</v>
      </c>
      <c r="E56">
        <v>9</v>
      </c>
      <c r="F56" t="s">
        <v>78</v>
      </c>
      <c r="G56" t="s">
        <v>97</v>
      </c>
      <c r="H56" t="str">
        <f>HYPERLINK("https://video.twimg.com/amplify_video/1603832166927974400/vid/1920x1080/KlIEiQif-Hm0eoW7.mp4?tag=16", "https://video.twimg.com/amplify_video/1603832166927974400/vid/1920x1080/KlIEiQif-Hm0eoW7.mp4?tag=16")</f>
        <v>https://video.twimg.com/amplify_video/1603832166927974400/vid/1920x1080/KlIEiQif-Hm0eoW7.mp4?tag=16</v>
      </c>
      <c r="L56">
        <v>0</v>
      </c>
      <c r="M56">
        <v>0</v>
      </c>
      <c r="N56">
        <v>1</v>
      </c>
      <c r="O56">
        <v>0</v>
      </c>
    </row>
    <row r="57" spans="1:15" x14ac:dyDescent="0.2">
      <c r="A57" s="1" t="str">
        <f>HYPERLINK("http://www.twitter.com/banuakdenizli/status/1603853949584478214", "1603853949584478214")</f>
        <v>1603853949584478214</v>
      </c>
      <c r="B57" t="s">
        <v>15</v>
      </c>
      <c r="C57" s="2">
        <v>44911.865208333344</v>
      </c>
      <c r="D57">
        <v>0</v>
      </c>
      <c r="E57">
        <v>7</v>
      </c>
      <c r="F57" t="s">
        <v>78</v>
      </c>
      <c r="G57" t="s">
        <v>98</v>
      </c>
      <c r="H57" t="str">
        <f>HYPERLINK("https://video.twimg.com/amplify_video/1603837707477827584/vid/1920x1080/eR01r4u2R1ENLyp0.mp4?tag=16", "https://video.twimg.com/amplify_video/1603837707477827584/vid/1920x1080/eR01r4u2R1ENLyp0.mp4?tag=16")</f>
        <v>https://video.twimg.com/amplify_video/1603837707477827584/vid/1920x1080/eR01r4u2R1ENLyp0.mp4?tag=16</v>
      </c>
      <c r="L57">
        <v>0</v>
      </c>
      <c r="M57">
        <v>0</v>
      </c>
      <c r="N57">
        <v>1</v>
      </c>
      <c r="O57">
        <v>0</v>
      </c>
    </row>
    <row r="58" spans="1:15" x14ac:dyDescent="0.2">
      <c r="A58" s="1" t="str">
        <f>HYPERLINK("http://www.twitter.com/banuakdenizli/status/1603831216205094913", "1603831216205094913")</f>
        <v>1603831216205094913</v>
      </c>
      <c r="B58" t="s">
        <v>15</v>
      </c>
      <c r="C58" s="2">
        <v>44911.802476851852</v>
      </c>
      <c r="D58">
        <v>0</v>
      </c>
      <c r="E58">
        <v>11</v>
      </c>
      <c r="F58" t="s">
        <v>78</v>
      </c>
      <c r="G58" t="s">
        <v>99</v>
      </c>
      <c r="H58" t="str">
        <f>HYPERLINK("https://video.twimg.com/amplify_video/1603825721553690625/vid/1920x1080/ayRgGqH8Qa8bgJ23.mp4?tag=16", "https://video.twimg.com/amplify_video/1603825721553690625/vid/1920x1080/ayRgGqH8Qa8bgJ23.mp4?tag=16")</f>
        <v>https://video.twimg.com/amplify_video/1603825721553690625/vid/1920x1080/ayRgGqH8Qa8bgJ23.mp4?tag=16</v>
      </c>
      <c r="L58">
        <v>0</v>
      </c>
      <c r="M58">
        <v>0</v>
      </c>
      <c r="N58">
        <v>1</v>
      </c>
      <c r="O58">
        <v>0</v>
      </c>
    </row>
    <row r="59" spans="1:15" x14ac:dyDescent="0.2">
      <c r="A59" s="1" t="str">
        <f>HYPERLINK("http://www.twitter.com/banuakdenizli/status/1603626073438273536", "1603626073438273536")</f>
        <v>1603626073438273536</v>
      </c>
      <c r="B59" t="s">
        <v>15</v>
      </c>
      <c r="C59" s="2">
        <v>44911.236388888887</v>
      </c>
      <c r="D59">
        <v>0</v>
      </c>
      <c r="E59">
        <v>63</v>
      </c>
      <c r="F59" t="s">
        <v>54</v>
      </c>
      <c r="G59" t="s">
        <v>100</v>
      </c>
      <c r="H59" t="str">
        <f>HYPERLINK("http://pbs.twimg.com/media/FkAhoV3WQAAyHa9.jpg", "http://pbs.twimg.com/media/FkAhoV3WQAAyHa9.jpg")</f>
        <v>http://pbs.twimg.com/media/FkAhoV3WQAAyHa9.jpg</v>
      </c>
      <c r="L59">
        <v>0</v>
      </c>
      <c r="M59">
        <v>0</v>
      </c>
      <c r="N59">
        <v>1</v>
      </c>
      <c r="O59">
        <v>0</v>
      </c>
    </row>
    <row r="60" spans="1:15" x14ac:dyDescent="0.2">
      <c r="A60" s="1" t="str">
        <f>HYPERLINK("http://www.twitter.com/banuakdenizli/status/1603353373125890049", "1603353373125890049")</f>
        <v>1603353373125890049</v>
      </c>
      <c r="B60" t="s">
        <v>15</v>
      </c>
      <c r="C60" s="2">
        <v>44910.483877314808</v>
      </c>
      <c r="D60">
        <v>0</v>
      </c>
      <c r="E60">
        <v>484</v>
      </c>
      <c r="F60" t="s">
        <v>101</v>
      </c>
      <c r="G60" t="s">
        <v>102</v>
      </c>
      <c r="H60" t="str">
        <f>HYPERLINK("https://video.twimg.com/ext_tw_video/1602996578377162752/pu/vid/480x848/x1DeFqa_-oCFI1oO.mp4?tag=12", "https://video.twimg.com/ext_tw_video/1602996578377162752/pu/vid/480x848/x1DeFqa_-oCFI1oO.mp4?tag=12")</f>
        <v>https://video.twimg.com/ext_tw_video/1602996578377162752/pu/vid/480x848/x1DeFqa_-oCFI1oO.mp4?tag=12</v>
      </c>
      <c r="L60">
        <v>0.20230000000000001</v>
      </c>
      <c r="M60">
        <v>0</v>
      </c>
      <c r="N60">
        <v>0.85899999999999999</v>
      </c>
      <c r="O60">
        <v>0.14099999999999999</v>
      </c>
    </row>
    <row r="61" spans="1:15" x14ac:dyDescent="0.2">
      <c r="A61" s="1" t="str">
        <f>HYPERLINK("http://www.twitter.com/banuakdenizli/status/1603346648591130624", "1603346648591130624")</f>
        <v>1603346648591130624</v>
      </c>
      <c r="B61" t="s">
        <v>15</v>
      </c>
      <c r="C61" s="2">
        <v>44910.465324074074</v>
      </c>
      <c r="D61">
        <v>0</v>
      </c>
      <c r="E61">
        <v>8</v>
      </c>
      <c r="F61" t="s">
        <v>103</v>
      </c>
      <c r="G61" t="s">
        <v>104</v>
      </c>
      <c r="H61" t="str">
        <f>HYPERLINK("https://video.twimg.com/amplify_video/1603148184959729667/vid/1920x1080/1w8Y2F-_sq8F0iWY.mp4?tag=16", "https://video.twimg.com/amplify_video/1603148184959729667/vid/1920x1080/1w8Y2F-_sq8F0iWY.mp4?tag=16")</f>
        <v>https://video.twimg.com/amplify_video/1603148184959729667/vid/1920x1080/1w8Y2F-_sq8F0iWY.mp4?tag=16</v>
      </c>
      <c r="L61">
        <v>0</v>
      </c>
      <c r="M61">
        <v>0</v>
      </c>
      <c r="N61">
        <v>1</v>
      </c>
      <c r="O61">
        <v>0</v>
      </c>
    </row>
    <row r="62" spans="1:15" x14ac:dyDescent="0.2">
      <c r="A62" s="1" t="str">
        <f>HYPERLINK("http://www.twitter.com/banuakdenizli/status/1603340619761459202", "1603340619761459202")</f>
        <v>1603340619761459202</v>
      </c>
      <c r="B62" t="s">
        <v>15</v>
      </c>
      <c r="C62" s="2">
        <v>44910.448692129627</v>
      </c>
      <c r="D62">
        <v>0</v>
      </c>
      <c r="E62">
        <v>6</v>
      </c>
      <c r="F62" t="s">
        <v>18</v>
      </c>
      <c r="G62" t="s">
        <v>105</v>
      </c>
      <c r="L62">
        <v>0</v>
      </c>
      <c r="M62">
        <v>0</v>
      </c>
      <c r="N62">
        <v>1</v>
      </c>
      <c r="O62">
        <v>0</v>
      </c>
    </row>
    <row r="63" spans="1:15" x14ac:dyDescent="0.2">
      <c r="A63" s="1" t="str">
        <f>HYPERLINK("http://www.twitter.com/banuakdenizli/status/1603339071748710401", "1603339071748710401")</f>
        <v>1603339071748710401</v>
      </c>
      <c r="B63" t="s">
        <v>15</v>
      </c>
      <c r="C63" s="2">
        <v>44910.444409722222</v>
      </c>
      <c r="D63">
        <v>0</v>
      </c>
      <c r="E63">
        <v>74</v>
      </c>
      <c r="F63" t="s">
        <v>106</v>
      </c>
      <c r="G63" t="s">
        <v>107</v>
      </c>
      <c r="H63" t="str">
        <f>HYPERLINK("https://video.twimg.com/ext_tw_video/1603137508769931264/pu/vid/1280x720/ac0wowmX7jDcLTGC.mp4?tag=12", "https://video.twimg.com/ext_tw_video/1603137508769931264/pu/vid/1280x720/ac0wowmX7jDcLTGC.mp4?tag=12")</f>
        <v>https://video.twimg.com/ext_tw_video/1603137508769931264/pu/vid/1280x720/ac0wowmX7jDcLTGC.mp4?tag=12</v>
      </c>
      <c r="L63">
        <v>0</v>
      </c>
      <c r="M63">
        <v>0</v>
      </c>
      <c r="N63">
        <v>1</v>
      </c>
      <c r="O63">
        <v>0</v>
      </c>
    </row>
    <row r="64" spans="1:15" x14ac:dyDescent="0.2">
      <c r="A64" s="1" t="str">
        <f>HYPERLINK("http://www.twitter.com/banuakdenizli/status/1603339055588118530", "1603339055588118530")</f>
        <v>1603339055588118530</v>
      </c>
      <c r="B64" t="s">
        <v>15</v>
      </c>
      <c r="C64" s="2">
        <v>44910.444374999999</v>
      </c>
      <c r="D64">
        <v>0</v>
      </c>
      <c r="E64">
        <v>121</v>
      </c>
      <c r="F64" t="s">
        <v>106</v>
      </c>
      <c r="G64" t="s">
        <v>108</v>
      </c>
      <c r="H64" t="str">
        <f>HYPERLINK("https://video.twimg.com/ext_tw_video/1603136240664121345/pu/vid/1280x720/oVD_O4beFg_8EGo9.mp4?tag=12", "https://video.twimg.com/ext_tw_video/1603136240664121345/pu/vid/1280x720/oVD_O4beFg_8EGo9.mp4?tag=12")</f>
        <v>https://video.twimg.com/ext_tw_video/1603136240664121345/pu/vid/1280x720/oVD_O4beFg_8EGo9.mp4?tag=12</v>
      </c>
      <c r="L64">
        <v>0</v>
      </c>
      <c r="M64">
        <v>0</v>
      </c>
      <c r="N64">
        <v>1</v>
      </c>
      <c r="O64">
        <v>0</v>
      </c>
    </row>
    <row r="65" spans="1:15" x14ac:dyDescent="0.2">
      <c r="A65" s="1" t="str">
        <f>HYPERLINK("http://www.twitter.com/banuakdenizli/status/1603338497057820672", "1603338497057820672")</f>
        <v>1603338497057820672</v>
      </c>
      <c r="B65" t="s">
        <v>15</v>
      </c>
      <c r="C65" s="2">
        <v>44910.442824074067</v>
      </c>
      <c r="D65">
        <v>0</v>
      </c>
      <c r="E65">
        <v>41</v>
      </c>
      <c r="F65" t="s">
        <v>109</v>
      </c>
      <c r="G65" t="s">
        <v>110</v>
      </c>
      <c r="H65" t="str">
        <f>HYPERLINK("https://video.twimg.com/amplify_video/1603136125564067841/vid/1280x720/iUznCqAeER2QcLPk.mp4?tag=16", "https://video.twimg.com/amplify_video/1603136125564067841/vid/1280x720/iUznCqAeER2QcLPk.mp4?tag=16")</f>
        <v>https://video.twimg.com/amplify_video/1603136125564067841/vid/1280x720/iUznCqAeER2QcLPk.mp4?tag=16</v>
      </c>
      <c r="L65">
        <v>0.45879999999999999</v>
      </c>
      <c r="M65">
        <v>0</v>
      </c>
      <c r="N65">
        <v>0.92900000000000005</v>
      </c>
      <c r="O65">
        <v>7.0999999999999994E-2</v>
      </c>
    </row>
    <row r="66" spans="1:15" x14ac:dyDescent="0.2">
      <c r="A66" s="1" t="str">
        <f>HYPERLINK("http://www.twitter.com/banuakdenizli/status/1603252444380958722", "1603252444380958722")</f>
        <v>1603252444380958722</v>
      </c>
      <c r="B66" t="s">
        <v>15</v>
      </c>
      <c r="C66" s="2">
        <v>44910.205370370371</v>
      </c>
      <c r="D66">
        <v>0</v>
      </c>
      <c r="E66">
        <v>2443</v>
      </c>
      <c r="F66" t="s">
        <v>51</v>
      </c>
      <c r="G66" t="s">
        <v>111</v>
      </c>
      <c r="H66" t="str">
        <f>HYPERLINK("https://video.twimg.com/ext_tw_video/1603189454822318081/pu/vid/720x1280/svgZJq615krYu7wh.mp4?tag=12", "https://video.twimg.com/ext_tw_video/1603189454822318081/pu/vid/720x1280/svgZJq615krYu7wh.mp4?tag=12")</f>
        <v>https://video.twimg.com/ext_tw_video/1603189454822318081/pu/vid/720x1280/svgZJq615krYu7wh.mp4?tag=12</v>
      </c>
      <c r="L66">
        <v>0</v>
      </c>
      <c r="M66">
        <v>0</v>
      </c>
      <c r="N66">
        <v>1</v>
      </c>
      <c r="O66">
        <v>0</v>
      </c>
    </row>
    <row r="67" spans="1:15" x14ac:dyDescent="0.2">
      <c r="A67" s="1" t="str">
        <f>HYPERLINK("http://www.twitter.com/banuakdenizli/status/1603167391214616578", "1603167391214616578")</f>
        <v>1603167391214616578</v>
      </c>
      <c r="B67" t="s">
        <v>15</v>
      </c>
      <c r="C67" s="2">
        <v>44909.970671296287</v>
      </c>
      <c r="D67">
        <v>0</v>
      </c>
      <c r="E67">
        <v>173</v>
      </c>
      <c r="F67" t="s">
        <v>112</v>
      </c>
      <c r="G67" t="s">
        <v>113</v>
      </c>
      <c r="H67" t="str">
        <f>HYPERLINK("https://video.twimg.com/amplify_video/1603143629572390923/vid/1920x1080/xwKbgmSRMs-A_LSz.mp4?tag=16", "https://video.twimg.com/amplify_video/1603143629572390923/vid/1920x1080/xwKbgmSRMs-A_LSz.mp4?tag=16")</f>
        <v>https://video.twimg.com/amplify_video/1603143629572390923/vid/1920x1080/xwKbgmSRMs-A_LSz.mp4?tag=16</v>
      </c>
      <c r="L67">
        <v>0</v>
      </c>
      <c r="M67">
        <v>0</v>
      </c>
      <c r="N67">
        <v>1</v>
      </c>
      <c r="O67">
        <v>0</v>
      </c>
    </row>
    <row r="68" spans="1:15" x14ac:dyDescent="0.2">
      <c r="A68" s="1" t="str">
        <f>HYPERLINK("http://www.twitter.com/banuakdenizli/status/1603167019989442560", "1603167019989442560")</f>
        <v>1603167019989442560</v>
      </c>
      <c r="B68" t="s">
        <v>15</v>
      </c>
      <c r="C68" s="2">
        <v>44909.969641203701</v>
      </c>
      <c r="D68">
        <v>0</v>
      </c>
      <c r="E68">
        <v>12</v>
      </c>
      <c r="F68" t="s">
        <v>114</v>
      </c>
      <c r="G68" t="s">
        <v>115</v>
      </c>
      <c r="L68">
        <v>0</v>
      </c>
      <c r="M68">
        <v>0</v>
      </c>
      <c r="N68">
        <v>1</v>
      </c>
      <c r="O68">
        <v>0</v>
      </c>
    </row>
    <row r="69" spans="1:15" x14ac:dyDescent="0.2">
      <c r="A69" s="1" t="str">
        <f>HYPERLINK("http://www.twitter.com/banuakdenizli/status/1603157052104359936", "1603157052104359936")</f>
        <v>1603157052104359936</v>
      </c>
      <c r="B69" t="s">
        <v>15</v>
      </c>
      <c r="C69" s="2">
        <v>44909.942141203697</v>
      </c>
      <c r="D69">
        <v>0</v>
      </c>
      <c r="E69">
        <v>22</v>
      </c>
      <c r="F69" t="s">
        <v>103</v>
      </c>
      <c r="G69" t="s">
        <v>116</v>
      </c>
      <c r="H69" t="str">
        <f>HYPERLINK("http://pbs.twimg.com/media/Fj989FCWQAMMPtz.jpg", "http://pbs.twimg.com/media/Fj989FCWQAMMPtz.jpg")</f>
        <v>http://pbs.twimg.com/media/Fj989FCWQAMMPtz.jpg</v>
      </c>
      <c r="I69" t="str">
        <f>HYPERLINK("http://pbs.twimg.com/media/Fj989E-X0AIeDij.jpg", "http://pbs.twimg.com/media/Fj989E-X0AIeDij.jpg")</f>
        <v>http://pbs.twimg.com/media/Fj989E-X0AIeDij.jpg</v>
      </c>
      <c r="J69" t="str">
        <f>HYPERLINK("http://pbs.twimg.com/media/Fj989E-WQAMBKbc.jpg", "http://pbs.twimg.com/media/Fj989E-WQAMBKbc.jpg")</f>
        <v>http://pbs.twimg.com/media/Fj989E-WQAMBKbc.jpg</v>
      </c>
      <c r="L69">
        <v>0</v>
      </c>
      <c r="M69">
        <v>0</v>
      </c>
      <c r="N69">
        <v>1</v>
      </c>
      <c r="O69">
        <v>0</v>
      </c>
    </row>
    <row r="70" spans="1:15" x14ac:dyDescent="0.2">
      <c r="A70" s="1" t="str">
        <f>HYPERLINK("http://www.twitter.com/banuakdenizli/status/1603156760084287491", "1603156760084287491")</f>
        <v>1603156760084287491</v>
      </c>
      <c r="B70" t="s">
        <v>15</v>
      </c>
      <c r="C70" s="2">
        <v>44909.941331018519</v>
      </c>
      <c r="D70">
        <v>0</v>
      </c>
      <c r="E70">
        <v>1344</v>
      </c>
      <c r="F70" t="s">
        <v>51</v>
      </c>
      <c r="G70" t="s">
        <v>117</v>
      </c>
      <c r="H70" t="str">
        <f>HYPERLINK("https://video.twimg.com/amplify_video/1603143192169545729/vid/1080x1920/Dz7_hTSUvRlU490f.mp4?tag=16", "https://video.twimg.com/amplify_video/1603143192169545729/vid/1080x1920/Dz7_hTSUvRlU490f.mp4?tag=16")</f>
        <v>https://video.twimg.com/amplify_video/1603143192169545729/vid/1080x1920/Dz7_hTSUvRlU490f.mp4?tag=16</v>
      </c>
      <c r="L70">
        <v>0</v>
      </c>
      <c r="M70">
        <v>0</v>
      </c>
      <c r="N70">
        <v>1</v>
      </c>
      <c r="O70">
        <v>0</v>
      </c>
    </row>
    <row r="71" spans="1:15" x14ac:dyDescent="0.2">
      <c r="A71" s="1" t="str">
        <f>HYPERLINK("http://www.twitter.com/banuakdenizli/status/1603151201473892353", "1603151201473892353")</f>
        <v>1603151201473892353</v>
      </c>
      <c r="B71" t="s">
        <v>15</v>
      </c>
      <c r="C71" s="2">
        <v>44909.925995370373</v>
      </c>
      <c r="D71">
        <v>0</v>
      </c>
      <c r="E71">
        <v>35944</v>
      </c>
      <c r="F71" t="s">
        <v>51</v>
      </c>
      <c r="G71" t="s">
        <v>118</v>
      </c>
      <c r="H71" t="str">
        <f>HYPERLINK("http://pbs.twimg.com/media/Fj93jfTWQAM_cyM.jpg", "http://pbs.twimg.com/media/Fj93jfTWQAM_cyM.jpg")</f>
        <v>http://pbs.twimg.com/media/Fj93jfTWQAM_cyM.jpg</v>
      </c>
      <c r="L71">
        <v>0</v>
      </c>
      <c r="M71">
        <v>0</v>
      </c>
      <c r="N71">
        <v>1</v>
      </c>
      <c r="O71">
        <v>0</v>
      </c>
    </row>
    <row r="72" spans="1:15" x14ac:dyDescent="0.2">
      <c r="A72" s="1" t="str">
        <f>HYPERLINK("http://www.twitter.com/banuakdenizli/status/1603150887341510659", "1603150887341510659")</f>
        <v>1603150887341510659</v>
      </c>
      <c r="B72" t="s">
        <v>15</v>
      </c>
      <c r="C72" s="2">
        <v>44909.925127314818</v>
      </c>
      <c r="D72">
        <v>0</v>
      </c>
      <c r="E72">
        <v>43</v>
      </c>
      <c r="F72" t="s">
        <v>56</v>
      </c>
      <c r="G72" t="s">
        <v>119</v>
      </c>
      <c r="H72" t="str">
        <f>HYPERLINK("http://pbs.twimg.com/media/Fj-CSciXkAMWgM0.jpg", "http://pbs.twimg.com/media/Fj-CSciXkAMWgM0.jpg")</f>
        <v>http://pbs.twimg.com/media/Fj-CSciXkAMWgM0.jpg</v>
      </c>
      <c r="I72" t="str">
        <f>HYPERLINK("http://pbs.twimg.com/media/Fj-CScdWYAApso1.jpg", "http://pbs.twimg.com/media/Fj-CScdWYAApso1.jpg")</f>
        <v>http://pbs.twimg.com/media/Fj-CScdWYAApso1.jpg</v>
      </c>
      <c r="J72" t="str">
        <f>HYPERLINK("http://pbs.twimg.com/media/Fj-CScUWAAM4pLY.jpg", "http://pbs.twimg.com/media/Fj-CScUWAAM4pLY.jpg")</f>
        <v>http://pbs.twimg.com/media/Fj-CScUWAAM4pLY.jpg</v>
      </c>
      <c r="K72" t="str">
        <f>HYPERLINK("http://pbs.twimg.com/media/Fj-CScmXgAAvNYI.jpg", "http://pbs.twimg.com/media/Fj-CScmXgAAvNYI.jpg")</f>
        <v>http://pbs.twimg.com/media/Fj-CScmXgAAvNYI.jpg</v>
      </c>
      <c r="L72">
        <v>0</v>
      </c>
      <c r="M72">
        <v>0</v>
      </c>
      <c r="N72">
        <v>1</v>
      </c>
      <c r="O72">
        <v>0</v>
      </c>
    </row>
    <row r="73" spans="1:15" x14ac:dyDescent="0.2">
      <c r="A73" s="1" t="str">
        <f>HYPERLINK("http://www.twitter.com/banuakdenizli/status/1603137939185311745", "1603137939185311745")</f>
        <v>1603137939185311745</v>
      </c>
      <c r="B73" t="s">
        <v>15</v>
      </c>
      <c r="C73" s="2">
        <v>44909.889398148152</v>
      </c>
      <c r="D73">
        <v>0</v>
      </c>
      <c r="E73">
        <v>29</v>
      </c>
      <c r="F73" t="s">
        <v>54</v>
      </c>
      <c r="G73" t="s">
        <v>120</v>
      </c>
      <c r="H73" t="str">
        <f>HYPERLINK("https://video.twimg.com/ext_tw_video/1603137712483188736/pu/vid/480x480/eRu0J0OdnvemfVfz.mp4?tag=12", "https://video.twimg.com/ext_tw_video/1603137712483188736/pu/vid/480x480/eRu0J0OdnvemfVfz.mp4?tag=12")</f>
        <v>https://video.twimg.com/ext_tw_video/1603137712483188736/pu/vid/480x480/eRu0J0OdnvemfVfz.mp4?tag=12</v>
      </c>
      <c r="L73">
        <v>0</v>
      </c>
      <c r="M73">
        <v>0</v>
      </c>
      <c r="N73">
        <v>1</v>
      </c>
      <c r="O73">
        <v>0</v>
      </c>
    </row>
    <row r="74" spans="1:15" x14ac:dyDescent="0.2">
      <c r="A74" s="1" t="str">
        <f>HYPERLINK("http://www.twitter.com/banuakdenizli/status/1603136371924705280", "1603136371924705280")</f>
        <v>1603136371924705280</v>
      </c>
      <c r="B74" t="s">
        <v>15</v>
      </c>
      <c r="C74" s="2">
        <v>44909.885069444441</v>
      </c>
      <c r="D74">
        <v>0</v>
      </c>
      <c r="E74">
        <v>7751</v>
      </c>
      <c r="F74" t="s">
        <v>17</v>
      </c>
      <c r="G74" t="s">
        <v>121</v>
      </c>
      <c r="H74" t="str">
        <f>HYPERLINK("http://pbs.twimg.com/media/Fj97u9RWAAADFMH.jpg", "http://pbs.twimg.com/media/Fj97u9RWAAADFMH.jpg")</f>
        <v>http://pbs.twimg.com/media/Fj97u9RWAAADFMH.jpg</v>
      </c>
      <c r="L74">
        <v>0</v>
      </c>
      <c r="M74">
        <v>0</v>
      </c>
      <c r="N74">
        <v>1</v>
      </c>
      <c r="O74">
        <v>0</v>
      </c>
    </row>
    <row r="75" spans="1:15" x14ac:dyDescent="0.2">
      <c r="A75" s="1" t="str">
        <f>HYPERLINK("http://www.twitter.com/banuakdenizli/status/1603136352954064902", "1603136352954064902")</f>
        <v>1603136352954064902</v>
      </c>
      <c r="B75" t="s">
        <v>15</v>
      </c>
      <c r="C75" s="2">
        <v>44909.885023148148</v>
      </c>
      <c r="D75">
        <v>15</v>
      </c>
      <c r="E75">
        <v>7</v>
      </c>
      <c r="G75" t="s">
        <v>122</v>
      </c>
      <c r="H75" t="str">
        <f>HYPERLINK("http://pbs.twimg.com/media/Fj98AYNWAAAME6T.jpg", "http://pbs.twimg.com/media/Fj98AYNWAAAME6T.jpg")</f>
        <v>http://pbs.twimg.com/media/Fj98AYNWAAAME6T.jpg</v>
      </c>
      <c r="L75">
        <v>0</v>
      </c>
      <c r="M75">
        <v>0</v>
      </c>
      <c r="N75">
        <v>1</v>
      </c>
      <c r="O75">
        <v>0</v>
      </c>
    </row>
    <row r="76" spans="1:15" x14ac:dyDescent="0.2">
      <c r="A76" s="1" t="str">
        <f>HYPERLINK("http://www.twitter.com/banuakdenizli/status/1603135924543827968", "1603135924543827968")</f>
        <v>1603135924543827968</v>
      </c>
      <c r="B76" t="s">
        <v>15</v>
      </c>
      <c r="C76" s="2">
        <v>44909.883831018517</v>
      </c>
      <c r="D76">
        <v>5</v>
      </c>
      <c r="E76">
        <v>1</v>
      </c>
      <c r="G76" t="s">
        <v>123</v>
      </c>
      <c r="H76" t="str">
        <f>HYPERLINK("http://pbs.twimg.com/media/Fj97nd5XEAEfbYK.jpg", "http://pbs.twimg.com/media/Fj97nd5XEAEfbYK.jpg")</f>
        <v>http://pbs.twimg.com/media/Fj97nd5XEAEfbYK.jpg</v>
      </c>
      <c r="L76">
        <v>0</v>
      </c>
      <c r="M76">
        <v>0</v>
      </c>
      <c r="N76">
        <v>1</v>
      </c>
      <c r="O76">
        <v>0</v>
      </c>
    </row>
    <row r="77" spans="1:15" x14ac:dyDescent="0.2">
      <c r="A77" s="1" t="str">
        <f>HYPERLINK("http://www.twitter.com/banuakdenizli/status/1603135277668749312", "1603135277668749312")</f>
        <v>1603135277668749312</v>
      </c>
      <c r="B77" t="s">
        <v>15</v>
      </c>
      <c r="C77" s="2">
        <v>44909.882048611107</v>
      </c>
      <c r="D77">
        <v>0</v>
      </c>
      <c r="E77">
        <v>6004</v>
      </c>
      <c r="F77" t="s">
        <v>17</v>
      </c>
      <c r="G77" t="s">
        <v>124</v>
      </c>
      <c r="H77" t="str">
        <f>HYPERLINK("http://pbs.twimg.com/media/Fj96Y_oX0AQCKkm.jpg", "http://pbs.twimg.com/media/Fj96Y_oX0AQCKkm.jpg")</f>
        <v>http://pbs.twimg.com/media/Fj96Y_oX0AQCKkm.jpg</v>
      </c>
      <c r="L77">
        <v>0</v>
      </c>
      <c r="M77">
        <v>0</v>
      </c>
      <c r="N77">
        <v>1</v>
      </c>
      <c r="O77">
        <v>0</v>
      </c>
    </row>
    <row r="78" spans="1:15" x14ac:dyDescent="0.2">
      <c r="A78" s="1" t="str">
        <f>HYPERLINK("http://www.twitter.com/banuakdenizli/status/1603130404747481088", "1603130404747481088")</f>
        <v>1603130404747481088</v>
      </c>
      <c r="B78" t="s">
        <v>15</v>
      </c>
      <c r="C78" s="2">
        <v>44909.86859953704</v>
      </c>
      <c r="D78">
        <v>0</v>
      </c>
      <c r="E78">
        <v>13226</v>
      </c>
      <c r="F78" t="s">
        <v>17</v>
      </c>
      <c r="G78" t="s">
        <v>125</v>
      </c>
      <c r="H78" t="str">
        <f>HYPERLINK("https://video.twimg.com/ext_tw_video/1603117727870341126/pu/vid/720x1280/_Gnx9YZ6CisLsA3g.mp4?tag=12", "https://video.twimg.com/ext_tw_video/1603117727870341126/pu/vid/720x1280/_Gnx9YZ6CisLsA3g.mp4?tag=12")</f>
        <v>https://video.twimg.com/ext_tw_video/1603117727870341126/pu/vid/720x1280/_Gnx9YZ6CisLsA3g.mp4?tag=12</v>
      </c>
      <c r="L78">
        <v>0</v>
      </c>
      <c r="M78">
        <v>0</v>
      </c>
      <c r="N78">
        <v>1</v>
      </c>
      <c r="O78">
        <v>0</v>
      </c>
    </row>
    <row r="79" spans="1:15" x14ac:dyDescent="0.2">
      <c r="A79" s="1" t="str">
        <f>HYPERLINK("http://www.twitter.com/banuakdenizli/status/1603118650873057280", "1603118650873057280")</f>
        <v>1603118650873057280</v>
      </c>
      <c r="B79" t="s">
        <v>15</v>
      </c>
      <c r="C79" s="2">
        <v>44909.836168981477</v>
      </c>
      <c r="D79">
        <v>0</v>
      </c>
      <c r="E79">
        <v>80</v>
      </c>
      <c r="F79" t="s">
        <v>24</v>
      </c>
      <c r="G79" t="s">
        <v>126</v>
      </c>
      <c r="H79" t="str">
        <f>HYPERLINK("http://pbs.twimg.com/media/Fj9neMAXoAAidr6.jpg", "http://pbs.twimg.com/media/Fj9neMAXoAAidr6.jpg")</f>
        <v>http://pbs.twimg.com/media/Fj9neMAXoAAidr6.jpg</v>
      </c>
      <c r="I79" t="str">
        <f>HYPERLINK("http://pbs.twimg.com/media/Fj9neMHWAAAs88y.jpg", "http://pbs.twimg.com/media/Fj9neMHWAAAs88y.jpg")</f>
        <v>http://pbs.twimg.com/media/Fj9neMHWAAAs88y.jpg</v>
      </c>
      <c r="L79">
        <v>0</v>
      </c>
      <c r="M79">
        <v>0</v>
      </c>
      <c r="N79">
        <v>1</v>
      </c>
      <c r="O79">
        <v>0</v>
      </c>
    </row>
    <row r="80" spans="1:15" x14ac:dyDescent="0.2">
      <c r="A80" s="1" t="str">
        <f>HYPERLINK("http://www.twitter.com/banuakdenizli/status/1603105794911879170", "1603105794911879170")</f>
        <v>1603105794911879170</v>
      </c>
      <c r="B80" t="s">
        <v>15</v>
      </c>
      <c r="C80" s="2">
        <v>44909.800694444442</v>
      </c>
      <c r="D80">
        <v>0</v>
      </c>
      <c r="E80">
        <v>2117</v>
      </c>
      <c r="F80" t="s">
        <v>17</v>
      </c>
      <c r="G80" t="s">
        <v>127</v>
      </c>
      <c r="H80" t="str">
        <f>HYPERLINK("https://video.twimg.com/ext_tw_video/1603103071269257217/pu/vid/720x1280/7kszVdOdFaI6oSum.mp4?tag=12", "https://video.twimg.com/ext_tw_video/1603103071269257217/pu/vid/720x1280/7kszVdOdFaI6oSum.mp4?tag=12")</f>
        <v>https://video.twimg.com/ext_tw_video/1603103071269257217/pu/vid/720x1280/7kszVdOdFaI6oSum.mp4?tag=12</v>
      </c>
      <c r="L80">
        <v>0</v>
      </c>
      <c r="M80">
        <v>0</v>
      </c>
      <c r="N80">
        <v>1</v>
      </c>
      <c r="O80">
        <v>0</v>
      </c>
    </row>
    <row r="81" spans="1:15" x14ac:dyDescent="0.2">
      <c r="A81" s="1" t="str">
        <f>HYPERLINK("http://www.twitter.com/banuakdenizli/status/1603105017871101952", "1603105017871101952")</f>
        <v>1603105017871101952</v>
      </c>
      <c r="B81" t="s">
        <v>15</v>
      </c>
      <c r="C81" s="2">
        <v>44909.79855324074</v>
      </c>
      <c r="D81">
        <v>11</v>
      </c>
      <c r="E81">
        <v>0</v>
      </c>
      <c r="G81" t="s">
        <v>128</v>
      </c>
      <c r="H81" t="str">
        <f>HYPERLINK("http://pbs.twimg.com/media/Fj9fgatXwAAFCMM.jpg", "http://pbs.twimg.com/media/Fj9fgatXwAAFCMM.jpg")</f>
        <v>http://pbs.twimg.com/media/Fj9fgatXwAAFCMM.jpg</v>
      </c>
      <c r="L81">
        <v>0</v>
      </c>
      <c r="M81">
        <v>0</v>
      </c>
      <c r="N81">
        <v>1</v>
      </c>
      <c r="O81">
        <v>0</v>
      </c>
    </row>
    <row r="82" spans="1:15" x14ac:dyDescent="0.2">
      <c r="A82" s="1" t="str">
        <f>HYPERLINK("http://www.twitter.com/banuakdenizli/status/1603104380059787265", "1603104380059787265")</f>
        <v>1603104380059787265</v>
      </c>
      <c r="B82" t="s">
        <v>15</v>
      </c>
      <c r="C82" s="2">
        <v>44909.796793981477</v>
      </c>
      <c r="D82">
        <v>0</v>
      </c>
      <c r="E82">
        <v>2771</v>
      </c>
      <c r="F82" t="s">
        <v>51</v>
      </c>
      <c r="G82" t="s">
        <v>129</v>
      </c>
      <c r="H82" t="str">
        <f>HYPERLINK("http://pbs.twimg.com/media/Fj9ewzmXEAkCuiq.jpg", "http://pbs.twimg.com/media/Fj9ewzmXEAkCuiq.jpg")</f>
        <v>http://pbs.twimg.com/media/Fj9ewzmXEAkCuiq.jpg</v>
      </c>
      <c r="L82">
        <v>0</v>
      </c>
      <c r="M82">
        <v>0</v>
      </c>
      <c r="N82">
        <v>1</v>
      </c>
      <c r="O82">
        <v>0</v>
      </c>
    </row>
    <row r="83" spans="1:15" x14ac:dyDescent="0.2">
      <c r="A83" s="1" t="str">
        <f>HYPERLINK("http://www.twitter.com/banuakdenizli/status/1603103681976696840", "1603103681976696840")</f>
        <v>1603103681976696840</v>
      </c>
      <c r="B83" t="s">
        <v>15</v>
      </c>
      <c r="C83" s="2">
        <v>44909.794861111113</v>
      </c>
      <c r="D83">
        <v>1</v>
      </c>
      <c r="E83">
        <v>0</v>
      </c>
      <c r="G83" t="s">
        <v>130</v>
      </c>
      <c r="H83" t="str">
        <f>HYPERLINK("http://pbs.twimg.com/media/Fj9eSpCWIAEKzCG.jpg", "http://pbs.twimg.com/media/Fj9eSpCWIAEKzCG.jpg")</f>
        <v>http://pbs.twimg.com/media/Fj9eSpCWIAEKzCG.jpg</v>
      </c>
      <c r="L83">
        <v>0</v>
      </c>
      <c r="M83">
        <v>0</v>
      </c>
      <c r="N83">
        <v>1</v>
      </c>
      <c r="O83">
        <v>0</v>
      </c>
    </row>
    <row r="84" spans="1:15" x14ac:dyDescent="0.2">
      <c r="A84" s="1" t="str">
        <f>HYPERLINK("http://www.twitter.com/banuakdenizli/status/1603102305653596162", "1603102305653596162")</f>
        <v>1603102305653596162</v>
      </c>
      <c r="B84" t="s">
        <v>15</v>
      </c>
      <c r="C84" s="2">
        <v>44909.791064814817</v>
      </c>
      <c r="D84">
        <v>0</v>
      </c>
      <c r="E84">
        <v>36</v>
      </c>
      <c r="F84" t="s">
        <v>56</v>
      </c>
      <c r="G84" t="s">
        <v>131</v>
      </c>
      <c r="H84" t="str">
        <f>HYPERLINK("http://pbs.twimg.com/media/Fj9cbfJWQAIjecW.jpg", "http://pbs.twimg.com/media/Fj9cbfJWQAIjecW.jpg")</f>
        <v>http://pbs.twimg.com/media/Fj9cbfJWQAIjecW.jpg</v>
      </c>
      <c r="I84" t="str">
        <f>HYPERLINK("http://pbs.twimg.com/media/Fj9cb6mXgAIlU_1.jpg", "http://pbs.twimg.com/media/Fj9cb6mXgAIlU_1.jpg")</f>
        <v>http://pbs.twimg.com/media/Fj9cb6mXgAIlU_1.jpg</v>
      </c>
      <c r="J84" t="str">
        <f>HYPERLINK("http://pbs.twimg.com/media/Fj9ccWbX0AA85ah.jpg", "http://pbs.twimg.com/media/Fj9ccWbX0AA85ah.jpg")</f>
        <v>http://pbs.twimg.com/media/Fj9ccWbX0AA85ah.jpg</v>
      </c>
      <c r="L84">
        <v>0.61140000000000005</v>
      </c>
      <c r="M84">
        <v>0</v>
      </c>
      <c r="N84">
        <v>0.9</v>
      </c>
      <c r="O84">
        <v>0.1</v>
      </c>
    </row>
    <row r="85" spans="1:15" x14ac:dyDescent="0.2">
      <c r="A85" s="1" t="str">
        <f>HYPERLINK("http://www.twitter.com/banuakdenizli/status/1603099126627172353", "1603099126627172353")</f>
        <v>1603099126627172353</v>
      </c>
      <c r="B85" t="s">
        <v>15</v>
      </c>
      <c r="C85" s="2">
        <v>44909.78229166667</v>
      </c>
      <c r="D85">
        <v>0</v>
      </c>
      <c r="E85">
        <v>8</v>
      </c>
      <c r="F85" t="s">
        <v>26</v>
      </c>
      <c r="G85" t="s">
        <v>132</v>
      </c>
      <c r="H85" t="str">
        <f>HYPERLINK("http://pbs.twimg.com/media/Fj9VeWBX0AAF-9U.jpg", "http://pbs.twimg.com/media/Fj9VeWBX0AAF-9U.jpg")</f>
        <v>http://pbs.twimg.com/media/Fj9VeWBX0AAF-9U.jpg</v>
      </c>
      <c r="L85">
        <v>0</v>
      </c>
      <c r="M85">
        <v>0</v>
      </c>
      <c r="N85">
        <v>1</v>
      </c>
      <c r="O85">
        <v>0</v>
      </c>
    </row>
    <row r="86" spans="1:15" x14ac:dyDescent="0.2">
      <c r="A86" s="1" t="str">
        <f>HYPERLINK("http://www.twitter.com/banuakdenizli/status/1603093586291347457", "1603093586291347457")</f>
        <v>1603093586291347457</v>
      </c>
      <c r="B86" t="s">
        <v>15</v>
      </c>
      <c r="C86" s="2">
        <v>44909.767002314817</v>
      </c>
      <c r="D86">
        <v>0</v>
      </c>
      <c r="E86">
        <v>463</v>
      </c>
      <c r="F86" t="s">
        <v>51</v>
      </c>
      <c r="G86" t="s">
        <v>133</v>
      </c>
      <c r="H86" t="str">
        <f>HYPERLINK("http://pbs.twimg.com/media/Fj9PjQOXEAIYetX.jpg", "http://pbs.twimg.com/media/Fj9PjQOXEAIYetX.jpg")</f>
        <v>http://pbs.twimg.com/media/Fj9PjQOXEAIYetX.jpg</v>
      </c>
      <c r="I86" t="str">
        <f>HYPERLINK("http://pbs.twimg.com/media/Fj9QYV6WIAIudo3.jpg", "http://pbs.twimg.com/media/Fj9QYV6WIAIudo3.jpg")</f>
        <v>http://pbs.twimg.com/media/Fj9QYV6WIAIudo3.jpg</v>
      </c>
      <c r="J86" t="str">
        <f>HYPERLINK("http://pbs.twimg.com/media/Fj9QORXXEAELmrZ.jpg", "http://pbs.twimg.com/media/Fj9QORXXEAELmrZ.jpg")</f>
        <v>http://pbs.twimg.com/media/Fj9QORXXEAELmrZ.jpg</v>
      </c>
      <c r="L86">
        <v>0</v>
      </c>
      <c r="M86">
        <v>0</v>
      </c>
      <c r="N86">
        <v>1</v>
      </c>
      <c r="O86">
        <v>0</v>
      </c>
    </row>
    <row r="87" spans="1:15" x14ac:dyDescent="0.2">
      <c r="A87" s="1" t="str">
        <f>HYPERLINK("http://www.twitter.com/banuakdenizli/status/1603093431919722496", "1603093431919722496")</f>
        <v>1603093431919722496</v>
      </c>
      <c r="B87" t="s">
        <v>15</v>
      </c>
      <c r="C87" s="2">
        <v>44909.766574074078</v>
      </c>
      <c r="D87">
        <v>0</v>
      </c>
      <c r="E87">
        <v>14</v>
      </c>
      <c r="F87" t="s">
        <v>78</v>
      </c>
      <c r="G87" t="s">
        <v>134</v>
      </c>
      <c r="H87" t="str">
        <f>HYPERLINK("https://video.twimg.com/amplify_video/1603092857522458624/vid/720x1280/nwnf2_kA6mR6NB37.mp4?tag=16", "https://video.twimg.com/amplify_video/1603092857522458624/vid/720x1280/nwnf2_kA6mR6NB37.mp4?tag=16")</f>
        <v>https://video.twimg.com/amplify_video/1603092857522458624/vid/720x1280/nwnf2_kA6mR6NB37.mp4?tag=16</v>
      </c>
      <c r="L87">
        <v>0</v>
      </c>
      <c r="M87">
        <v>0</v>
      </c>
      <c r="N87">
        <v>1</v>
      </c>
      <c r="O87">
        <v>0</v>
      </c>
    </row>
    <row r="88" spans="1:15" x14ac:dyDescent="0.2">
      <c r="A88" s="1" t="str">
        <f>HYPERLINK("http://www.twitter.com/banuakdenizli/status/1603089226014359553", "1603089226014359553")</f>
        <v>1603089226014359553</v>
      </c>
      <c r="B88" t="s">
        <v>15</v>
      </c>
      <c r="C88" s="2">
        <v>44909.754976851851</v>
      </c>
      <c r="D88">
        <v>0</v>
      </c>
      <c r="E88">
        <v>29</v>
      </c>
      <c r="F88" t="s">
        <v>103</v>
      </c>
      <c r="G88" t="s">
        <v>135</v>
      </c>
      <c r="H88" t="str">
        <f>HYPERLINK("https://video.twimg.com/ext_tw_video/1603086309442174976/pu/vid/720x1280/Z_yaIXy7BWdF7Evy.mp4?tag=12", "https://video.twimg.com/ext_tw_video/1603086309442174976/pu/vid/720x1280/Z_yaIXy7BWdF7Evy.mp4?tag=12")</f>
        <v>https://video.twimg.com/ext_tw_video/1603086309442174976/pu/vid/720x1280/Z_yaIXy7BWdF7Evy.mp4?tag=12</v>
      </c>
      <c r="L88">
        <v>0</v>
      </c>
      <c r="M88">
        <v>0</v>
      </c>
      <c r="N88">
        <v>1</v>
      </c>
      <c r="O88">
        <v>0</v>
      </c>
    </row>
    <row r="89" spans="1:15" x14ac:dyDescent="0.2">
      <c r="A89" s="1" t="str">
        <f>HYPERLINK("http://www.twitter.com/banuakdenizli/status/1603088797297774595", "1603088797297774595")</f>
        <v>1603088797297774595</v>
      </c>
      <c r="B89" t="s">
        <v>15</v>
      </c>
      <c r="C89" s="2">
        <v>44909.753784722219</v>
      </c>
      <c r="D89">
        <v>0</v>
      </c>
      <c r="E89">
        <v>9</v>
      </c>
      <c r="F89" t="s">
        <v>18</v>
      </c>
      <c r="G89" t="s">
        <v>136</v>
      </c>
      <c r="L89">
        <v>0</v>
      </c>
      <c r="M89">
        <v>0</v>
      </c>
      <c r="N89">
        <v>1</v>
      </c>
      <c r="O89">
        <v>0</v>
      </c>
    </row>
    <row r="90" spans="1:15" x14ac:dyDescent="0.2">
      <c r="A90" s="1" t="str">
        <f>HYPERLINK("http://www.twitter.com/banuakdenizli/status/1603087119651577858", "1603087119651577858")</f>
        <v>1603087119651577858</v>
      </c>
      <c r="B90" t="s">
        <v>15</v>
      </c>
      <c r="C90" s="2">
        <v>44909.749155092592</v>
      </c>
      <c r="D90">
        <v>0</v>
      </c>
      <c r="E90">
        <v>5</v>
      </c>
      <c r="F90" t="s">
        <v>78</v>
      </c>
      <c r="G90" t="s">
        <v>137</v>
      </c>
      <c r="H90" t="str">
        <f>HYPERLINK("http://pbs.twimg.com/media/Fj9Lv30WYAMCHuj.jpg", "http://pbs.twimg.com/media/Fj9Lv30WYAMCHuj.jpg")</f>
        <v>http://pbs.twimg.com/media/Fj9Lv30WYAMCHuj.jpg</v>
      </c>
      <c r="L90">
        <v>0</v>
      </c>
      <c r="M90">
        <v>0</v>
      </c>
      <c r="N90">
        <v>1</v>
      </c>
      <c r="O90">
        <v>0</v>
      </c>
    </row>
    <row r="91" spans="1:15" x14ac:dyDescent="0.2">
      <c r="A91" s="1" t="str">
        <f>HYPERLINK("http://www.twitter.com/banuakdenizli/status/1603085395704807424", "1603085395704807424")</f>
        <v>1603085395704807424</v>
      </c>
      <c r="B91" t="s">
        <v>15</v>
      </c>
      <c r="C91" s="2">
        <v>44909.744398148148</v>
      </c>
      <c r="D91">
        <v>0</v>
      </c>
      <c r="E91">
        <v>2</v>
      </c>
      <c r="F91" t="s">
        <v>25</v>
      </c>
      <c r="G91" t="s">
        <v>138</v>
      </c>
      <c r="H91" t="str">
        <f>HYPERLINK("http://pbs.twimg.com/media/Fj9JyeVXwAM75-U.jpg", "http://pbs.twimg.com/media/Fj9JyeVXwAM75-U.jpg")</f>
        <v>http://pbs.twimg.com/media/Fj9JyeVXwAM75-U.jpg</v>
      </c>
      <c r="I91" t="str">
        <f>HYPERLINK("http://pbs.twimg.com/media/Fj9JyesXgAEmevp.jpg", "http://pbs.twimg.com/media/Fj9JyesXgAEmevp.jpg")</f>
        <v>http://pbs.twimg.com/media/Fj9JyesXgAEmevp.jpg</v>
      </c>
      <c r="L91">
        <v>0</v>
      </c>
      <c r="M91">
        <v>0</v>
      </c>
      <c r="N91">
        <v>1</v>
      </c>
      <c r="O91">
        <v>0</v>
      </c>
    </row>
    <row r="92" spans="1:15" x14ac:dyDescent="0.2">
      <c r="A92" s="1" t="str">
        <f>HYPERLINK("http://www.twitter.com/banuakdenizli/status/1603083519118684160", "1603083519118684160")</f>
        <v>1603083519118684160</v>
      </c>
      <c r="B92" t="s">
        <v>15</v>
      </c>
      <c r="C92" s="2">
        <v>44909.739224537043</v>
      </c>
      <c r="D92">
        <v>0</v>
      </c>
      <c r="E92">
        <v>2528</v>
      </c>
      <c r="F92" t="s">
        <v>17</v>
      </c>
      <c r="G92" t="s">
        <v>139</v>
      </c>
      <c r="L92">
        <v>0.43890000000000001</v>
      </c>
      <c r="M92">
        <v>5.1999999999999998E-2</v>
      </c>
      <c r="N92">
        <v>0.83099999999999996</v>
      </c>
      <c r="O92">
        <v>0.11700000000000001</v>
      </c>
    </row>
    <row r="93" spans="1:15" x14ac:dyDescent="0.2">
      <c r="A93" s="1" t="str">
        <f>HYPERLINK("http://www.twitter.com/banuakdenizli/status/1603080459231326208", "1603080459231326208")</f>
        <v>1603080459231326208</v>
      </c>
      <c r="B93" t="s">
        <v>15</v>
      </c>
      <c r="C93" s="2">
        <v>44909.730775462973</v>
      </c>
      <c r="D93">
        <v>0</v>
      </c>
      <c r="E93">
        <v>12</v>
      </c>
      <c r="F93" t="s">
        <v>26</v>
      </c>
      <c r="G93" t="s">
        <v>140</v>
      </c>
      <c r="H93" t="str">
        <f>HYPERLINK("http://pbs.twimg.com/media/Fj9IiULX0AchL0B.jpg", "http://pbs.twimg.com/media/Fj9IiULX0AchL0B.jpg")</f>
        <v>http://pbs.twimg.com/media/Fj9IiULX0AchL0B.jpg</v>
      </c>
      <c r="L93">
        <v>0</v>
      </c>
      <c r="M93">
        <v>0</v>
      </c>
      <c r="N93">
        <v>1</v>
      </c>
      <c r="O93">
        <v>0</v>
      </c>
    </row>
    <row r="94" spans="1:15" x14ac:dyDescent="0.2">
      <c r="A94" s="1" t="str">
        <f>HYPERLINK("http://www.twitter.com/banuakdenizli/status/1603008591077978112", "1603008591077978112")</f>
        <v>1603008591077978112</v>
      </c>
      <c r="B94" t="s">
        <v>15</v>
      </c>
      <c r="C94" s="2">
        <v>44909.532465277778</v>
      </c>
      <c r="D94">
        <v>0</v>
      </c>
      <c r="E94">
        <v>3</v>
      </c>
      <c r="F94" t="s">
        <v>25</v>
      </c>
      <c r="G94" t="s">
        <v>141</v>
      </c>
      <c r="H94" t="str">
        <f>HYPERLINK("https://video.twimg.com/ext_tw_video/1603007923961077760/pu/vid/1280x720/-NMJi1zmELbvC4Xf.mp4?tag=12", "https://video.twimg.com/ext_tw_video/1603007923961077760/pu/vid/1280x720/-NMJi1zmELbvC4Xf.mp4?tag=12")</f>
        <v>https://video.twimg.com/ext_tw_video/1603007923961077760/pu/vid/1280x720/-NMJi1zmELbvC4Xf.mp4?tag=12</v>
      </c>
      <c r="L94">
        <v>0.49390000000000001</v>
      </c>
      <c r="M94">
        <v>0</v>
      </c>
      <c r="N94">
        <v>0.78100000000000003</v>
      </c>
      <c r="O94">
        <v>0.219</v>
      </c>
    </row>
    <row r="95" spans="1:15" x14ac:dyDescent="0.2">
      <c r="A95" s="1" t="str">
        <f>HYPERLINK("http://www.twitter.com/banuakdenizli/status/1602982436551462912", "1602982436551462912")</f>
        <v>1602982436551462912</v>
      </c>
      <c r="B95" t="s">
        <v>15</v>
      </c>
      <c r="C95" s="2">
        <v>44909.460289351853</v>
      </c>
      <c r="D95">
        <v>0</v>
      </c>
      <c r="E95">
        <v>1454</v>
      </c>
      <c r="F95" t="s">
        <v>51</v>
      </c>
      <c r="G95" t="s">
        <v>142</v>
      </c>
      <c r="H95" t="str">
        <f>HYPERLINK("http://pbs.twimg.com/media/Fj7fz5NXgAAlouZ.jpg", "http://pbs.twimg.com/media/Fj7fz5NXgAAlouZ.jpg")</f>
        <v>http://pbs.twimg.com/media/Fj7fz5NXgAAlouZ.jpg</v>
      </c>
      <c r="L95">
        <v>0</v>
      </c>
      <c r="M95">
        <v>0</v>
      </c>
      <c r="N95">
        <v>1</v>
      </c>
      <c r="O95">
        <v>0</v>
      </c>
    </row>
    <row r="96" spans="1:15" x14ac:dyDescent="0.2">
      <c r="A96" s="1" t="str">
        <f>HYPERLINK("http://www.twitter.com/banuakdenizli/status/1602928119811559424", "1602928119811559424")</f>
        <v>1602928119811559424</v>
      </c>
      <c r="B96" t="s">
        <v>15</v>
      </c>
      <c r="C96" s="2">
        <v>44909.31040509259</v>
      </c>
      <c r="D96">
        <v>0</v>
      </c>
      <c r="E96">
        <v>107</v>
      </c>
      <c r="F96" t="s">
        <v>54</v>
      </c>
      <c r="G96" t="s">
        <v>143</v>
      </c>
      <c r="H96" t="str">
        <f>HYPERLINK("http://pbs.twimg.com/media/FjtL3MOXEAAYF42.jpg", "http://pbs.twimg.com/media/FjtL3MOXEAAYF42.jpg")</f>
        <v>http://pbs.twimg.com/media/FjtL3MOXEAAYF42.jpg</v>
      </c>
      <c r="L96">
        <v>0</v>
      </c>
      <c r="M96">
        <v>0</v>
      </c>
      <c r="N96">
        <v>1</v>
      </c>
      <c r="O96">
        <v>0</v>
      </c>
    </row>
    <row r="97" spans="1:15" x14ac:dyDescent="0.2">
      <c r="A97" s="1" t="str">
        <f>HYPERLINK("http://www.twitter.com/banuakdenizli/status/1602928074282115072", "1602928074282115072")</f>
        <v>1602928074282115072</v>
      </c>
      <c r="B97" t="s">
        <v>15</v>
      </c>
      <c r="C97" s="2">
        <v>44909.310277777768</v>
      </c>
      <c r="D97">
        <v>0</v>
      </c>
      <c r="E97">
        <v>1</v>
      </c>
      <c r="F97" t="s">
        <v>144</v>
      </c>
      <c r="G97" t="s">
        <v>145</v>
      </c>
      <c r="H97" t="str">
        <f>HYPERLINK("http://pbs.twimg.com/media/Fj6zHt0XgAAgbdN.jpg", "http://pbs.twimg.com/media/Fj6zHt0XgAAgbdN.jpg")</f>
        <v>http://pbs.twimg.com/media/Fj6zHt0XgAAgbdN.jpg</v>
      </c>
      <c r="L97">
        <v>0</v>
      </c>
      <c r="M97">
        <v>0</v>
      </c>
      <c r="N97">
        <v>1</v>
      </c>
      <c r="O97">
        <v>0</v>
      </c>
    </row>
    <row r="98" spans="1:15" x14ac:dyDescent="0.2">
      <c r="A98" s="1" t="str">
        <f>HYPERLINK("http://www.twitter.com/banuakdenizli/status/1602926841286860800", "1602926841286860800")</f>
        <v>1602926841286860800</v>
      </c>
      <c r="B98" t="s">
        <v>15</v>
      </c>
      <c r="C98" s="2">
        <v>44909.306875000002</v>
      </c>
      <c r="D98">
        <v>0</v>
      </c>
      <c r="E98">
        <v>2872</v>
      </c>
      <c r="F98" t="s">
        <v>51</v>
      </c>
      <c r="G98" t="s">
        <v>146</v>
      </c>
      <c r="H98" t="str">
        <f>HYPERLINK("http://pbs.twimg.com/media/Fj5zD1UX0AA47xa.jpg", "http://pbs.twimg.com/media/Fj5zD1UX0AA47xa.jpg")</f>
        <v>http://pbs.twimg.com/media/Fj5zD1UX0AA47xa.jpg</v>
      </c>
      <c r="L98">
        <v>0</v>
      </c>
      <c r="M98">
        <v>0</v>
      </c>
      <c r="N98">
        <v>1</v>
      </c>
      <c r="O98">
        <v>0</v>
      </c>
    </row>
    <row r="99" spans="1:15" x14ac:dyDescent="0.2">
      <c r="A99" s="1" t="str">
        <f>HYPERLINK("http://www.twitter.com/banuakdenizli/status/1602926018259570688", "1602926018259570688")</f>
        <v>1602926018259570688</v>
      </c>
      <c r="B99" t="s">
        <v>15</v>
      </c>
      <c r="C99" s="2">
        <v>44909.304606481477</v>
      </c>
      <c r="D99">
        <v>0</v>
      </c>
      <c r="E99">
        <v>454</v>
      </c>
      <c r="F99" t="s">
        <v>51</v>
      </c>
      <c r="G99" t="s">
        <v>147</v>
      </c>
      <c r="H99" t="str">
        <f>HYPERLINK("http://pbs.twimg.com/media/Fj3Z5GJXoAAu_bF.jpg", "http://pbs.twimg.com/media/Fj3Z5GJXoAAu_bF.jpg")</f>
        <v>http://pbs.twimg.com/media/Fj3Z5GJXoAAu_bF.jpg</v>
      </c>
      <c r="L99">
        <v>0</v>
      </c>
      <c r="M99">
        <v>0</v>
      </c>
      <c r="N99">
        <v>1</v>
      </c>
      <c r="O99">
        <v>0</v>
      </c>
    </row>
    <row r="100" spans="1:15" x14ac:dyDescent="0.2">
      <c r="A100" s="1" t="str">
        <f>HYPERLINK("http://www.twitter.com/banuakdenizli/status/1602616050276761601", "1602616050276761601")</f>
        <v>1602616050276761601</v>
      </c>
      <c r="B100" t="s">
        <v>15</v>
      </c>
      <c r="C100" s="2">
        <v>44908.449259259258</v>
      </c>
      <c r="D100">
        <v>0</v>
      </c>
      <c r="E100">
        <v>362</v>
      </c>
      <c r="F100" t="s">
        <v>51</v>
      </c>
      <c r="G100" t="s">
        <v>148</v>
      </c>
      <c r="H100" t="str">
        <f>HYPERLINK("http://pbs.twimg.com/media/Fjy6yutWQAA3G9i.jpg", "http://pbs.twimg.com/media/Fjy6yutWQAA3G9i.jpg")</f>
        <v>http://pbs.twimg.com/media/Fjy6yutWQAA3G9i.jpg</v>
      </c>
      <c r="I100" t="str">
        <f>HYPERLINK("http://pbs.twimg.com/media/Fjy62f6XkBY-M5-.jpg", "http://pbs.twimg.com/media/Fjy62f6XkBY-M5-.jpg")</f>
        <v>http://pbs.twimg.com/media/Fjy62f6XkBY-M5-.jpg</v>
      </c>
      <c r="J100" t="str">
        <f>HYPERLINK("http://pbs.twimg.com/media/Fjy64I6XkA0xo81.jpg", "http://pbs.twimg.com/media/Fjy64I6XkA0xo81.jpg")</f>
        <v>http://pbs.twimg.com/media/Fjy64I6XkA0xo81.jpg</v>
      </c>
      <c r="L100">
        <v>0</v>
      </c>
      <c r="M100">
        <v>0</v>
      </c>
      <c r="N100">
        <v>1</v>
      </c>
      <c r="O100">
        <v>0</v>
      </c>
    </row>
    <row r="101" spans="1:15" x14ac:dyDescent="0.2">
      <c r="A101" s="1" t="str">
        <f>HYPERLINK("http://www.twitter.com/banuakdenizli/status/1602585628603973633", "1602585628603973633")</f>
        <v>1602585628603973633</v>
      </c>
      <c r="B101" t="s">
        <v>15</v>
      </c>
      <c r="C101" s="2">
        <v>44908.365312499998</v>
      </c>
      <c r="D101">
        <v>0</v>
      </c>
      <c r="E101">
        <v>575</v>
      </c>
      <c r="F101" t="s">
        <v>17</v>
      </c>
      <c r="G101" t="s">
        <v>149</v>
      </c>
      <c r="L101">
        <v>0</v>
      </c>
      <c r="M101">
        <v>0</v>
      </c>
      <c r="N101">
        <v>1</v>
      </c>
      <c r="O101">
        <v>0</v>
      </c>
    </row>
    <row r="102" spans="1:15" x14ac:dyDescent="0.2">
      <c r="A102" s="1" t="str">
        <f>HYPERLINK("http://www.twitter.com/banuakdenizli/status/1602548173901381632", "1602548173901381632")</f>
        <v>1602548173901381632</v>
      </c>
      <c r="B102" t="s">
        <v>15</v>
      </c>
      <c r="C102" s="2">
        <v>44908.261956018519</v>
      </c>
      <c r="D102">
        <v>0</v>
      </c>
      <c r="E102">
        <v>41</v>
      </c>
      <c r="F102" t="s">
        <v>19</v>
      </c>
      <c r="G102" t="s">
        <v>150</v>
      </c>
      <c r="H102" t="str">
        <f>HYPERLINK("http://pbs.twimg.com/media/FjyvUQOWQAArjmK.png", "http://pbs.twimg.com/media/FjyvUQOWQAArjmK.png")</f>
        <v>http://pbs.twimg.com/media/FjyvUQOWQAArjmK.png</v>
      </c>
      <c r="L102">
        <v>0</v>
      </c>
      <c r="M102">
        <v>0</v>
      </c>
      <c r="N102">
        <v>1</v>
      </c>
      <c r="O102">
        <v>0</v>
      </c>
    </row>
    <row r="103" spans="1:15" x14ac:dyDescent="0.2">
      <c r="A103" s="1" t="str">
        <f>HYPERLINK("http://www.twitter.com/banuakdenizli/status/1602345015619063809", "1602345015619063809")</f>
        <v>1602345015619063809</v>
      </c>
      <c r="B103" t="s">
        <v>15</v>
      </c>
      <c r="C103" s="2">
        <v>44907.701342592591</v>
      </c>
      <c r="D103">
        <v>0</v>
      </c>
      <c r="E103">
        <v>51</v>
      </c>
      <c r="F103" t="s">
        <v>20</v>
      </c>
      <c r="G103" t="s">
        <v>151</v>
      </c>
      <c r="H103" t="str">
        <f>HYPERLINK("https://video.twimg.com/amplify_video/1602322124089139202/vid/1280x720/ouHOm5C4dza1tvNv.mp4?tag=16", "https://video.twimg.com/amplify_video/1602322124089139202/vid/1280x720/ouHOm5C4dza1tvNv.mp4?tag=16")</f>
        <v>https://video.twimg.com/amplify_video/1602322124089139202/vid/1280x720/ouHOm5C4dza1tvNv.mp4?tag=16</v>
      </c>
      <c r="L103">
        <v>0</v>
      </c>
      <c r="M103">
        <v>0</v>
      </c>
      <c r="N103">
        <v>1</v>
      </c>
      <c r="O103">
        <v>0</v>
      </c>
    </row>
    <row r="104" spans="1:15" x14ac:dyDescent="0.2">
      <c r="A104" s="1" t="str">
        <f>HYPERLINK("http://www.twitter.com/banuakdenizli/status/1601981566871388162", "1601981566871388162")</f>
        <v>1601981566871388162</v>
      </c>
      <c r="B104" t="s">
        <v>15</v>
      </c>
      <c r="C104" s="2">
        <v>44906.698414351849</v>
      </c>
      <c r="D104">
        <v>0</v>
      </c>
      <c r="E104">
        <v>188</v>
      </c>
      <c r="F104" t="s">
        <v>152</v>
      </c>
      <c r="G104" t="s">
        <v>153</v>
      </c>
      <c r="H104" t="str">
        <f>HYPERLINK("http://pbs.twimg.com/media/FjrlhtdXwAA96o5.jpg", "http://pbs.twimg.com/media/FjrlhtdXwAA96o5.jpg")</f>
        <v>http://pbs.twimg.com/media/FjrlhtdXwAA96o5.jpg</v>
      </c>
      <c r="L104">
        <v>0</v>
      </c>
      <c r="M104">
        <v>0</v>
      </c>
      <c r="N104">
        <v>1</v>
      </c>
      <c r="O104">
        <v>0</v>
      </c>
    </row>
    <row r="105" spans="1:15" x14ac:dyDescent="0.2">
      <c r="A105" s="1" t="str">
        <f>HYPERLINK("http://www.twitter.com/banuakdenizli/status/1601963899334819840", "1601963899334819840")</f>
        <v>1601963899334819840</v>
      </c>
      <c r="B105" t="s">
        <v>15</v>
      </c>
      <c r="C105" s="2">
        <v>44906.649664351848</v>
      </c>
      <c r="D105">
        <v>0</v>
      </c>
      <c r="E105">
        <v>6</v>
      </c>
      <c r="F105" t="s">
        <v>56</v>
      </c>
      <c r="G105" t="s">
        <v>154</v>
      </c>
      <c r="H105" t="str">
        <f>HYPERLINK("http://pbs.twimg.com/media/FjtQuaGXgAIkIYx.jpg", "http://pbs.twimg.com/media/FjtQuaGXgAIkIYx.jpg")</f>
        <v>http://pbs.twimg.com/media/FjtQuaGXgAIkIYx.jpg</v>
      </c>
      <c r="L105">
        <v>0</v>
      </c>
      <c r="M105">
        <v>0</v>
      </c>
      <c r="N105">
        <v>1</v>
      </c>
      <c r="O105">
        <v>0</v>
      </c>
    </row>
    <row r="106" spans="1:15" x14ac:dyDescent="0.2">
      <c r="A106" s="1" t="str">
        <f>HYPERLINK("http://www.twitter.com/banuakdenizli/status/1601962863798935557", "1601962863798935557")</f>
        <v>1601962863798935557</v>
      </c>
      <c r="B106" t="s">
        <v>15</v>
      </c>
      <c r="C106" s="2">
        <v>44906.646805555552</v>
      </c>
      <c r="D106">
        <v>0</v>
      </c>
      <c r="E106">
        <v>8</v>
      </c>
      <c r="F106" t="s">
        <v>56</v>
      </c>
      <c r="G106" t="s">
        <v>155</v>
      </c>
      <c r="H106" t="str">
        <f>HYPERLINK("http://pbs.twimg.com/media/FjtO8aRWYAAlhhK.jpg", "http://pbs.twimg.com/media/FjtO8aRWYAAlhhK.jpg")</f>
        <v>http://pbs.twimg.com/media/FjtO8aRWYAAlhhK.jpg</v>
      </c>
      <c r="L106">
        <v>-0.15310000000000001</v>
      </c>
      <c r="M106">
        <v>5.7000000000000002E-2</v>
      </c>
      <c r="N106">
        <v>0.89900000000000002</v>
      </c>
      <c r="O106">
        <v>4.3999999999999997E-2</v>
      </c>
    </row>
    <row r="107" spans="1:15" x14ac:dyDescent="0.2">
      <c r="A107" s="1" t="str">
        <f>HYPERLINK("http://www.twitter.com/banuakdenizli/status/1601950058148204544", "1601950058148204544")</f>
        <v>1601950058148204544</v>
      </c>
      <c r="B107" t="s">
        <v>15</v>
      </c>
      <c r="C107" s="2">
        <v>44906.61146990741</v>
      </c>
      <c r="D107">
        <v>0</v>
      </c>
      <c r="E107">
        <v>39</v>
      </c>
      <c r="F107" t="s">
        <v>114</v>
      </c>
      <c r="G107" t="s">
        <v>156</v>
      </c>
      <c r="H107" t="str">
        <f>HYPERLINK("https://video.twimg.com/amplify_video/1601695587262500871/vid/1280x720/eaV75cM8B5SmEVI9.mp4?tag=16", "https://video.twimg.com/amplify_video/1601695587262500871/vid/1280x720/eaV75cM8B5SmEVI9.mp4?tag=16")</f>
        <v>https://video.twimg.com/amplify_video/1601695587262500871/vid/1280x720/eaV75cM8B5SmEVI9.mp4?tag=16</v>
      </c>
      <c r="L107">
        <v>0</v>
      </c>
      <c r="M107">
        <v>0</v>
      </c>
      <c r="N107">
        <v>1</v>
      </c>
      <c r="O107">
        <v>0</v>
      </c>
    </row>
    <row r="108" spans="1:15" x14ac:dyDescent="0.2">
      <c r="A108" s="1" t="str">
        <f>HYPERLINK("http://www.twitter.com/banuakdenizli/status/1601949459524784129", "1601949459524784129")</f>
        <v>1601949459524784129</v>
      </c>
      <c r="B108" t="s">
        <v>15</v>
      </c>
      <c r="C108" s="2">
        <v>44906.609814814823</v>
      </c>
      <c r="D108">
        <v>0</v>
      </c>
      <c r="E108">
        <v>19</v>
      </c>
      <c r="F108" t="s">
        <v>25</v>
      </c>
      <c r="G108" t="s">
        <v>157</v>
      </c>
      <c r="H108" t="str">
        <f>HYPERLINK("http://pbs.twimg.com/media/FjsVC4_XoAEyu1n.jpg", "http://pbs.twimg.com/media/FjsVC4_XoAEyu1n.jpg")</f>
        <v>http://pbs.twimg.com/media/FjsVC4_XoAEyu1n.jpg</v>
      </c>
      <c r="I108" t="str">
        <f>HYPERLINK("http://pbs.twimg.com/media/FjsVC4uWYAYvzkx.jpg", "http://pbs.twimg.com/media/FjsVC4uWYAYvzkx.jpg")</f>
        <v>http://pbs.twimg.com/media/FjsVC4uWYAYvzkx.jpg</v>
      </c>
      <c r="L108">
        <v>0.56699999999999995</v>
      </c>
      <c r="M108">
        <v>0</v>
      </c>
      <c r="N108">
        <v>0.89300000000000002</v>
      </c>
      <c r="O108">
        <v>0.107</v>
      </c>
    </row>
    <row r="109" spans="1:15" x14ac:dyDescent="0.2">
      <c r="A109" s="1" t="str">
        <f>HYPERLINK("http://www.twitter.com/banuakdenizli/status/1601949427782017025", "1601949427782017025")</f>
        <v>1601949427782017025</v>
      </c>
      <c r="B109" t="s">
        <v>15</v>
      </c>
      <c r="C109" s="2">
        <v>44906.609733796293</v>
      </c>
      <c r="D109">
        <v>0</v>
      </c>
      <c r="E109">
        <v>66</v>
      </c>
      <c r="F109" t="s">
        <v>26</v>
      </c>
      <c r="G109" t="s">
        <v>158</v>
      </c>
      <c r="H109" t="str">
        <f>HYPERLINK("http://pbs.twimg.com/media/FjsUzPyWYAAYKuY.jpg", "http://pbs.twimg.com/media/FjsUzPyWYAAYKuY.jpg")</f>
        <v>http://pbs.twimg.com/media/FjsUzPyWYAAYKuY.jpg</v>
      </c>
      <c r="L109">
        <v>0</v>
      </c>
      <c r="M109">
        <v>0</v>
      </c>
      <c r="N109">
        <v>1</v>
      </c>
      <c r="O109">
        <v>0</v>
      </c>
    </row>
    <row r="110" spans="1:15" x14ac:dyDescent="0.2">
      <c r="A110" s="1" t="str">
        <f>HYPERLINK("http://www.twitter.com/banuakdenizli/status/1601942119974928386", "1601942119974928386")</f>
        <v>1601942119974928386</v>
      </c>
      <c r="B110" t="s">
        <v>15</v>
      </c>
      <c r="C110" s="2">
        <v>44906.589560185188</v>
      </c>
      <c r="D110">
        <v>0</v>
      </c>
      <c r="E110">
        <v>22</v>
      </c>
      <c r="F110" t="s">
        <v>56</v>
      </c>
      <c r="G110" t="s">
        <v>159</v>
      </c>
      <c r="L110">
        <v>0</v>
      </c>
      <c r="M110">
        <v>0</v>
      </c>
      <c r="N110">
        <v>1</v>
      </c>
      <c r="O110">
        <v>0</v>
      </c>
    </row>
    <row r="111" spans="1:15" x14ac:dyDescent="0.2">
      <c r="A111" s="1" t="str">
        <f>HYPERLINK("http://www.twitter.com/banuakdenizli/status/1601942090581164032", "1601942090581164032")</f>
        <v>1601942090581164032</v>
      </c>
      <c r="B111" t="s">
        <v>15</v>
      </c>
      <c r="C111" s="2">
        <v>44906.589479166672</v>
      </c>
      <c r="D111">
        <v>0</v>
      </c>
      <c r="E111">
        <v>24</v>
      </c>
      <c r="F111" t="s">
        <v>56</v>
      </c>
      <c r="G111" t="s">
        <v>160</v>
      </c>
      <c r="H111" t="str">
        <f>HYPERLINK("http://pbs.twimg.com/media/Fjs282MXwAAzjbv.jpg", "http://pbs.twimg.com/media/Fjs282MXwAAzjbv.jpg")</f>
        <v>http://pbs.twimg.com/media/Fjs282MXwAAzjbv.jpg</v>
      </c>
      <c r="I111" t="str">
        <f>HYPERLINK("http://pbs.twimg.com/media/Fjs29LCXwAII4La.jpg", "http://pbs.twimg.com/media/Fjs29LCXwAII4La.jpg")</f>
        <v>http://pbs.twimg.com/media/Fjs29LCXwAII4La.jpg</v>
      </c>
      <c r="L111">
        <v>0</v>
      </c>
      <c r="M111">
        <v>0</v>
      </c>
      <c r="N111">
        <v>1</v>
      </c>
      <c r="O111">
        <v>0</v>
      </c>
    </row>
    <row r="112" spans="1:15" x14ac:dyDescent="0.2">
      <c r="A112" s="1" t="str">
        <f>HYPERLINK("http://www.twitter.com/banuakdenizli/status/1601873386543931392", "1601873386543931392")</f>
        <v>1601873386543931392</v>
      </c>
      <c r="B112" t="s">
        <v>15</v>
      </c>
      <c r="C112" s="2">
        <v>44906.399895833332</v>
      </c>
      <c r="D112">
        <v>0</v>
      </c>
      <c r="E112">
        <v>2403</v>
      </c>
      <c r="F112" t="s">
        <v>51</v>
      </c>
      <c r="G112" t="s">
        <v>161</v>
      </c>
      <c r="H112" t="str">
        <f>HYPERLINK("http://pbs.twimg.com/media/FjrqmTwXoAAtmig.jpg", "http://pbs.twimg.com/media/FjrqmTwXoAAtmig.jpg")</f>
        <v>http://pbs.twimg.com/media/FjrqmTwXoAAtmig.jpg</v>
      </c>
      <c r="L112">
        <v>0</v>
      </c>
      <c r="M112">
        <v>0</v>
      </c>
      <c r="N112">
        <v>1</v>
      </c>
      <c r="O112">
        <v>0</v>
      </c>
    </row>
    <row r="113" spans="1:15" x14ac:dyDescent="0.2">
      <c r="A113" s="1" t="str">
        <f>HYPERLINK("http://www.twitter.com/banuakdenizli/status/1601838643487903745", "1601838643487903745")</f>
        <v>1601838643487903745</v>
      </c>
      <c r="B113" t="s">
        <v>15</v>
      </c>
      <c r="C113" s="2">
        <v>44906.304016203707</v>
      </c>
      <c r="D113">
        <v>0</v>
      </c>
      <c r="E113">
        <v>1985</v>
      </c>
      <c r="F113" t="s">
        <v>17</v>
      </c>
      <c r="G113" t="s">
        <v>162</v>
      </c>
      <c r="L113">
        <v>-0.26950000000000002</v>
      </c>
      <c r="M113">
        <v>0.08</v>
      </c>
      <c r="N113">
        <v>0.92</v>
      </c>
      <c r="O113">
        <v>0</v>
      </c>
    </row>
    <row r="114" spans="1:15" x14ac:dyDescent="0.2">
      <c r="A114" s="1" t="str">
        <f>HYPERLINK("http://www.twitter.com/banuakdenizli/status/1601814158567215106", "1601814158567215106")</f>
        <v>1601814158567215106</v>
      </c>
      <c r="B114" t="s">
        <v>15</v>
      </c>
      <c r="C114" s="2">
        <v>44906.236458333333</v>
      </c>
      <c r="D114">
        <v>0</v>
      </c>
      <c r="E114">
        <v>16</v>
      </c>
      <c r="F114" t="s">
        <v>163</v>
      </c>
      <c r="G114" t="s">
        <v>164</v>
      </c>
      <c r="H114" t="str">
        <f>HYPERLINK("https://video.twimg.com/ext_tw_video/1601697909094973440/pu/vid/720x1164/4SpjsvL7p_p0Is4G.mp4?tag=12", "https://video.twimg.com/ext_tw_video/1601697909094973440/pu/vid/720x1164/4SpjsvL7p_p0Is4G.mp4?tag=12")</f>
        <v>https://video.twimg.com/ext_tw_video/1601697909094973440/pu/vid/720x1164/4SpjsvL7p_p0Is4G.mp4?tag=12</v>
      </c>
      <c r="L114">
        <v>0</v>
      </c>
      <c r="M114">
        <v>0</v>
      </c>
      <c r="N114">
        <v>1</v>
      </c>
      <c r="O114">
        <v>0</v>
      </c>
    </row>
    <row r="115" spans="1:15" x14ac:dyDescent="0.2">
      <c r="A115" s="1" t="str">
        <f>HYPERLINK("http://www.twitter.com/banuakdenizli/status/1601701478288470017", "1601701478288470017")</f>
        <v>1601701478288470017</v>
      </c>
      <c r="B115" t="s">
        <v>15</v>
      </c>
      <c r="C115" s="2">
        <v>44905.925520833327</v>
      </c>
      <c r="D115">
        <v>0</v>
      </c>
      <c r="E115">
        <v>3734</v>
      </c>
      <c r="F115" t="s">
        <v>17</v>
      </c>
      <c r="G115" t="s">
        <v>165</v>
      </c>
      <c r="H115" t="str">
        <f>HYPERLINK("http://pbs.twimg.com/media/FjpZKjoWQAIL012.jpg", "http://pbs.twimg.com/media/FjpZKjoWQAIL012.jpg")</f>
        <v>http://pbs.twimg.com/media/FjpZKjoWQAIL012.jpg</v>
      </c>
      <c r="L115">
        <v>0</v>
      </c>
      <c r="M115">
        <v>0</v>
      </c>
      <c r="N115">
        <v>1</v>
      </c>
      <c r="O115">
        <v>0</v>
      </c>
    </row>
    <row r="116" spans="1:15" x14ac:dyDescent="0.2">
      <c r="A116" s="1" t="str">
        <f>HYPERLINK("http://www.twitter.com/banuakdenizli/status/1601699683071840256", "1601699683071840256")</f>
        <v>1601699683071840256</v>
      </c>
      <c r="B116" t="s">
        <v>15</v>
      </c>
      <c r="C116" s="2">
        <v>44905.920567129629</v>
      </c>
      <c r="D116">
        <v>0</v>
      </c>
      <c r="E116">
        <v>384</v>
      </c>
      <c r="F116" t="s">
        <v>56</v>
      </c>
      <c r="G116" t="s">
        <v>166</v>
      </c>
      <c r="H116" t="str">
        <f>HYPERLINK("http://pbs.twimg.com/media/FjphAMbXEAARh8A.jpg", "http://pbs.twimg.com/media/FjphAMbXEAARh8A.jpg")</f>
        <v>http://pbs.twimg.com/media/FjphAMbXEAARh8A.jpg</v>
      </c>
      <c r="L116">
        <v>0</v>
      </c>
      <c r="M116">
        <v>0</v>
      </c>
      <c r="N116">
        <v>1</v>
      </c>
      <c r="O116">
        <v>0</v>
      </c>
    </row>
    <row r="117" spans="1:15" x14ac:dyDescent="0.2">
      <c r="A117" s="1" t="str">
        <f>HYPERLINK("http://www.twitter.com/banuakdenizli/status/1601690735702839297", "1601690735702839297")</f>
        <v>1601690735702839297</v>
      </c>
      <c r="B117" t="s">
        <v>15</v>
      </c>
      <c r="C117" s="2">
        <v>44905.895879629628</v>
      </c>
      <c r="D117">
        <v>0</v>
      </c>
      <c r="E117">
        <v>23</v>
      </c>
      <c r="F117" t="s">
        <v>78</v>
      </c>
      <c r="G117" t="s">
        <v>167</v>
      </c>
      <c r="H117" t="str">
        <f>HYPERLINK("https://video.twimg.com/amplify_video/1601688856583180293/vid/1920x1080/qcX61T5aaE3M3fxA.mp4?tag=16", "https://video.twimg.com/amplify_video/1601688856583180293/vid/1920x1080/qcX61T5aaE3M3fxA.mp4?tag=16")</f>
        <v>https://video.twimg.com/amplify_video/1601688856583180293/vid/1920x1080/qcX61T5aaE3M3fxA.mp4?tag=16</v>
      </c>
      <c r="L117">
        <v>0</v>
      </c>
      <c r="M117">
        <v>0</v>
      </c>
      <c r="N117">
        <v>1</v>
      </c>
      <c r="O117">
        <v>0</v>
      </c>
    </row>
    <row r="118" spans="1:15" x14ac:dyDescent="0.2">
      <c r="A118" s="1" t="str">
        <f>HYPERLINK("http://www.twitter.com/banuakdenizli/status/1601689801912033280", "1601689801912033280")</f>
        <v>1601689801912033280</v>
      </c>
      <c r="B118" t="s">
        <v>15</v>
      </c>
      <c r="C118" s="2">
        <v>44905.89329861111</v>
      </c>
      <c r="D118">
        <v>0</v>
      </c>
      <c r="E118">
        <v>16138</v>
      </c>
      <c r="F118" t="s">
        <v>51</v>
      </c>
      <c r="G118" t="s">
        <v>168</v>
      </c>
      <c r="H118" t="str">
        <f>HYPERLINK("http://pbs.twimg.com/media/FjpSA0NXwAMVNhc.jpg", "http://pbs.twimg.com/media/FjpSA0NXwAMVNhc.jpg")</f>
        <v>http://pbs.twimg.com/media/FjpSA0NXwAMVNhc.jpg</v>
      </c>
      <c r="L118">
        <v>0</v>
      </c>
      <c r="M118">
        <v>0</v>
      </c>
      <c r="N118">
        <v>1</v>
      </c>
      <c r="O118">
        <v>0</v>
      </c>
    </row>
    <row r="119" spans="1:15" x14ac:dyDescent="0.2">
      <c r="A119" s="1" t="str">
        <f>HYPERLINK("http://www.twitter.com/banuakdenizli/status/1601678226085904384", "1601678226085904384")</f>
        <v>1601678226085904384</v>
      </c>
      <c r="B119" t="s">
        <v>15</v>
      </c>
      <c r="C119" s="2">
        <v>44905.861354166656</v>
      </c>
      <c r="D119">
        <v>0</v>
      </c>
      <c r="E119">
        <v>2561</v>
      </c>
      <c r="F119" t="s">
        <v>51</v>
      </c>
      <c r="G119" t="s">
        <v>169</v>
      </c>
      <c r="H119" t="str">
        <f>HYPERLINK("http://pbs.twimg.com/media/FjpNiRLXkAAxVso.jpg", "http://pbs.twimg.com/media/FjpNiRLXkAAxVso.jpg")</f>
        <v>http://pbs.twimg.com/media/FjpNiRLXkAAxVso.jpg</v>
      </c>
      <c r="L119">
        <v>0</v>
      </c>
      <c r="M119">
        <v>0</v>
      </c>
      <c r="N119">
        <v>1</v>
      </c>
      <c r="O119">
        <v>0</v>
      </c>
    </row>
    <row r="120" spans="1:15" x14ac:dyDescent="0.2">
      <c r="A120" s="1" t="str">
        <f>HYPERLINK("http://www.twitter.com/banuakdenizli/status/1601665736597917697", "1601665736597917697")</f>
        <v>1601665736597917697</v>
      </c>
      <c r="B120" t="s">
        <v>15</v>
      </c>
      <c r="C120" s="2">
        <v>44905.826886574083</v>
      </c>
      <c r="D120">
        <v>0</v>
      </c>
      <c r="E120">
        <v>652</v>
      </c>
      <c r="F120" t="s">
        <v>51</v>
      </c>
      <c r="G120" t="s">
        <v>170</v>
      </c>
      <c r="H120" t="str">
        <f>HYPERLINK("http://pbs.twimg.com/media/FjpA15magAAh4Cm.jpg", "http://pbs.twimg.com/media/FjpA15magAAh4Cm.jpg")</f>
        <v>http://pbs.twimg.com/media/FjpA15magAAh4Cm.jpg</v>
      </c>
      <c r="L120">
        <v>0</v>
      </c>
      <c r="M120">
        <v>0</v>
      </c>
      <c r="N120">
        <v>1</v>
      </c>
      <c r="O120">
        <v>0</v>
      </c>
    </row>
    <row r="121" spans="1:15" x14ac:dyDescent="0.2">
      <c r="A121" s="1" t="str">
        <f>HYPERLINK("http://www.twitter.com/banuakdenizli/status/1601657945057816577", "1601657945057816577")</f>
        <v>1601657945057816577</v>
      </c>
      <c r="B121" t="s">
        <v>15</v>
      </c>
      <c r="C121" s="2">
        <v>44905.805393518523</v>
      </c>
      <c r="D121">
        <v>0</v>
      </c>
      <c r="E121">
        <v>2055</v>
      </c>
      <c r="F121" t="s">
        <v>51</v>
      </c>
      <c r="G121" t="s">
        <v>171</v>
      </c>
      <c r="H121" t="str">
        <f>HYPERLINK("http://pbs.twimg.com/media/Fjo7CTCXkAE88cq.jpg", "http://pbs.twimg.com/media/Fjo7CTCXkAE88cq.jpg")</f>
        <v>http://pbs.twimg.com/media/Fjo7CTCXkAE88cq.jpg</v>
      </c>
      <c r="L121">
        <v>0</v>
      </c>
      <c r="M121">
        <v>0</v>
      </c>
      <c r="N121">
        <v>1</v>
      </c>
      <c r="O121">
        <v>0</v>
      </c>
    </row>
    <row r="122" spans="1:15" x14ac:dyDescent="0.2">
      <c r="A122" s="1" t="str">
        <f>HYPERLINK("http://www.twitter.com/banuakdenizli/status/1601657899151142913", "1601657899151142913")</f>
        <v>1601657899151142913</v>
      </c>
      <c r="B122" t="s">
        <v>15</v>
      </c>
      <c r="C122" s="2">
        <v>44905.805266203701</v>
      </c>
      <c r="D122">
        <v>0</v>
      </c>
      <c r="E122">
        <v>533</v>
      </c>
      <c r="F122" t="s">
        <v>51</v>
      </c>
      <c r="G122" t="s">
        <v>172</v>
      </c>
      <c r="H122" t="str">
        <f>HYPERLINK("http://pbs.twimg.com/media/Fjo3qrmXgAQd49k.jpg", "http://pbs.twimg.com/media/Fjo3qrmXgAQd49k.jpg")</f>
        <v>http://pbs.twimg.com/media/Fjo3qrmXgAQd49k.jpg</v>
      </c>
      <c r="L122">
        <v>0</v>
      </c>
      <c r="M122">
        <v>0</v>
      </c>
      <c r="N122">
        <v>1</v>
      </c>
      <c r="O122">
        <v>0</v>
      </c>
    </row>
    <row r="123" spans="1:15" x14ac:dyDescent="0.2">
      <c r="A123" s="1" t="str">
        <f>HYPERLINK("http://www.twitter.com/banuakdenizli/status/1601653683003219968", "1601653683003219968")</f>
        <v>1601653683003219968</v>
      </c>
      <c r="B123" t="s">
        <v>15</v>
      </c>
      <c r="C123" s="2">
        <v>44905.793622685182</v>
      </c>
      <c r="D123">
        <v>10</v>
      </c>
      <c r="E123">
        <v>2</v>
      </c>
      <c r="G123" t="s">
        <v>173</v>
      </c>
      <c r="H123" t="str">
        <f>HYPERLINK("http://pbs.twimg.com/media/Fjo3e9BWAAMGthB.jpg", "http://pbs.twimg.com/media/Fjo3e9BWAAMGthB.jpg")</f>
        <v>http://pbs.twimg.com/media/Fjo3e9BWAAMGthB.jpg</v>
      </c>
      <c r="I123" t="str">
        <f>HYPERLINK("http://pbs.twimg.com/media/Fjo3f_AWYAE_F-J.jpg", "http://pbs.twimg.com/media/Fjo3f_AWYAE_F-J.jpg")</f>
        <v>http://pbs.twimg.com/media/Fjo3f_AWYAE_F-J.jpg</v>
      </c>
      <c r="J123" t="str">
        <f>HYPERLINK("http://pbs.twimg.com/media/Fjo3hWwWAAEKhU-.jpg", "http://pbs.twimg.com/media/Fjo3hWwWAAEKhU-.jpg")</f>
        <v>http://pbs.twimg.com/media/Fjo3hWwWAAEKhU-.jpg</v>
      </c>
      <c r="L123">
        <v>0</v>
      </c>
      <c r="M123">
        <v>0</v>
      </c>
      <c r="N123">
        <v>1</v>
      </c>
      <c r="O123">
        <v>0</v>
      </c>
    </row>
    <row r="124" spans="1:15" x14ac:dyDescent="0.2">
      <c r="A124" s="1" t="str">
        <f>HYPERLINK("http://www.twitter.com/banuakdenizli/status/1601610559530897413", "1601610559530897413")</f>
        <v>1601610559530897413</v>
      </c>
      <c r="B124" t="s">
        <v>15</v>
      </c>
      <c r="C124" s="2">
        <v>44905.674629629633</v>
      </c>
      <c r="D124">
        <v>0</v>
      </c>
      <c r="E124">
        <v>5636</v>
      </c>
      <c r="F124" t="s">
        <v>17</v>
      </c>
      <c r="G124" t="s">
        <v>174</v>
      </c>
      <c r="L124">
        <v>0.90800000000000003</v>
      </c>
      <c r="M124">
        <v>0</v>
      </c>
      <c r="N124">
        <v>0.59199999999999997</v>
      </c>
      <c r="O124">
        <v>0.40799999999999997</v>
      </c>
    </row>
    <row r="125" spans="1:15" x14ac:dyDescent="0.2">
      <c r="A125" s="1" t="str">
        <f>HYPERLINK("http://www.twitter.com/banuakdenizli/status/1601591019195478022", "1601591019195478022")</f>
        <v>1601591019195478022</v>
      </c>
      <c r="B125" t="s">
        <v>15</v>
      </c>
      <c r="C125" s="2">
        <v>44905.620706018519</v>
      </c>
      <c r="D125">
        <v>0</v>
      </c>
      <c r="E125">
        <v>12</v>
      </c>
      <c r="F125" t="s">
        <v>56</v>
      </c>
      <c r="G125" t="s">
        <v>175</v>
      </c>
      <c r="H125" t="str">
        <f>HYPERLINK("http://pbs.twimg.com/media/Fjn9SydWAAAX-42.jpg", "http://pbs.twimg.com/media/Fjn9SydWAAAX-42.jpg")</f>
        <v>http://pbs.twimg.com/media/Fjn9SydWAAAX-42.jpg</v>
      </c>
      <c r="L125">
        <v>0.91679999999999995</v>
      </c>
      <c r="M125">
        <v>0</v>
      </c>
      <c r="N125">
        <v>0.53800000000000003</v>
      </c>
      <c r="O125">
        <v>0.46200000000000002</v>
      </c>
    </row>
    <row r="126" spans="1:15" x14ac:dyDescent="0.2">
      <c r="A126" s="1" t="str">
        <f>HYPERLINK("http://www.twitter.com/banuakdenizli/status/1601576963616800768", "1601576963616800768")</f>
        <v>1601576963616800768</v>
      </c>
      <c r="B126" t="s">
        <v>15</v>
      </c>
      <c r="C126" s="2">
        <v>44905.581921296303</v>
      </c>
      <c r="D126">
        <v>0</v>
      </c>
      <c r="E126">
        <v>19</v>
      </c>
      <c r="F126" t="s">
        <v>56</v>
      </c>
      <c r="G126" t="s">
        <v>176</v>
      </c>
      <c r="H126" t="str">
        <f>HYPERLINK("http://pbs.twimg.com/media/FjntKPWWYAArt_Q.jpg", "http://pbs.twimg.com/media/FjntKPWWYAArt_Q.jpg")</f>
        <v>http://pbs.twimg.com/media/FjntKPWWYAArt_Q.jpg</v>
      </c>
      <c r="I126" t="str">
        <f>HYPERLINK("http://pbs.twimg.com/media/FjntKPQXgAE4ucq.jpg", "http://pbs.twimg.com/media/FjntKPQXgAE4ucq.jpg")</f>
        <v>http://pbs.twimg.com/media/FjntKPQXgAE4ucq.jpg</v>
      </c>
      <c r="L126">
        <v>0.20230000000000001</v>
      </c>
      <c r="M126">
        <v>0</v>
      </c>
      <c r="N126">
        <v>0.95699999999999996</v>
      </c>
      <c r="O126">
        <v>4.2999999999999997E-2</v>
      </c>
    </row>
    <row r="127" spans="1:15" x14ac:dyDescent="0.2">
      <c r="A127" s="1" t="str">
        <f>HYPERLINK("http://www.twitter.com/banuakdenizli/status/1601533489522016256", "1601533489522016256")</f>
        <v>1601533489522016256</v>
      </c>
      <c r="B127" t="s">
        <v>15</v>
      </c>
      <c r="C127" s="2">
        <v>44905.461956018517</v>
      </c>
      <c r="D127">
        <v>0</v>
      </c>
      <c r="E127">
        <v>15</v>
      </c>
      <c r="F127" t="s">
        <v>56</v>
      </c>
      <c r="G127" t="s">
        <v>177</v>
      </c>
      <c r="H127" t="str">
        <f>HYPERLINK("http://pbs.twimg.com/media/FjnGePuXEAYcRL8.jpg", "http://pbs.twimg.com/media/FjnGePuXEAYcRL8.jpg")</f>
        <v>http://pbs.twimg.com/media/FjnGePuXEAYcRL8.jpg</v>
      </c>
      <c r="L127">
        <v>0</v>
      </c>
      <c r="M127">
        <v>0</v>
      </c>
      <c r="N127">
        <v>1</v>
      </c>
      <c r="O127">
        <v>0</v>
      </c>
    </row>
    <row r="128" spans="1:15" x14ac:dyDescent="0.2">
      <c r="A128" s="1" t="str">
        <f>HYPERLINK("http://www.twitter.com/banuakdenizli/status/1601533086290055168", "1601533086290055168")</f>
        <v>1601533086290055168</v>
      </c>
      <c r="B128" t="s">
        <v>15</v>
      </c>
      <c r="C128" s="2">
        <v>44905.460844907408</v>
      </c>
      <c r="D128">
        <v>0</v>
      </c>
      <c r="E128">
        <v>3</v>
      </c>
      <c r="F128" t="s">
        <v>178</v>
      </c>
      <c r="G128" t="s">
        <v>179</v>
      </c>
      <c r="H128" t="str">
        <f>HYPERLINK("http://pbs.twimg.com/media/FjmmwiSXoAIIQFM.jpg", "http://pbs.twimg.com/media/FjmmwiSXoAIIQFM.jpg")</f>
        <v>http://pbs.twimg.com/media/FjmmwiSXoAIIQFM.jpg</v>
      </c>
      <c r="L128">
        <v>0.5837</v>
      </c>
      <c r="M128">
        <v>0</v>
      </c>
      <c r="N128">
        <v>0.70399999999999996</v>
      </c>
      <c r="O128">
        <v>0.29599999999999999</v>
      </c>
    </row>
    <row r="129" spans="1:15" x14ac:dyDescent="0.2">
      <c r="A129" s="1" t="str">
        <f>HYPERLINK("http://www.twitter.com/banuakdenizli/status/1601513280002195456", "1601513280002195456")</f>
        <v>1601513280002195456</v>
      </c>
      <c r="B129" t="s">
        <v>15</v>
      </c>
      <c r="C129" s="2">
        <v>44905.406192129631</v>
      </c>
      <c r="D129">
        <v>0</v>
      </c>
      <c r="E129">
        <v>929</v>
      </c>
      <c r="F129" t="s">
        <v>51</v>
      </c>
      <c r="G129" t="s">
        <v>180</v>
      </c>
      <c r="H129" t="str">
        <f>HYPERLINK("http://pbs.twimg.com/media/Fjm2cGoWQAATHGM.jpg", "http://pbs.twimg.com/media/Fjm2cGoWQAATHGM.jpg")</f>
        <v>http://pbs.twimg.com/media/Fjm2cGoWQAATHGM.jpg</v>
      </c>
      <c r="L129">
        <v>0.45879999999999999</v>
      </c>
      <c r="M129">
        <v>0</v>
      </c>
      <c r="N129">
        <v>0.86399999999999999</v>
      </c>
      <c r="O129">
        <v>0.13600000000000001</v>
      </c>
    </row>
    <row r="130" spans="1:15" x14ac:dyDescent="0.2">
      <c r="A130" s="1" t="str">
        <f>HYPERLINK("http://www.twitter.com/banuakdenizli/status/1601510634566606850", "1601510634566606850")</f>
        <v>1601510634566606850</v>
      </c>
      <c r="B130" t="s">
        <v>15</v>
      </c>
      <c r="C130" s="2">
        <v>44905.398888888893</v>
      </c>
      <c r="D130">
        <v>0</v>
      </c>
      <c r="E130">
        <v>18</v>
      </c>
      <c r="F130" t="s">
        <v>56</v>
      </c>
      <c r="G130" t="s">
        <v>181</v>
      </c>
      <c r="H130" t="str">
        <f>HYPERLINK("http://pbs.twimg.com/media/Fjm0ThDWAAADPcd.jpg", "http://pbs.twimg.com/media/Fjm0ThDWAAADPcd.jpg")</f>
        <v>http://pbs.twimg.com/media/Fjm0ThDWAAADPcd.jpg</v>
      </c>
      <c r="I130" t="str">
        <f>HYPERLINK("http://pbs.twimg.com/media/Fjm0T2HX0AEUXEx.jpg", "http://pbs.twimg.com/media/Fjm0T2HX0AEUXEx.jpg")</f>
        <v>http://pbs.twimg.com/media/Fjm0T2HX0AEUXEx.jpg</v>
      </c>
      <c r="L130">
        <v>0.49259999999999998</v>
      </c>
      <c r="M130">
        <v>0</v>
      </c>
      <c r="N130">
        <v>0.92400000000000004</v>
      </c>
      <c r="O130">
        <v>7.5999999999999998E-2</v>
      </c>
    </row>
    <row r="131" spans="1:15" x14ac:dyDescent="0.2">
      <c r="A131" s="1" t="str">
        <f>HYPERLINK("http://www.twitter.com/banuakdenizli/status/1601486439425855489", "1601486439425855489")</f>
        <v>1601486439425855489</v>
      </c>
      <c r="B131" t="s">
        <v>15</v>
      </c>
      <c r="C131" s="2">
        <v>44905.332118055558</v>
      </c>
      <c r="D131">
        <v>0</v>
      </c>
      <c r="E131">
        <v>42</v>
      </c>
      <c r="F131" t="s">
        <v>56</v>
      </c>
      <c r="G131" t="s">
        <v>182</v>
      </c>
      <c r="H131" t="str">
        <f>HYPERLINK("http://pbs.twimg.com/media/FjmVf6BX0AAPEhS.jpg", "http://pbs.twimg.com/media/FjmVf6BX0AAPEhS.jpg")</f>
        <v>http://pbs.twimg.com/media/FjmVf6BX0AAPEhS.jpg</v>
      </c>
      <c r="L131">
        <v>0.69</v>
      </c>
      <c r="M131">
        <v>0</v>
      </c>
      <c r="N131">
        <v>0.87</v>
      </c>
      <c r="O131">
        <v>0.13</v>
      </c>
    </row>
    <row r="132" spans="1:15" x14ac:dyDescent="0.2">
      <c r="A132" s="1" t="str">
        <f>HYPERLINK("http://www.twitter.com/banuakdenizli/status/1601454588741046272", "1601454588741046272")</f>
        <v>1601454588741046272</v>
      </c>
      <c r="B132" t="s">
        <v>15</v>
      </c>
      <c r="C132" s="2">
        <v>44905.24423611111</v>
      </c>
      <c r="D132">
        <v>6</v>
      </c>
      <c r="E132">
        <v>0</v>
      </c>
      <c r="G132" t="s">
        <v>183</v>
      </c>
      <c r="L132">
        <v>0</v>
      </c>
      <c r="M132">
        <v>0</v>
      </c>
      <c r="N132">
        <v>1</v>
      </c>
      <c r="O132">
        <v>0</v>
      </c>
    </row>
    <row r="133" spans="1:15" x14ac:dyDescent="0.2">
      <c r="A133" s="1" t="str">
        <f>HYPERLINK("http://www.twitter.com/banuakdenizli/status/1601449127690108928", "1601449127690108928")</f>
        <v>1601449127690108928</v>
      </c>
      <c r="B133" t="s">
        <v>15</v>
      </c>
      <c r="C133" s="2">
        <v>44905.229166666657</v>
      </c>
      <c r="D133">
        <v>414</v>
      </c>
      <c r="E133">
        <v>136</v>
      </c>
      <c r="G133" t="s">
        <v>184</v>
      </c>
      <c r="H133" t="str">
        <f>HYPERLINK("https://video.twimg.com/ext_tw_video/1601258903035166725/pu/vid/720x900/HIySB58DAX850Ule.mp4?tag=12", "https://video.twimg.com/ext_tw_video/1601258903035166725/pu/vid/720x900/HIySB58DAX850Ule.mp4?tag=12")</f>
        <v>https://video.twimg.com/ext_tw_video/1601258903035166725/pu/vid/720x900/HIySB58DAX850Ule.mp4?tag=12</v>
      </c>
      <c r="L133">
        <v>0</v>
      </c>
      <c r="M133">
        <v>0</v>
      </c>
      <c r="N133">
        <v>1</v>
      </c>
      <c r="O133">
        <v>0</v>
      </c>
    </row>
    <row r="134" spans="1:15" x14ac:dyDescent="0.2">
      <c r="A134" s="1" t="str">
        <f>HYPERLINK("http://www.twitter.com/banuakdenizli/status/1601259794442383360", "1601259794442383360")</f>
        <v>1601259794442383360</v>
      </c>
      <c r="B134" t="s">
        <v>15</v>
      </c>
      <c r="C134" s="2">
        <v>44904.706701388888</v>
      </c>
      <c r="D134">
        <v>0</v>
      </c>
      <c r="E134">
        <v>218</v>
      </c>
      <c r="F134" t="s">
        <v>51</v>
      </c>
      <c r="G134" t="s">
        <v>185</v>
      </c>
      <c r="H134" t="str">
        <f>HYPERLINK("https://video.twimg.com/ext_tw_video/1601220874358689792/pu/vid/720x900/Jb8IeTsMdACUcVXJ.mp4?tag=12", "https://video.twimg.com/ext_tw_video/1601220874358689792/pu/vid/720x900/Jb8IeTsMdACUcVXJ.mp4?tag=12")</f>
        <v>https://video.twimg.com/ext_tw_video/1601220874358689792/pu/vid/720x900/Jb8IeTsMdACUcVXJ.mp4?tag=12</v>
      </c>
      <c r="L134">
        <v>0</v>
      </c>
      <c r="M134">
        <v>0</v>
      </c>
      <c r="N134">
        <v>1</v>
      </c>
      <c r="O134">
        <v>0</v>
      </c>
    </row>
    <row r="135" spans="1:15" x14ac:dyDescent="0.2">
      <c r="A135" s="1" t="str">
        <f>HYPERLINK("http://www.twitter.com/banuakdenizli/status/1601188829397864448", "1601188829397864448")</f>
        <v>1601188829397864448</v>
      </c>
      <c r="B135" t="s">
        <v>15</v>
      </c>
      <c r="C135" s="2">
        <v>44904.510879629634</v>
      </c>
      <c r="D135">
        <v>0</v>
      </c>
      <c r="E135">
        <v>304</v>
      </c>
      <c r="F135" t="s">
        <v>51</v>
      </c>
      <c r="G135" t="s">
        <v>186</v>
      </c>
      <c r="H135" t="str">
        <f>HYPERLINK("http://pbs.twimg.com/media/FjhoO0vXwAEaoPL.jpg", "http://pbs.twimg.com/media/FjhoO0vXwAEaoPL.jpg")</f>
        <v>http://pbs.twimg.com/media/FjhoO0vXwAEaoPL.jpg</v>
      </c>
      <c r="L135">
        <v>0</v>
      </c>
      <c r="M135">
        <v>0</v>
      </c>
      <c r="N135">
        <v>1</v>
      </c>
      <c r="O135">
        <v>0</v>
      </c>
    </row>
    <row r="136" spans="1:15" x14ac:dyDescent="0.2">
      <c r="A136" s="1" t="str">
        <f>HYPERLINK("http://www.twitter.com/banuakdenizli/status/1600959298515111938", "1600959298515111938")</f>
        <v>1600959298515111938</v>
      </c>
      <c r="B136" t="s">
        <v>15</v>
      </c>
      <c r="C136" s="2">
        <v>44903.877488425933</v>
      </c>
      <c r="D136">
        <v>0</v>
      </c>
      <c r="E136">
        <v>259</v>
      </c>
      <c r="F136" t="s">
        <v>187</v>
      </c>
      <c r="G136" t="s">
        <v>188</v>
      </c>
      <c r="H136" t="str">
        <f>HYPERLINK("http://pbs.twimg.com/media/FjeV--yXkAgBoFh.jpg", "http://pbs.twimg.com/media/FjeV--yXkAgBoFh.jpg")</f>
        <v>http://pbs.twimg.com/media/FjeV--yXkAgBoFh.jpg</v>
      </c>
      <c r="I136" t="str">
        <f>HYPERLINK("http://pbs.twimg.com/media/FjeWAjfXkAU6dCo.jpg", "http://pbs.twimg.com/media/FjeWAjfXkAU6dCo.jpg")</f>
        <v>http://pbs.twimg.com/media/FjeWAjfXkAU6dCo.jpg</v>
      </c>
      <c r="J136" t="str">
        <f>HYPERLINK("http://pbs.twimg.com/media/FjeWB0VXkAIKCRZ.jpg", "http://pbs.twimg.com/media/FjeWB0VXkAIKCRZ.jpg")</f>
        <v>http://pbs.twimg.com/media/FjeWB0VXkAIKCRZ.jpg</v>
      </c>
      <c r="K136" t="str">
        <f>HYPERLINK("http://pbs.twimg.com/media/FjeWB_ZXkBcPgkP.jpg", "http://pbs.twimg.com/media/FjeWB_ZXkBcPgkP.jpg")</f>
        <v>http://pbs.twimg.com/media/FjeWB_ZXkBcPgkP.jpg</v>
      </c>
      <c r="L136">
        <v>0</v>
      </c>
      <c r="M136">
        <v>0</v>
      </c>
      <c r="N136">
        <v>1</v>
      </c>
      <c r="O136">
        <v>0</v>
      </c>
    </row>
    <row r="137" spans="1:15" x14ac:dyDescent="0.2">
      <c r="A137" s="1" t="str">
        <f>HYPERLINK("http://www.twitter.com/banuakdenizli/status/1600809440793440256", "1600809440793440256")</f>
        <v>1600809440793440256</v>
      </c>
      <c r="B137" t="s">
        <v>15</v>
      </c>
      <c r="C137" s="2">
        <v>44903.463958333326</v>
      </c>
      <c r="D137">
        <v>0</v>
      </c>
      <c r="E137">
        <v>14</v>
      </c>
      <c r="F137" t="s">
        <v>189</v>
      </c>
      <c r="G137" t="s">
        <v>190</v>
      </c>
      <c r="L137">
        <v>0</v>
      </c>
      <c r="M137">
        <v>0</v>
      </c>
      <c r="N137">
        <v>1</v>
      </c>
      <c r="O137">
        <v>0</v>
      </c>
    </row>
    <row r="138" spans="1:15" x14ac:dyDescent="0.2">
      <c r="A138" s="1" t="str">
        <f>HYPERLINK("http://www.twitter.com/banuakdenizli/status/1600579986523852801", "1600579986523852801")</f>
        <v>1600579986523852801</v>
      </c>
      <c r="B138" t="s">
        <v>15</v>
      </c>
      <c r="C138" s="2">
        <v>44902.830787037034</v>
      </c>
      <c r="D138">
        <v>0</v>
      </c>
      <c r="E138">
        <v>2</v>
      </c>
      <c r="F138" t="s">
        <v>25</v>
      </c>
      <c r="G138" t="s">
        <v>191</v>
      </c>
      <c r="H138" t="str">
        <f>HYPERLINK("http://pbs.twimg.com/media/FjZmuHhWQCAce_y.jpg", "http://pbs.twimg.com/media/FjZmuHhWQCAce_y.jpg")</f>
        <v>http://pbs.twimg.com/media/FjZmuHhWQCAce_y.jpg</v>
      </c>
      <c r="L138">
        <v>0.62490000000000001</v>
      </c>
      <c r="M138">
        <v>0</v>
      </c>
      <c r="N138">
        <v>0.746</v>
      </c>
      <c r="O138">
        <v>0.254</v>
      </c>
    </row>
    <row r="139" spans="1:15" x14ac:dyDescent="0.2">
      <c r="A139" s="1" t="str">
        <f>HYPERLINK("http://www.twitter.com/banuakdenizli/status/1600572876347817984", "1600572876347817984")</f>
        <v>1600572876347817984</v>
      </c>
      <c r="B139" t="s">
        <v>15</v>
      </c>
      <c r="C139" s="2">
        <v>44902.811168981483</v>
      </c>
      <c r="D139">
        <v>0</v>
      </c>
      <c r="E139">
        <v>1084</v>
      </c>
      <c r="F139" t="s">
        <v>51</v>
      </c>
      <c r="G139" t="s">
        <v>192</v>
      </c>
      <c r="H139" t="str">
        <f>HYPERLINK("https://video.twimg.com/ext_tw_video/1600499309102993420/pu/vid/1280x720/BIoBqpSyY3YKTLUR.mp4?tag=12", "https://video.twimg.com/ext_tw_video/1600499309102993420/pu/vid/1280x720/BIoBqpSyY3YKTLUR.mp4?tag=12")</f>
        <v>https://video.twimg.com/ext_tw_video/1600499309102993420/pu/vid/1280x720/BIoBqpSyY3YKTLUR.mp4?tag=12</v>
      </c>
      <c r="L139">
        <v>-0.20030000000000001</v>
      </c>
      <c r="M139">
        <v>5.1999999999999998E-2</v>
      </c>
      <c r="N139">
        <v>0.94799999999999995</v>
      </c>
      <c r="O139">
        <v>0</v>
      </c>
    </row>
    <row r="140" spans="1:15" x14ac:dyDescent="0.2">
      <c r="A140" s="1" t="str">
        <f>HYPERLINK("http://www.twitter.com/banuakdenizli/status/1600512680875499520", "1600512680875499520")</f>
        <v>1600512680875499520</v>
      </c>
      <c r="B140" t="s">
        <v>15</v>
      </c>
      <c r="C140" s="2">
        <v>44902.645057870373</v>
      </c>
      <c r="D140">
        <v>0</v>
      </c>
      <c r="E140">
        <v>2</v>
      </c>
      <c r="F140" t="s">
        <v>78</v>
      </c>
      <c r="G140" t="s">
        <v>193</v>
      </c>
      <c r="H140" t="str">
        <f>HYPERLINK("http://pbs.twimg.com/media/FjYo9rbWAAEZ11H.jpg", "http://pbs.twimg.com/media/FjYo9rbWAAEZ11H.jpg")</f>
        <v>http://pbs.twimg.com/media/FjYo9rbWAAEZ11H.jpg</v>
      </c>
      <c r="L140">
        <v>0</v>
      </c>
      <c r="M140">
        <v>0</v>
      </c>
      <c r="N140">
        <v>1</v>
      </c>
      <c r="O140">
        <v>0</v>
      </c>
    </row>
    <row r="141" spans="1:15" x14ac:dyDescent="0.2">
      <c r="A141" s="1" t="str">
        <f>HYPERLINK("http://www.twitter.com/banuakdenizli/status/1600484974511136769", "1600484974511136769")</f>
        <v>1600484974511136769</v>
      </c>
      <c r="B141" t="s">
        <v>15</v>
      </c>
      <c r="C141" s="2">
        <v>44902.568611111114</v>
      </c>
      <c r="D141">
        <v>0</v>
      </c>
      <c r="E141">
        <v>315</v>
      </c>
      <c r="F141" t="s">
        <v>51</v>
      </c>
      <c r="G141" t="s">
        <v>194</v>
      </c>
      <c r="H141" t="str">
        <f>HYPERLINK("http://pbs.twimg.com/media/FjYPUOCXkAMWyl2.jpg", "http://pbs.twimg.com/media/FjYPUOCXkAMWyl2.jpg")</f>
        <v>http://pbs.twimg.com/media/FjYPUOCXkAMWyl2.jpg</v>
      </c>
      <c r="L141">
        <v>0</v>
      </c>
      <c r="M141">
        <v>0</v>
      </c>
      <c r="N141">
        <v>1</v>
      </c>
      <c r="O141">
        <v>0</v>
      </c>
    </row>
    <row r="142" spans="1:15" x14ac:dyDescent="0.2">
      <c r="A142" s="1" t="str">
        <f>HYPERLINK("http://www.twitter.com/banuakdenizli/status/1600484517659156482", "1600484517659156482")</f>
        <v>1600484517659156482</v>
      </c>
      <c r="B142" t="s">
        <v>15</v>
      </c>
      <c r="C142" s="2">
        <v>44902.567349537043</v>
      </c>
      <c r="D142">
        <v>0</v>
      </c>
      <c r="E142">
        <v>11</v>
      </c>
      <c r="F142" t="s">
        <v>18</v>
      </c>
      <c r="G142" t="s">
        <v>195</v>
      </c>
      <c r="H142" t="str">
        <f>HYPERLINK("http://pbs.twimg.com/media/FjXT62cXgAAz4Eu.jpg", "http://pbs.twimg.com/media/FjXT62cXgAAz4Eu.jpg")</f>
        <v>http://pbs.twimg.com/media/FjXT62cXgAAz4Eu.jpg</v>
      </c>
      <c r="L142">
        <v>0</v>
      </c>
      <c r="M142">
        <v>0</v>
      </c>
      <c r="N142">
        <v>1</v>
      </c>
      <c r="O142">
        <v>0</v>
      </c>
    </row>
    <row r="143" spans="1:15" x14ac:dyDescent="0.2">
      <c r="A143" s="1" t="str">
        <f>HYPERLINK("http://www.twitter.com/banuakdenizli/status/1600406207801438208", "1600406207801438208")</f>
        <v>1600406207801438208</v>
      </c>
      <c r="B143" t="s">
        <v>15</v>
      </c>
      <c r="C143" s="2">
        <v>44902.35125</v>
      </c>
      <c r="D143">
        <v>0</v>
      </c>
      <c r="E143">
        <v>165</v>
      </c>
      <c r="F143" t="s">
        <v>51</v>
      </c>
      <c r="G143" t="s">
        <v>196</v>
      </c>
      <c r="H143" t="str">
        <f>HYPERLINK("https://video.twimg.com/ext_tw_video/1600262551044083715/pu/vid/720x720/4bAg2tGXD4ctAGLG.mp4?tag=12", "https://video.twimg.com/ext_tw_video/1600262551044083715/pu/vid/720x720/4bAg2tGXD4ctAGLG.mp4?tag=12")</f>
        <v>https://video.twimg.com/ext_tw_video/1600262551044083715/pu/vid/720x720/4bAg2tGXD4ctAGLG.mp4?tag=12</v>
      </c>
      <c r="L143">
        <v>0</v>
      </c>
      <c r="M143">
        <v>0</v>
      </c>
      <c r="N143">
        <v>1</v>
      </c>
      <c r="O143">
        <v>0</v>
      </c>
    </row>
    <row r="144" spans="1:15" x14ac:dyDescent="0.2">
      <c r="A144" s="1" t="str">
        <f>HYPERLINK("http://www.twitter.com/banuakdenizli/status/1600095698640424960", "1600095698640424960")</f>
        <v>1600095698640424960</v>
      </c>
      <c r="B144" t="s">
        <v>15</v>
      </c>
      <c r="C144" s="2">
        <v>44901.494409722232</v>
      </c>
      <c r="D144">
        <v>0</v>
      </c>
      <c r="E144">
        <v>11</v>
      </c>
      <c r="F144" t="s">
        <v>78</v>
      </c>
      <c r="G144" t="s">
        <v>197</v>
      </c>
      <c r="H144" t="str">
        <f>HYPERLINK("http://pbs.twimg.com/media/FjSuJpoX0AIbuQ4.jpg", "http://pbs.twimg.com/media/FjSuJpoX0AIbuQ4.jpg")</f>
        <v>http://pbs.twimg.com/media/FjSuJpoX0AIbuQ4.jpg</v>
      </c>
      <c r="L144">
        <v>0</v>
      </c>
      <c r="M144">
        <v>0</v>
      </c>
      <c r="N144">
        <v>1</v>
      </c>
      <c r="O144">
        <v>0</v>
      </c>
    </row>
    <row r="145" spans="1:15" x14ac:dyDescent="0.2">
      <c r="A145" s="1" t="str">
        <f>HYPERLINK("http://www.twitter.com/banuakdenizli/status/1600095499318501376", "1600095499318501376")</f>
        <v>1600095499318501376</v>
      </c>
      <c r="B145" t="s">
        <v>15</v>
      </c>
      <c r="C145" s="2">
        <v>44901.49386574074</v>
      </c>
      <c r="D145">
        <v>0</v>
      </c>
      <c r="E145">
        <v>142</v>
      </c>
      <c r="F145" t="s">
        <v>22</v>
      </c>
      <c r="G145" t="s">
        <v>198</v>
      </c>
      <c r="H145" t="str">
        <f>HYPERLINK("http://pbs.twimg.com/media/FjJsPhOXwAEWHNu.jpg", "http://pbs.twimg.com/media/FjJsPhOXwAEWHNu.jpg")</f>
        <v>http://pbs.twimg.com/media/FjJsPhOXwAEWHNu.jpg</v>
      </c>
      <c r="I145" t="str">
        <f>HYPERLINK("http://pbs.twimg.com/media/FjJsPhOXwAALEw3.jpg", "http://pbs.twimg.com/media/FjJsPhOXwAALEw3.jpg")</f>
        <v>http://pbs.twimg.com/media/FjJsPhOXwAALEw3.jpg</v>
      </c>
      <c r="J145" t="str">
        <f>HYPERLINK("http://pbs.twimg.com/media/FjJsPhPXkAATrmo.jpg", "http://pbs.twimg.com/media/FjJsPhPXkAATrmo.jpg")</f>
        <v>http://pbs.twimg.com/media/FjJsPhPXkAATrmo.jpg</v>
      </c>
      <c r="L145">
        <v>0</v>
      </c>
      <c r="M145">
        <v>0</v>
      </c>
      <c r="N145">
        <v>1</v>
      </c>
      <c r="O145">
        <v>0</v>
      </c>
    </row>
    <row r="146" spans="1:15" x14ac:dyDescent="0.2">
      <c r="A146" s="1" t="str">
        <f>HYPERLINK("http://www.twitter.com/banuakdenizli/status/1599837900899700736", "1599837900899700736")</f>
        <v>1599837900899700736</v>
      </c>
      <c r="B146" t="s">
        <v>15</v>
      </c>
      <c r="C146" s="2">
        <v>44900.783020833333</v>
      </c>
      <c r="D146">
        <v>0</v>
      </c>
      <c r="E146">
        <v>422</v>
      </c>
      <c r="F146" t="s">
        <v>51</v>
      </c>
      <c r="G146" t="s">
        <v>199</v>
      </c>
      <c r="H146" t="str">
        <f>HYPERLINK("https://video.twimg.com/amplify_video/1599830978167328768/vid/1920x1080/94fv6_IWrLD7BoaI.mp4?tag=16", "https://video.twimg.com/amplify_video/1599830978167328768/vid/1920x1080/94fv6_IWrLD7BoaI.mp4?tag=16")</f>
        <v>https://video.twimg.com/amplify_video/1599830978167328768/vid/1920x1080/94fv6_IWrLD7BoaI.mp4?tag=16</v>
      </c>
      <c r="L146">
        <v>0</v>
      </c>
      <c r="M146">
        <v>0</v>
      </c>
      <c r="N146">
        <v>1</v>
      </c>
      <c r="O146">
        <v>0</v>
      </c>
    </row>
    <row r="147" spans="1:15" x14ac:dyDescent="0.2">
      <c r="A147" s="1" t="str">
        <f>HYPERLINK("http://www.twitter.com/banuakdenizli/status/1599521635543191552", "1599521635543191552")</f>
        <v>1599521635543191552</v>
      </c>
      <c r="B147" t="s">
        <v>15</v>
      </c>
      <c r="C147" s="2">
        <v>44899.910300925927</v>
      </c>
      <c r="D147">
        <v>0</v>
      </c>
      <c r="E147">
        <v>18</v>
      </c>
      <c r="F147" t="s">
        <v>114</v>
      </c>
      <c r="G147" t="s">
        <v>200</v>
      </c>
      <c r="H147" t="str">
        <f>HYPERLINK("https://video.twimg.com/amplify_video/1599481727411535872/vid/1280x720/T1Pil-BAmfibcQLW.mp4?tag=16", "https://video.twimg.com/amplify_video/1599481727411535872/vid/1280x720/T1Pil-BAmfibcQLW.mp4?tag=16")</f>
        <v>https://video.twimg.com/amplify_video/1599481727411535872/vid/1280x720/T1Pil-BAmfibcQLW.mp4?tag=16</v>
      </c>
      <c r="L147">
        <v>0</v>
      </c>
      <c r="M147">
        <v>0</v>
      </c>
      <c r="N147">
        <v>1</v>
      </c>
      <c r="O147">
        <v>0</v>
      </c>
    </row>
    <row r="148" spans="1:15" x14ac:dyDescent="0.2">
      <c r="A148" s="1" t="str">
        <f>HYPERLINK("http://www.twitter.com/banuakdenizli/status/1599461856112173056", "1599461856112173056")</f>
        <v>1599461856112173056</v>
      </c>
      <c r="B148" t="s">
        <v>15</v>
      </c>
      <c r="C148" s="2">
        <v>44899.745335648149</v>
      </c>
      <c r="D148">
        <v>35</v>
      </c>
      <c r="E148">
        <v>9</v>
      </c>
      <c r="G148" t="s">
        <v>201</v>
      </c>
      <c r="H148" t="str">
        <f>HYPERLINK("http://pbs.twimg.com/media/FjJuEqhXEAUgib1.jpg", "http://pbs.twimg.com/media/FjJuEqhXEAUgib1.jpg")</f>
        <v>http://pbs.twimg.com/media/FjJuEqhXEAUgib1.jpg</v>
      </c>
      <c r="L148">
        <v>0</v>
      </c>
      <c r="M148">
        <v>0</v>
      </c>
      <c r="N148">
        <v>1</v>
      </c>
      <c r="O148">
        <v>0</v>
      </c>
    </row>
    <row r="149" spans="1:15" x14ac:dyDescent="0.2">
      <c r="A149" s="1" t="str">
        <f>HYPERLINK("http://www.twitter.com/banuakdenizli/status/1599459701493682176", "1599459701493682176")</f>
        <v>1599459701493682176</v>
      </c>
      <c r="B149" t="s">
        <v>15</v>
      </c>
      <c r="C149" s="2">
        <v>44899.739398148151</v>
      </c>
      <c r="D149">
        <v>0</v>
      </c>
      <c r="E149">
        <v>68</v>
      </c>
      <c r="F149" t="s">
        <v>78</v>
      </c>
      <c r="G149" t="s">
        <v>202</v>
      </c>
      <c r="H149" t="str">
        <f>HYPERLINK("https://video.twimg.com/amplify_video/1599442060364374016/vid/1920x1080/OEgbe4yHwog5tr25.mp4?tag=16", "https://video.twimg.com/amplify_video/1599442060364374016/vid/1920x1080/OEgbe4yHwog5tr25.mp4?tag=16")</f>
        <v>https://video.twimg.com/amplify_video/1599442060364374016/vid/1920x1080/OEgbe4yHwog5tr25.mp4?tag=16</v>
      </c>
      <c r="L149">
        <v>0</v>
      </c>
      <c r="M149">
        <v>0</v>
      </c>
      <c r="N149">
        <v>1</v>
      </c>
      <c r="O149">
        <v>0</v>
      </c>
    </row>
    <row r="150" spans="1:15" x14ac:dyDescent="0.2">
      <c r="A150" s="1" t="str">
        <f>HYPERLINK("http://www.twitter.com/banuakdenizli/status/1599458441839652865", "1599458441839652865")</f>
        <v>1599458441839652865</v>
      </c>
      <c r="B150" t="s">
        <v>15</v>
      </c>
      <c r="C150" s="2">
        <v>44899.735914351862</v>
      </c>
      <c r="D150">
        <v>98</v>
      </c>
      <c r="E150">
        <v>21</v>
      </c>
      <c r="G150" t="s">
        <v>203</v>
      </c>
      <c r="H150" t="str">
        <f>HYPERLINK("http://pbs.twimg.com/media/FjJq965XoAUlesm.jpg", "http://pbs.twimg.com/media/FjJq965XoAUlesm.jpg")</f>
        <v>http://pbs.twimg.com/media/FjJq965XoAUlesm.jpg</v>
      </c>
      <c r="L150">
        <v>0.55500000000000005</v>
      </c>
      <c r="M150">
        <v>0</v>
      </c>
      <c r="N150">
        <v>0.80700000000000005</v>
      </c>
      <c r="O150">
        <v>0.193</v>
      </c>
    </row>
    <row r="151" spans="1:15" x14ac:dyDescent="0.2">
      <c r="A151" s="1" t="str">
        <f>HYPERLINK("http://www.twitter.com/banuakdenizli/status/1599457642162057216", "1599457642162057216")</f>
        <v>1599457642162057216</v>
      </c>
      <c r="B151" t="s">
        <v>15</v>
      </c>
      <c r="C151" s="2">
        <v>44899.733715277784</v>
      </c>
      <c r="D151">
        <v>0</v>
      </c>
      <c r="E151">
        <v>5788</v>
      </c>
      <c r="F151" t="s">
        <v>17</v>
      </c>
      <c r="G151" t="s">
        <v>204</v>
      </c>
      <c r="H151" t="str">
        <f>HYPERLINK("http://pbs.twimg.com/media/FjJh06xXkAQZOiD.jpg", "http://pbs.twimg.com/media/FjJh06xXkAQZOiD.jpg")</f>
        <v>http://pbs.twimg.com/media/FjJh06xXkAQZOiD.jpg</v>
      </c>
      <c r="L151">
        <v>0</v>
      </c>
      <c r="M151">
        <v>0</v>
      </c>
      <c r="N151">
        <v>1</v>
      </c>
      <c r="O151">
        <v>0</v>
      </c>
    </row>
    <row r="152" spans="1:15" x14ac:dyDescent="0.2">
      <c r="A152" s="1" t="str">
        <f>HYPERLINK("http://www.twitter.com/banuakdenizli/status/1599457599711166464", "1599457599711166464")</f>
        <v>1599457599711166464</v>
      </c>
      <c r="B152" t="s">
        <v>15</v>
      </c>
      <c r="C152" s="2">
        <v>44899.733587962961</v>
      </c>
      <c r="D152">
        <v>0</v>
      </c>
      <c r="E152">
        <v>2</v>
      </c>
      <c r="F152" t="s">
        <v>21</v>
      </c>
      <c r="G152" t="s">
        <v>205</v>
      </c>
      <c r="H152" t="str">
        <f>HYPERLINK("http://pbs.twimg.com/media/FjJncJkWAAAI7x2.jpg", "http://pbs.twimg.com/media/FjJncJkWAAAI7x2.jpg")</f>
        <v>http://pbs.twimg.com/media/FjJncJkWAAAI7x2.jpg</v>
      </c>
      <c r="L152">
        <v>0</v>
      </c>
      <c r="M152">
        <v>0</v>
      </c>
      <c r="N152">
        <v>1</v>
      </c>
      <c r="O152">
        <v>0</v>
      </c>
    </row>
    <row r="153" spans="1:15" x14ac:dyDescent="0.2">
      <c r="A153" s="1" t="str">
        <f>HYPERLINK("http://www.twitter.com/banuakdenizli/status/1599450160459042817", "1599450160459042817")</f>
        <v>1599450160459042817</v>
      </c>
      <c r="B153" t="s">
        <v>15</v>
      </c>
      <c r="C153" s="2">
        <v>44899.713067129633</v>
      </c>
      <c r="D153">
        <v>16</v>
      </c>
      <c r="E153">
        <v>1</v>
      </c>
      <c r="G153" t="s">
        <v>206</v>
      </c>
      <c r="L153">
        <v>0</v>
      </c>
      <c r="M153">
        <v>0</v>
      </c>
      <c r="N153">
        <v>1</v>
      </c>
      <c r="O153">
        <v>0</v>
      </c>
    </row>
    <row r="154" spans="1:15" x14ac:dyDescent="0.2">
      <c r="A154" s="1" t="str">
        <f>HYPERLINK("http://www.twitter.com/banuakdenizli/status/1599443030851059713", "1599443030851059713")</f>
        <v>1599443030851059713</v>
      </c>
      <c r="B154" t="s">
        <v>15</v>
      </c>
      <c r="C154" s="2">
        <v>44899.693391203713</v>
      </c>
      <c r="D154">
        <v>0</v>
      </c>
      <c r="E154">
        <v>8</v>
      </c>
      <c r="F154" t="s">
        <v>54</v>
      </c>
      <c r="G154" t="s">
        <v>207</v>
      </c>
      <c r="H154" t="str">
        <f>HYPERLINK("http://pbs.twimg.com/media/FjJcE-4X0AEWhJX.jpg", "http://pbs.twimg.com/media/FjJcE-4X0AEWhJX.jpg")</f>
        <v>http://pbs.twimg.com/media/FjJcE-4X0AEWhJX.jpg</v>
      </c>
      <c r="L154">
        <v>0</v>
      </c>
      <c r="M154">
        <v>0</v>
      </c>
      <c r="N154">
        <v>1</v>
      </c>
      <c r="O154">
        <v>0</v>
      </c>
    </row>
    <row r="155" spans="1:15" x14ac:dyDescent="0.2">
      <c r="A155" s="1" t="str">
        <f>HYPERLINK("http://www.twitter.com/banuakdenizli/status/1599429833674567680", "1599429833674567680")</f>
        <v>1599429833674567680</v>
      </c>
      <c r="B155" t="s">
        <v>15</v>
      </c>
      <c r="C155" s="2">
        <v>44899.656967592593</v>
      </c>
      <c r="D155">
        <v>0</v>
      </c>
      <c r="E155">
        <v>11318</v>
      </c>
      <c r="F155" t="s">
        <v>51</v>
      </c>
      <c r="G155" t="s">
        <v>208</v>
      </c>
      <c r="H155" t="str">
        <f>HYPERLINK("http://pbs.twimg.com/media/FjJQ63cWQAAhp_E.jpg", "http://pbs.twimg.com/media/FjJQ63cWQAAhp_E.jpg")</f>
        <v>http://pbs.twimg.com/media/FjJQ63cWQAAhp_E.jpg</v>
      </c>
      <c r="L155">
        <v>0</v>
      </c>
      <c r="M155">
        <v>0</v>
      </c>
      <c r="N155">
        <v>1</v>
      </c>
      <c r="O155">
        <v>0</v>
      </c>
    </row>
    <row r="156" spans="1:15" x14ac:dyDescent="0.2">
      <c r="A156" s="1" t="str">
        <f>HYPERLINK("http://www.twitter.com/banuakdenizli/status/1599424320240906241", "1599424320240906241")</f>
        <v>1599424320240906241</v>
      </c>
      <c r="B156" t="s">
        <v>15</v>
      </c>
      <c r="C156" s="2">
        <v>44899.641759259262</v>
      </c>
      <c r="D156">
        <v>0</v>
      </c>
      <c r="E156">
        <v>167</v>
      </c>
      <c r="F156" t="s">
        <v>51</v>
      </c>
      <c r="G156" t="s">
        <v>209</v>
      </c>
      <c r="H156" t="str">
        <f>HYPERLINK("http://pbs.twimg.com/media/FjJFTizXwAA6qmk.jpg", "http://pbs.twimg.com/media/FjJFTizXwAA6qmk.jpg")</f>
        <v>http://pbs.twimg.com/media/FjJFTizXwAA6qmk.jpg</v>
      </c>
      <c r="L156">
        <v>0</v>
      </c>
      <c r="M156">
        <v>0</v>
      </c>
      <c r="N156">
        <v>1</v>
      </c>
      <c r="O156">
        <v>0</v>
      </c>
    </row>
    <row r="157" spans="1:15" x14ac:dyDescent="0.2">
      <c r="A157" s="1" t="str">
        <f>HYPERLINK("http://www.twitter.com/banuakdenizli/status/1599403327061561344", "1599403327061561344")</f>
        <v>1599403327061561344</v>
      </c>
      <c r="B157" t="s">
        <v>15</v>
      </c>
      <c r="C157" s="2">
        <v>44899.583831018521</v>
      </c>
      <c r="D157">
        <v>0</v>
      </c>
      <c r="E157">
        <v>15</v>
      </c>
      <c r="F157" t="s">
        <v>54</v>
      </c>
      <c r="G157" t="s">
        <v>210</v>
      </c>
      <c r="H157" t="str">
        <f>HYPERLINK("http://pbs.twimg.com/media/FjI3GReWQAAcfbm.jpg", "http://pbs.twimg.com/media/FjI3GReWQAAcfbm.jpg")</f>
        <v>http://pbs.twimg.com/media/FjI3GReWQAAcfbm.jpg</v>
      </c>
      <c r="L157">
        <v>0</v>
      </c>
      <c r="M157">
        <v>0</v>
      </c>
      <c r="N157">
        <v>1</v>
      </c>
      <c r="O157">
        <v>0</v>
      </c>
    </row>
    <row r="158" spans="1:15" x14ac:dyDescent="0.2">
      <c r="A158" s="1" t="str">
        <f>HYPERLINK("http://www.twitter.com/banuakdenizli/status/1599310351941525504", "1599310351941525504")</f>
        <v>1599310351941525504</v>
      </c>
      <c r="B158" t="s">
        <v>15</v>
      </c>
      <c r="C158" s="2">
        <v>44899.327268518522</v>
      </c>
      <c r="D158">
        <v>0</v>
      </c>
      <c r="E158">
        <v>2190</v>
      </c>
      <c r="F158" t="s">
        <v>51</v>
      </c>
      <c r="G158" t="s">
        <v>211</v>
      </c>
      <c r="H158" t="str">
        <f>HYPERLINK("http://pbs.twimg.com/media/FjEkTgvWYAINKMS.jpg", "http://pbs.twimg.com/media/FjEkTgvWYAINKMS.jpg")</f>
        <v>http://pbs.twimg.com/media/FjEkTgvWYAINKMS.jpg</v>
      </c>
      <c r="L158">
        <v>0</v>
      </c>
      <c r="M158">
        <v>0</v>
      </c>
      <c r="N158">
        <v>1</v>
      </c>
      <c r="O158">
        <v>0</v>
      </c>
    </row>
    <row r="159" spans="1:15" x14ac:dyDescent="0.2">
      <c r="A159" s="1" t="str">
        <f>HYPERLINK("http://www.twitter.com/banuakdenizli/status/1599308920924749825", "1599308920924749825")</f>
        <v>1599308920924749825</v>
      </c>
      <c r="B159" t="s">
        <v>15</v>
      </c>
      <c r="C159" s="2">
        <v>44899.323321759257</v>
      </c>
      <c r="D159">
        <v>0</v>
      </c>
      <c r="E159">
        <v>1306</v>
      </c>
      <c r="F159" t="s">
        <v>51</v>
      </c>
      <c r="G159" t="s">
        <v>212</v>
      </c>
      <c r="H159" t="str">
        <f>HYPERLINK("http://pbs.twimg.com/media/FjF7xo6WYAMmFj3.jpg", "http://pbs.twimg.com/media/FjF7xo6WYAMmFj3.jpg")</f>
        <v>http://pbs.twimg.com/media/FjF7xo6WYAMmFj3.jpg</v>
      </c>
      <c r="L159">
        <v>0</v>
      </c>
      <c r="M159">
        <v>0</v>
      </c>
      <c r="N159">
        <v>1</v>
      </c>
      <c r="O159">
        <v>0</v>
      </c>
    </row>
    <row r="160" spans="1:15" x14ac:dyDescent="0.2">
      <c r="A160" s="1" t="str">
        <f>HYPERLINK("http://www.twitter.com/banuakdenizli/status/1599128249912594432", "1599128249912594432")</f>
        <v>1599128249912594432</v>
      </c>
      <c r="B160" t="s">
        <v>15</v>
      </c>
      <c r="C160" s="2">
        <v>44898.824756944443</v>
      </c>
      <c r="D160">
        <v>0</v>
      </c>
      <c r="E160">
        <v>3</v>
      </c>
      <c r="F160" t="s">
        <v>213</v>
      </c>
      <c r="G160" t="s">
        <v>214</v>
      </c>
      <c r="H160" t="str">
        <f>HYPERLINK("https://video.twimg.com/ext_tw_video/1599117264590147587/pu/vid/720x1280/kWXpxP3RtiQ31IEU.mp4?tag=12", "https://video.twimg.com/ext_tw_video/1599117264590147587/pu/vid/720x1280/kWXpxP3RtiQ31IEU.mp4?tag=12")</f>
        <v>https://video.twimg.com/ext_tw_video/1599117264590147587/pu/vid/720x1280/kWXpxP3RtiQ31IEU.mp4?tag=12</v>
      </c>
      <c r="L160">
        <v>0.83979999999999999</v>
      </c>
      <c r="M160">
        <v>0</v>
      </c>
      <c r="N160">
        <v>0.76300000000000001</v>
      </c>
      <c r="O160">
        <v>0.23699999999999999</v>
      </c>
    </row>
    <row r="161" spans="1:15" x14ac:dyDescent="0.2">
      <c r="A161" s="1" t="str">
        <f>HYPERLINK("http://www.twitter.com/banuakdenizli/status/1599038458462289920", "1599038458462289920")</f>
        <v>1599038458462289920</v>
      </c>
      <c r="B161" t="s">
        <v>15</v>
      </c>
      <c r="C161" s="2">
        <v>44898.576979166668</v>
      </c>
      <c r="D161">
        <v>9</v>
      </c>
      <c r="E161">
        <v>2</v>
      </c>
      <c r="G161" t="s">
        <v>215</v>
      </c>
      <c r="H161" t="str">
        <f>HYPERLINK("http://pbs.twimg.com/media/FjDs-TwXgAAXPql.jpg", "http://pbs.twimg.com/media/FjDs-TwXgAAXPql.jpg")</f>
        <v>http://pbs.twimg.com/media/FjDs-TwXgAAXPql.jpg</v>
      </c>
      <c r="I161" t="str">
        <f>HYPERLINK("http://pbs.twimg.com/media/FjDs-TrX0AAJw1U.jpg", "http://pbs.twimg.com/media/FjDs-TrX0AAJw1U.jpg")</f>
        <v>http://pbs.twimg.com/media/FjDs-TrX0AAJw1U.jpg</v>
      </c>
      <c r="J161" t="str">
        <f>HYPERLINK("http://pbs.twimg.com/media/FjDs-TpWYAEU-f5.jpg", "http://pbs.twimg.com/media/FjDs-TpWYAEU-f5.jpg")</f>
        <v>http://pbs.twimg.com/media/FjDs-TpWYAEU-f5.jpg</v>
      </c>
      <c r="K161" t="str">
        <f>HYPERLINK("http://pbs.twimg.com/media/FjDs-TuXgAAYiyL.jpg", "http://pbs.twimg.com/media/FjDs-TuXgAAYiyL.jpg")</f>
        <v>http://pbs.twimg.com/media/FjDs-TuXgAAYiyL.jpg</v>
      </c>
      <c r="L161">
        <v>0</v>
      </c>
      <c r="M161">
        <v>0</v>
      </c>
      <c r="N161">
        <v>1</v>
      </c>
      <c r="O161">
        <v>0</v>
      </c>
    </row>
    <row r="162" spans="1:15" x14ac:dyDescent="0.2">
      <c r="A162" s="1" t="str">
        <f>HYPERLINK("http://www.twitter.com/banuakdenizli/status/1599034023166156800", "1599034023166156800")</f>
        <v>1599034023166156800</v>
      </c>
      <c r="B162" t="s">
        <v>15</v>
      </c>
      <c r="C162" s="2">
        <v>44898.564745370371</v>
      </c>
      <c r="D162">
        <v>6</v>
      </c>
      <c r="E162">
        <v>0</v>
      </c>
      <c r="G162" t="s">
        <v>216</v>
      </c>
      <c r="H162" t="str">
        <f>HYPERLINK("http://pbs.twimg.com/media/FjDo5SuXEAAx26b.jpg", "http://pbs.twimg.com/media/FjDo5SuXEAAx26b.jpg")</f>
        <v>http://pbs.twimg.com/media/FjDo5SuXEAAx26b.jpg</v>
      </c>
      <c r="I162" t="str">
        <f>HYPERLINK("http://pbs.twimg.com/media/FjDo5SuWYAAiUOu.jpg", "http://pbs.twimg.com/media/FjDo5SuWYAAiUOu.jpg")</f>
        <v>http://pbs.twimg.com/media/FjDo5SuWYAAiUOu.jpg</v>
      </c>
      <c r="J162" t="str">
        <f>HYPERLINK("http://pbs.twimg.com/media/FjDo5SrXoAAh0-Z.jpg", "http://pbs.twimg.com/media/FjDo5SrXoAAh0-Z.jpg")</f>
        <v>http://pbs.twimg.com/media/FjDo5SrXoAAh0-Z.jpg</v>
      </c>
      <c r="K162" t="str">
        <f>HYPERLINK("http://pbs.twimg.com/media/FjDo5SnXkAIddWq.jpg", "http://pbs.twimg.com/media/FjDo5SnXkAIddWq.jpg")</f>
        <v>http://pbs.twimg.com/media/FjDo5SnXkAIddWq.jpg</v>
      </c>
      <c r="L162">
        <v>0</v>
      </c>
      <c r="M162">
        <v>0</v>
      </c>
      <c r="N162">
        <v>1</v>
      </c>
      <c r="O162">
        <v>0</v>
      </c>
    </row>
    <row r="163" spans="1:15" x14ac:dyDescent="0.2">
      <c r="A163" s="1" t="str">
        <f>HYPERLINK("http://www.twitter.com/banuakdenizli/status/1599029197019574273", "1599029197019574273")</f>
        <v>1599029197019574273</v>
      </c>
      <c r="B163" t="s">
        <v>15</v>
      </c>
      <c r="C163" s="2">
        <v>44898.551423611112</v>
      </c>
      <c r="D163">
        <v>13</v>
      </c>
      <c r="E163">
        <v>0</v>
      </c>
      <c r="G163" t="s">
        <v>217</v>
      </c>
      <c r="H163" t="str">
        <f>HYPERLINK("http://pbs.twimg.com/media/FjDkj9gWIAUy3Qs.jpg", "http://pbs.twimg.com/media/FjDkj9gWIAUy3Qs.jpg")</f>
        <v>http://pbs.twimg.com/media/FjDkj9gWIAUy3Qs.jpg</v>
      </c>
      <c r="I163" t="str">
        <f>HYPERLINK("http://pbs.twimg.com/media/FjDkj9iXgAEkmvR.jpg", "http://pbs.twimg.com/media/FjDkj9iXgAEkmvR.jpg")</f>
        <v>http://pbs.twimg.com/media/FjDkj9iXgAEkmvR.jpg</v>
      </c>
      <c r="J163" t="str">
        <f>HYPERLINK("http://pbs.twimg.com/media/FjDkj9oXwAAfD4S.jpg", "http://pbs.twimg.com/media/FjDkj9oXwAAfD4S.jpg")</f>
        <v>http://pbs.twimg.com/media/FjDkj9oXwAAfD4S.jpg</v>
      </c>
      <c r="K163" t="str">
        <f>HYPERLINK("http://pbs.twimg.com/media/FjDkj9fWIAAQYGQ.jpg", "http://pbs.twimg.com/media/FjDkj9fWIAAQYGQ.jpg")</f>
        <v>http://pbs.twimg.com/media/FjDkj9fWIAAQYGQ.jpg</v>
      </c>
      <c r="L163">
        <v>0</v>
      </c>
      <c r="M163">
        <v>0</v>
      </c>
      <c r="N163">
        <v>1</v>
      </c>
      <c r="O163">
        <v>0</v>
      </c>
    </row>
    <row r="164" spans="1:15" x14ac:dyDescent="0.2">
      <c r="A164" s="1" t="str">
        <f>HYPERLINK("http://www.twitter.com/banuakdenizli/status/1598990924586962944", "1598990924586962944")</f>
        <v>1598990924586962944</v>
      </c>
      <c r="B164" t="s">
        <v>15</v>
      </c>
      <c r="C164" s="2">
        <v>44898.445810185192</v>
      </c>
      <c r="D164">
        <v>11</v>
      </c>
      <c r="E164">
        <v>1</v>
      </c>
      <c r="G164" t="s">
        <v>218</v>
      </c>
      <c r="H164" t="str">
        <f>HYPERLINK("http://pbs.twimg.com/media/FjDBuk6XgAEULwc.jpg", "http://pbs.twimg.com/media/FjDBuk6XgAEULwc.jpg")</f>
        <v>http://pbs.twimg.com/media/FjDBuk6XgAEULwc.jpg</v>
      </c>
      <c r="I164" t="str">
        <f>HYPERLINK("http://pbs.twimg.com/media/FjDBvZYXgAA3uqF.jpg", "http://pbs.twimg.com/media/FjDBvZYXgAA3uqF.jpg")</f>
        <v>http://pbs.twimg.com/media/FjDBvZYXgAA3uqF.jpg</v>
      </c>
      <c r="J164" t="str">
        <f>HYPERLINK("http://pbs.twimg.com/media/FjDBwI7WYAA46xm.jpg", "http://pbs.twimg.com/media/FjDBwI7WYAA46xm.jpg")</f>
        <v>http://pbs.twimg.com/media/FjDBwI7WYAA46xm.jpg</v>
      </c>
      <c r="K164" t="str">
        <f>HYPERLINK("http://pbs.twimg.com/media/FjDBw5FXwAQ9vwd.jpg", "http://pbs.twimg.com/media/FjDBw5FXwAQ9vwd.jpg")</f>
        <v>http://pbs.twimg.com/media/FjDBw5FXwAQ9vwd.jpg</v>
      </c>
      <c r="L164">
        <v>0.52669999999999995</v>
      </c>
      <c r="M164">
        <v>0</v>
      </c>
      <c r="N164">
        <v>0.90700000000000003</v>
      </c>
      <c r="O164">
        <v>9.2999999999999999E-2</v>
      </c>
    </row>
    <row r="165" spans="1:15" x14ac:dyDescent="0.2">
      <c r="A165" s="1" t="str">
        <f>HYPERLINK("http://www.twitter.com/banuakdenizli/status/1598989703264378881", "1598989703264378881")</f>
        <v>1598989703264378881</v>
      </c>
      <c r="B165" t="s">
        <v>15</v>
      </c>
      <c r="C165" s="2">
        <v>44898.442442129628</v>
      </c>
      <c r="D165">
        <v>14</v>
      </c>
      <c r="E165">
        <v>7</v>
      </c>
      <c r="G165" t="s">
        <v>219</v>
      </c>
      <c r="H165" t="str">
        <f>HYPERLINK("http://pbs.twimg.com/media/FjDAnmcWYAUyEqd.jpg", "http://pbs.twimg.com/media/FjDAnmcWYAUyEqd.jpg")</f>
        <v>http://pbs.twimg.com/media/FjDAnmcWYAUyEqd.jpg</v>
      </c>
      <c r="I165" t="str">
        <f>HYPERLINK("http://pbs.twimg.com/media/FjDAoeDWYAAvGSF.jpg", "http://pbs.twimg.com/media/FjDAoeDWYAAvGSF.jpg")</f>
        <v>http://pbs.twimg.com/media/FjDAoeDWYAAvGSF.jpg</v>
      </c>
      <c r="J165" t="str">
        <f>HYPERLINK("http://pbs.twimg.com/media/FjDAo_TWAAEPYh8.jpg", "http://pbs.twimg.com/media/FjDAo_TWAAEPYh8.jpg")</f>
        <v>http://pbs.twimg.com/media/FjDAo_TWAAEPYh8.jpg</v>
      </c>
      <c r="K165" t="str">
        <f>HYPERLINK("http://pbs.twimg.com/media/FjDApsUXoAAOxjS.jpg", "http://pbs.twimg.com/media/FjDApsUXoAAOxjS.jpg")</f>
        <v>http://pbs.twimg.com/media/FjDApsUXoAAOxjS.jpg</v>
      </c>
      <c r="L165">
        <v>0</v>
      </c>
      <c r="M165">
        <v>0</v>
      </c>
      <c r="N165">
        <v>1</v>
      </c>
      <c r="O165">
        <v>0</v>
      </c>
    </row>
    <row r="166" spans="1:15" x14ac:dyDescent="0.2">
      <c r="A166" s="1" t="str">
        <f>HYPERLINK("http://www.twitter.com/banuakdenizli/status/1598988312622268417", "1598988312622268417")</f>
        <v>1598988312622268417</v>
      </c>
      <c r="B166" t="s">
        <v>15</v>
      </c>
      <c r="C166" s="2">
        <v>44898.438611111109</v>
      </c>
      <c r="D166">
        <v>38</v>
      </c>
      <c r="E166">
        <v>10</v>
      </c>
      <c r="G166" t="s">
        <v>220</v>
      </c>
      <c r="H166" t="str">
        <f>HYPERLINK("http://pbs.twimg.com/media/FjC_WZwXoAA3BD5.jpg", "http://pbs.twimg.com/media/FjC_WZwXoAA3BD5.jpg")</f>
        <v>http://pbs.twimg.com/media/FjC_WZwXoAA3BD5.jpg</v>
      </c>
      <c r="I166" t="str">
        <f>HYPERLINK("http://pbs.twimg.com/media/FjC_XK8XkAEsoBA.jpg", "http://pbs.twimg.com/media/FjC_XK8XkAEsoBA.jpg")</f>
        <v>http://pbs.twimg.com/media/FjC_XK8XkAEsoBA.jpg</v>
      </c>
      <c r="J166" t="str">
        <f>HYPERLINK("http://pbs.twimg.com/media/FjC_X4RWYAE0Aka.jpg", "http://pbs.twimg.com/media/FjC_X4RWYAE0Aka.jpg")</f>
        <v>http://pbs.twimg.com/media/FjC_X4RWYAE0Aka.jpg</v>
      </c>
      <c r="K166" t="str">
        <f>HYPERLINK("http://pbs.twimg.com/media/FjC_YmGWAAAcJUN.jpg", "http://pbs.twimg.com/media/FjC_YmGWAAAcJUN.jpg")</f>
        <v>http://pbs.twimg.com/media/FjC_YmGWAAAcJUN.jpg</v>
      </c>
      <c r="L166">
        <v>0.44040000000000001</v>
      </c>
      <c r="M166">
        <v>0</v>
      </c>
      <c r="N166">
        <v>0.93700000000000006</v>
      </c>
      <c r="O166">
        <v>6.3E-2</v>
      </c>
    </row>
    <row r="167" spans="1:15" x14ac:dyDescent="0.2">
      <c r="A167" s="1" t="str">
        <f>HYPERLINK("http://www.twitter.com/banuakdenizli/status/1598693816520908800", "1598693816520908800")</f>
        <v>1598693816520908800</v>
      </c>
      <c r="B167" t="s">
        <v>15</v>
      </c>
      <c r="C167" s="2">
        <v>44897.625949074078</v>
      </c>
      <c r="D167">
        <v>0</v>
      </c>
      <c r="E167">
        <v>90</v>
      </c>
      <c r="F167" t="s">
        <v>51</v>
      </c>
      <c r="G167" t="s">
        <v>221</v>
      </c>
      <c r="H167" t="str">
        <f>HYPERLINK("https://video.twimg.com/ext_tw_video/1598570624020086784/pu/vid/720x720/sGTZ1S7JXXJKMNF2.mp4?tag=12", "https://video.twimg.com/ext_tw_video/1598570624020086784/pu/vid/720x720/sGTZ1S7JXXJKMNF2.mp4?tag=12")</f>
        <v>https://video.twimg.com/ext_tw_video/1598570624020086784/pu/vid/720x720/sGTZ1S7JXXJKMNF2.mp4?tag=12</v>
      </c>
      <c r="L167">
        <v>0.49259999999999998</v>
      </c>
      <c r="M167">
        <v>0</v>
      </c>
      <c r="N167">
        <v>0.88700000000000001</v>
      </c>
      <c r="O167">
        <v>0.113</v>
      </c>
    </row>
    <row r="168" spans="1:15" x14ac:dyDescent="0.2">
      <c r="A168" s="1" t="str">
        <f>HYPERLINK("http://www.twitter.com/banuakdenizli/status/1598312209486159879", "1598312209486159879")</f>
        <v>1598312209486159879</v>
      </c>
      <c r="B168" t="s">
        <v>15</v>
      </c>
      <c r="C168" s="2">
        <v>44896.572916666657</v>
      </c>
      <c r="D168">
        <v>0</v>
      </c>
      <c r="E168">
        <v>2</v>
      </c>
      <c r="F168" t="s">
        <v>16</v>
      </c>
      <c r="G168" t="s">
        <v>222</v>
      </c>
      <c r="H168" t="str">
        <f>HYPERLINK("http://pbs.twimg.com/media/Fi37fIaXgAE3Lqm.jpg", "http://pbs.twimg.com/media/Fi37fIaXgAE3Lqm.jpg")</f>
        <v>http://pbs.twimg.com/media/Fi37fIaXgAE3Lqm.jpg</v>
      </c>
      <c r="L168">
        <v>0</v>
      </c>
      <c r="M168">
        <v>0</v>
      </c>
      <c r="N168">
        <v>1</v>
      </c>
      <c r="O168">
        <v>0</v>
      </c>
    </row>
    <row r="169" spans="1:15" x14ac:dyDescent="0.2">
      <c r="A169" s="1" t="str">
        <f>HYPERLINK("http://www.twitter.com/banuakdenizli/status/1598312109410029572", "1598312109410029572")</f>
        <v>1598312109410029572</v>
      </c>
      <c r="B169" t="s">
        <v>15</v>
      </c>
      <c r="C169" s="2">
        <v>44896.572638888887</v>
      </c>
      <c r="D169">
        <v>0</v>
      </c>
      <c r="E169">
        <v>39</v>
      </c>
      <c r="F169" t="s">
        <v>51</v>
      </c>
      <c r="G169" t="s">
        <v>223</v>
      </c>
      <c r="L169">
        <v>0</v>
      </c>
      <c r="M169">
        <v>0</v>
      </c>
      <c r="N169">
        <v>1</v>
      </c>
      <c r="O169">
        <v>0</v>
      </c>
    </row>
    <row r="170" spans="1:15" x14ac:dyDescent="0.2">
      <c r="A170" s="1" t="str">
        <f>HYPERLINK("http://www.twitter.com/banuakdenizli/status/1598249757671038977", "1598249757671038977")</f>
        <v>1598249757671038977</v>
      </c>
      <c r="B170" t="s">
        <v>15</v>
      </c>
      <c r="C170" s="2">
        <v>44896.400578703702</v>
      </c>
      <c r="D170">
        <v>0</v>
      </c>
      <c r="E170">
        <v>119</v>
      </c>
      <c r="F170" t="s">
        <v>20</v>
      </c>
      <c r="G170" t="s">
        <v>224</v>
      </c>
      <c r="H170" t="str">
        <f>HYPERLINK("http://pbs.twimg.com/media/Fi0QenbXkAAENdc.jpg", "http://pbs.twimg.com/media/Fi0QenbXkAAENdc.jpg")</f>
        <v>http://pbs.twimg.com/media/Fi0QenbXkAAENdc.jpg</v>
      </c>
      <c r="L170">
        <v>-0.55620000000000003</v>
      </c>
      <c r="M170">
        <v>7.9000000000000001E-2</v>
      </c>
      <c r="N170">
        <v>0.92100000000000004</v>
      </c>
      <c r="O170">
        <v>0</v>
      </c>
    </row>
    <row r="171" spans="1:15" x14ac:dyDescent="0.2">
      <c r="A171" s="1" t="str">
        <f>HYPERLINK("http://www.twitter.com/banuakdenizli/status/1598176925859876865", "1598176925859876865")</f>
        <v>1598176925859876865</v>
      </c>
      <c r="B171" t="s">
        <v>15</v>
      </c>
      <c r="C171" s="2">
        <v>44896.199606481481</v>
      </c>
      <c r="D171">
        <v>0</v>
      </c>
      <c r="E171">
        <v>1705</v>
      </c>
      <c r="F171" t="s">
        <v>51</v>
      </c>
      <c r="G171" t="s">
        <v>225</v>
      </c>
      <c r="H171" t="str">
        <f>HYPERLINK("http://pbs.twimg.com/media/Fi1yeW4XgAg3Wqz.jpg", "http://pbs.twimg.com/media/Fi1yeW4XgAg3Wqz.jpg")</f>
        <v>http://pbs.twimg.com/media/Fi1yeW4XgAg3Wqz.jpg</v>
      </c>
      <c r="L171">
        <v>0</v>
      </c>
      <c r="M171">
        <v>0</v>
      </c>
      <c r="N171">
        <v>1</v>
      </c>
      <c r="O171">
        <v>0</v>
      </c>
    </row>
    <row r="172" spans="1:15" x14ac:dyDescent="0.2">
      <c r="A172" s="1" t="str">
        <f>HYPERLINK("http://www.twitter.com/banuakdenizli/status/1598028212176818176", "1598028212176818176")</f>
        <v>1598028212176818176</v>
      </c>
      <c r="B172" t="s">
        <v>15</v>
      </c>
      <c r="C172" s="2">
        <v>44895.789236111108</v>
      </c>
      <c r="D172">
        <v>0</v>
      </c>
      <c r="E172">
        <v>13</v>
      </c>
      <c r="F172" t="s">
        <v>18</v>
      </c>
      <c r="G172" t="s">
        <v>226</v>
      </c>
      <c r="H172" t="str">
        <f>HYPERLINK("http://pbs.twimg.com/media/Fi0QenbXkAAENdc.jpg", "http://pbs.twimg.com/media/Fi0QenbXkAAENdc.jpg")</f>
        <v>http://pbs.twimg.com/media/Fi0QenbXkAAENdc.jpg</v>
      </c>
      <c r="L172">
        <v>0</v>
      </c>
      <c r="M172">
        <v>0</v>
      </c>
      <c r="N172">
        <v>1</v>
      </c>
      <c r="O172">
        <v>0</v>
      </c>
    </row>
    <row r="173" spans="1:15" x14ac:dyDescent="0.2">
      <c r="A173" s="1" t="str">
        <f>HYPERLINK("http://www.twitter.com/banuakdenizli/status/1598001106092949506", "1598001106092949506")</f>
        <v>1598001106092949506</v>
      </c>
      <c r="B173" t="s">
        <v>15</v>
      </c>
      <c r="C173" s="2">
        <v>44895.714432870373</v>
      </c>
      <c r="D173">
        <v>0</v>
      </c>
      <c r="E173">
        <v>459</v>
      </c>
      <c r="F173" t="s">
        <v>51</v>
      </c>
      <c r="G173" t="s">
        <v>227</v>
      </c>
      <c r="H173" t="str">
        <f>HYPERLINK("http://pbs.twimg.com/media/Fi07iX9WAAojEg-.jpg", "http://pbs.twimg.com/media/Fi07iX9WAAojEg-.jpg")</f>
        <v>http://pbs.twimg.com/media/Fi07iX9WAAojEg-.jpg</v>
      </c>
      <c r="L173">
        <v>-0.19009999999999999</v>
      </c>
      <c r="M173">
        <v>4.4999999999999998E-2</v>
      </c>
      <c r="N173">
        <v>0.95499999999999996</v>
      </c>
      <c r="O173">
        <v>0</v>
      </c>
    </row>
    <row r="174" spans="1:15" x14ac:dyDescent="0.2">
      <c r="A174" s="1" t="str">
        <f>HYPERLINK("http://www.twitter.com/banuakdenizli/status/1597971453496135685", "1597971453496135685")</f>
        <v>1597971453496135685</v>
      </c>
      <c r="B174" t="s">
        <v>15</v>
      </c>
      <c r="C174" s="2">
        <v>44895.632615740738</v>
      </c>
      <c r="D174">
        <v>4</v>
      </c>
      <c r="E174">
        <v>0</v>
      </c>
      <c r="G174" t="s">
        <v>228</v>
      </c>
      <c r="H174" t="str">
        <f>HYPERLINK("http://pbs.twimg.com/media/Fi0iiKAXwAEcj3j.jpg", "http://pbs.twimg.com/media/Fi0iiKAXwAEcj3j.jpg")</f>
        <v>http://pbs.twimg.com/media/Fi0iiKAXwAEcj3j.jpg</v>
      </c>
      <c r="L174">
        <v>0</v>
      </c>
      <c r="M174">
        <v>0</v>
      </c>
      <c r="N174">
        <v>1</v>
      </c>
      <c r="O174">
        <v>0</v>
      </c>
    </row>
    <row r="175" spans="1:15" x14ac:dyDescent="0.2">
      <c r="A175" s="1" t="str">
        <f>HYPERLINK("http://www.twitter.com/banuakdenizli/status/1597922036122546180", "1597922036122546180")</f>
        <v>1597922036122546180</v>
      </c>
      <c r="B175" t="s">
        <v>15</v>
      </c>
      <c r="C175" s="2">
        <v>44895.496249999997</v>
      </c>
      <c r="D175">
        <v>0</v>
      </c>
      <c r="E175">
        <v>489</v>
      </c>
      <c r="F175" t="s">
        <v>51</v>
      </c>
      <c r="G175" t="s">
        <v>229</v>
      </c>
      <c r="H175" t="str">
        <f>HYPERLINK("http://pbs.twimg.com/media/Fiy4xlxX0AASCSj.jpg", "http://pbs.twimg.com/media/Fiy4xlxX0AASCSj.jpg")</f>
        <v>http://pbs.twimg.com/media/Fiy4xlxX0AASCSj.jpg</v>
      </c>
      <c r="L175">
        <v>0</v>
      </c>
      <c r="M175">
        <v>0</v>
      </c>
      <c r="N175">
        <v>1</v>
      </c>
      <c r="O175">
        <v>0</v>
      </c>
    </row>
    <row r="176" spans="1:15" x14ac:dyDescent="0.2">
      <c r="A176" s="1" t="str">
        <f>HYPERLINK("http://www.twitter.com/banuakdenizli/status/1597888211334074368", "1597888211334074368")</f>
        <v>1597888211334074368</v>
      </c>
      <c r="B176" t="s">
        <v>15</v>
      </c>
      <c r="C176" s="2">
        <v>44895.402905092589</v>
      </c>
      <c r="D176">
        <v>0</v>
      </c>
      <c r="E176">
        <v>3</v>
      </c>
      <c r="F176" t="s">
        <v>144</v>
      </c>
      <c r="G176" t="s">
        <v>230</v>
      </c>
      <c r="H176" t="str">
        <f>HYPERLINK("http://pbs.twimg.com/media/FizOnbtWQAAz6Vn.jpg", "http://pbs.twimg.com/media/FizOnbtWQAAz6Vn.jpg")</f>
        <v>http://pbs.twimg.com/media/FizOnbtWQAAz6Vn.jpg</v>
      </c>
      <c r="L176">
        <v>0</v>
      </c>
      <c r="M176">
        <v>0</v>
      </c>
      <c r="N176">
        <v>1</v>
      </c>
      <c r="O176">
        <v>0</v>
      </c>
    </row>
    <row r="177" spans="1:15" x14ac:dyDescent="0.2">
      <c r="A177" s="1" t="str">
        <f>HYPERLINK("http://www.twitter.com/banuakdenizli/status/1597522272352206848", "1597522272352206848")</f>
        <v>1597522272352206848</v>
      </c>
      <c r="B177" t="s">
        <v>15</v>
      </c>
      <c r="C177" s="2">
        <v>44894.393101851849</v>
      </c>
      <c r="D177">
        <v>3</v>
      </c>
      <c r="E177">
        <v>0</v>
      </c>
      <c r="G177" t="s">
        <v>231</v>
      </c>
      <c r="H177" t="str">
        <f>HYPERLINK("http://pbs.twimg.com/media/FiuKBlzWIAEi7vK.jpg", "http://pbs.twimg.com/media/FiuKBlzWIAEi7vK.jpg")</f>
        <v>http://pbs.twimg.com/media/FiuKBlzWIAEi7vK.jpg</v>
      </c>
      <c r="I177" t="str">
        <f>HYPERLINK("http://pbs.twimg.com/media/FiuKB5VWIAM-Yge.jpg", "http://pbs.twimg.com/media/FiuKB5VWIAM-Yge.jpg")</f>
        <v>http://pbs.twimg.com/media/FiuKB5VWIAM-Yge.jpg</v>
      </c>
      <c r="J177" t="str">
        <f>HYPERLINK("http://pbs.twimg.com/media/FiuKCOmXgAILHWn.jpg", "http://pbs.twimg.com/media/FiuKCOmXgAILHWn.jpg")</f>
        <v>http://pbs.twimg.com/media/FiuKCOmXgAILHWn.jpg</v>
      </c>
      <c r="K177" t="str">
        <f>HYPERLINK("http://pbs.twimg.com/media/FiuKCieXkAAh-yi.jpg", "http://pbs.twimg.com/media/FiuKCieXkAAh-yi.jpg")</f>
        <v>http://pbs.twimg.com/media/FiuKCieXkAAh-yi.jpg</v>
      </c>
      <c r="L177">
        <v>0</v>
      </c>
      <c r="M177">
        <v>0</v>
      </c>
      <c r="N177">
        <v>1</v>
      </c>
      <c r="O177">
        <v>0</v>
      </c>
    </row>
    <row r="178" spans="1:15" x14ac:dyDescent="0.2">
      <c r="A178" s="1" t="str">
        <f>HYPERLINK("http://www.twitter.com/banuakdenizli/status/1597221947305521155", "1597221947305521155")</f>
        <v>1597221947305521155</v>
      </c>
      <c r="B178" t="s">
        <v>15</v>
      </c>
      <c r="C178" s="2">
        <v>44893.564363425918</v>
      </c>
      <c r="D178">
        <v>56</v>
      </c>
      <c r="E178">
        <v>13</v>
      </c>
      <c r="G178" t="s">
        <v>232</v>
      </c>
      <c r="H178" t="str">
        <f>HYPERLINK("http://pbs.twimg.com/media/Fip43ANXEAclZeJ.jpg", "http://pbs.twimg.com/media/Fip43ANXEAclZeJ.jpg")</f>
        <v>http://pbs.twimg.com/media/Fip43ANXEAclZeJ.jpg</v>
      </c>
      <c r="I178" t="str">
        <f>HYPERLINK("http://pbs.twimg.com/media/Fip43bnXwAEXd6e.jpg", "http://pbs.twimg.com/media/Fip43bnXwAEXd6e.jpg")</f>
        <v>http://pbs.twimg.com/media/Fip43bnXwAEXd6e.jpg</v>
      </c>
      <c r="J178" t="str">
        <f>HYPERLINK("http://pbs.twimg.com/media/Fip44YFXkAIDv7A.jpg", "http://pbs.twimg.com/media/Fip44YFXkAIDv7A.jpg")</f>
        <v>http://pbs.twimg.com/media/Fip44YFXkAIDv7A.jpg</v>
      </c>
      <c r="K178" t="str">
        <f>HYPERLINK("http://pbs.twimg.com/media/Fip448mWAAAvN7J.jpg", "http://pbs.twimg.com/media/Fip448mWAAAvN7J.jpg")</f>
        <v>http://pbs.twimg.com/media/Fip448mWAAAvN7J.jpg</v>
      </c>
      <c r="L178">
        <v>0.80159999999999998</v>
      </c>
      <c r="M178">
        <v>0</v>
      </c>
      <c r="N178">
        <v>0.84099999999999997</v>
      </c>
      <c r="O178">
        <v>0.159</v>
      </c>
    </row>
    <row r="179" spans="1:15" x14ac:dyDescent="0.2">
      <c r="A179" s="1" t="str">
        <f>HYPERLINK("http://www.twitter.com/banuakdenizli/status/1597155314964406274", "1597155314964406274")</f>
        <v>1597155314964406274</v>
      </c>
      <c r="B179" t="s">
        <v>15</v>
      </c>
      <c r="C179" s="2">
        <v>44893.380497685182</v>
      </c>
      <c r="D179">
        <v>0</v>
      </c>
      <c r="E179">
        <v>355</v>
      </c>
      <c r="F179" t="s">
        <v>51</v>
      </c>
      <c r="G179" t="s">
        <v>233</v>
      </c>
      <c r="H179" t="str">
        <f>HYPERLINK("http://pbs.twimg.com/media/FioqqDcWAAE9FiG.jpg", "http://pbs.twimg.com/media/FioqqDcWAAE9FiG.jpg")</f>
        <v>http://pbs.twimg.com/media/FioqqDcWAAE9FiG.jpg</v>
      </c>
      <c r="L179">
        <v>0.49259999999999998</v>
      </c>
      <c r="M179">
        <v>0</v>
      </c>
      <c r="N179">
        <v>0.83399999999999996</v>
      </c>
      <c r="O179">
        <v>0.16600000000000001</v>
      </c>
    </row>
    <row r="180" spans="1:15" x14ac:dyDescent="0.2">
      <c r="A180" s="1" t="str">
        <f>HYPERLINK("http://www.twitter.com/banuakdenizli/status/1596857739870814208", "1596857739870814208")</f>
        <v>1596857739870814208</v>
      </c>
      <c r="B180" t="s">
        <v>15</v>
      </c>
      <c r="C180" s="2">
        <v>44892.559351851851</v>
      </c>
      <c r="D180">
        <v>0</v>
      </c>
      <c r="E180">
        <v>2</v>
      </c>
      <c r="F180" t="s">
        <v>234</v>
      </c>
      <c r="G180" t="s">
        <v>235</v>
      </c>
      <c r="H180" t="str">
        <f>HYPERLINK("http://pbs.twimg.com/media/FiiDJyPWYAEbwDU.jpg", "http://pbs.twimg.com/media/FiiDJyPWYAEbwDU.jpg")</f>
        <v>http://pbs.twimg.com/media/FiiDJyPWYAEbwDU.jpg</v>
      </c>
      <c r="L180">
        <v>0</v>
      </c>
      <c r="M180">
        <v>0</v>
      </c>
      <c r="N180">
        <v>1</v>
      </c>
      <c r="O180">
        <v>0</v>
      </c>
    </row>
    <row r="181" spans="1:15" x14ac:dyDescent="0.2">
      <c r="A181" s="1" t="str">
        <f>HYPERLINK("http://www.twitter.com/banuakdenizli/status/1596589112122826752", "1596589112122826752")</f>
        <v>1596589112122826752</v>
      </c>
      <c r="B181" t="s">
        <v>15</v>
      </c>
      <c r="C181" s="2">
        <v>44891.818078703713</v>
      </c>
      <c r="D181">
        <v>0</v>
      </c>
      <c r="E181">
        <v>0</v>
      </c>
      <c r="G181" t="s">
        <v>236</v>
      </c>
      <c r="L181">
        <v>0.90139999999999998</v>
      </c>
      <c r="M181">
        <v>0</v>
      </c>
      <c r="N181">
        <v>0.70899999999999996</v>
      </c>
      <c r="O181">
        <v>0.29099999999999998</v>
      </c>
    </row>
    <row r="182" spans="1:15" x14ac:dyDescent="0.2">
      <c r="A182" s="1" t="str">
        <f>HYPERLINK("http://www.twitter.com/banuakdenizli/status/1596588812872085504", "1596588812872085504")</f>
        <v>1596588812872085504</v>
      </c>
      <c r="B182" t="s">
        <v>15</v>
      </c>
      <c r="C182" s="2">
        <v>44891.817245370366</v>
      </c>
      <c r="D182">
        <v>0</v>
      </c>
      <c r="E182">
        <v>344</v>
      </c>
      <c r="F182" t="s">
        <v>17</v>
      </c>
      <c r="G182" t="s">
        <v>237</v>
      </c>
      <c r="L182">
        <v>0</v>
      </c>
      <c r="M182">
        <v>0</v>
      </c>
      <c r="N182">
        <v>1</v>
      </c>
      <c r="O182">
        <v>0</v>
      </c>
    </row>
    <row r="183" spans="1:15" x14ac:dyDescent="0.2">
      <c r="A183" s="1" t="str">
        <f>HYPERLINK("http://www.twitter.com/banuakdenizli/status/1596588250944385025", "1596588250944385025")</f>
        <v>1596588250944385025</v>
      </c>
      <c r="B183" t="s">
        <v>15</v>
      </c>
      <c r="C183" s="2">
        <v>44891.815694444442</v>
      </c>
      <c r="D183">
        <v>61</v>
      </c>
      <c r="E183">
        <v>19</v>
      </c>
      <c r="G183" t="s">
        <v>238</v>
      </c>
      <c r="H183" t="str">
        <f>HYPERLINK("http://pbs.twimg.com/media/Fig4ihpXgAU13D_.jpg", "http://pbs.twimg.com/media/Fig4ihpXgAU13D_.jpg")</f>
        <v>http://pbs.twimg.com/media/Fig4ihpXgAU13D_.jpg</v>
      </c>
      <c r="I183" t="str">
        <f>HYPERLINK("http://pbs.twimg.com/media/Fig4jD3WQAEcgGY.jpg", "http://pbs.twimg.com/media/Fig4jD3WQAEcgGY.jpg")</f>
        <v>http://pbs.twimg.com/media/Fig4jD3WQAEcgGY.jpg</v>
      </c>
      <c r="L183">
        <v>0.75560000000000005</v>
      </c>
      <c r="M183">
        <v>0</v>
      </c>
      <c r="N183">
        <v>0.86399999999999999</v>
      </c>
      <c r="O183">
        <v>0.13600000000000001</v>
      </c>
    </row>
    <row r="184" spans="1:15" x14ac:dyDescent="0.2">
      <c r="A184" s="1" t="str">
        <f>HYPERLINK("http://www.twitter.com/banuakdenizli/status/1596587275538042880", "1596587275538042880")</f>
        <v>1596587275538042880</v>
      </c>
      <c r="B184" t="s">
        <v>15</v>
      </c>
      <c r="C184" s="2">
        <v>44891.813009259262</v>
      </c>
      <c r="D184">
        <v>0</v>
      </c>
      <c r="E184">
        <v>382</v>
      </c>
      <c r="F184" t="s">
        <v>51</v>
      </c>
      <c r="G184" t="s">
        <v>239</v>
      </c>
      <c r="H184" t="str">
        <f>HYPERLINK("https://video.twimg.com/ext_tw_video/1596573043752591360/pu/vid/720x1280/2yvp2mkgy1NX6zON.mp4?tag=12", "https://video.twimg.com/ext_tw_video/1596573043752591360/pu/vid/720x1280/2yvp2mkgy1NX6zON.mp4?tag=12")</f>
        <v>https://video.twimg.com/ext_tw_video/1596573043752591360/pu/vid/720x1280/2yvp2mkgy1NX6zON.mp4?tag=12</v>
      </c>
      <c r="L184">
        <v>0</v>
      </c>
      <c r="M184">
        <v>0</v>
      </c>
      <c r="N184">
        <v>1</v>
      </c>
      <c r="O184">
        <v>0</v>
      </c>
    </row>
    <row r="185" spans="1:15" x14ac:dyDescent="0.2">
      <c r="A185" s="1" t="str">
        <f>HYPERLINK("http://www.twitter.com/banuakdenizli/status/1596567463633866753", "1596567463633866753")</f>
        <v>1596567463633866753</v>
      </c>
      <c r="B185" t="s">
        <v>15</v>
      </c>
      <c r="C185" s="2">
        <v>44891.758333333331</v>
      </c>
      <c r="D185">
        <v>0</v>
      </c>
      <c r="E185">
        <v>6424</v>
      </c>
      <c r="F185" t="s">
        <v>51</v>
      </c>
      <c r="G185" t="s">
        <v>240</v>
      </c>
      <c r="H185" t="str">
        <f>HYPERLINK("http://pbs.twimg.com/media/FighceIWAAMY7Df.jpg", "http://pbs.twimg.com/media/FighceIWAAMY7Df.jpg")</f>
        <v>http://pbs.twimg.com/media/FighceIWAAMY7Df.jpg</v>
      </c>
      <c r="L185">
        <v>0</v>
      </c>
      <c r="M185">
        <v>0</v>
      </c>
      <c r="N185">
        <v>1</v>
      </c>
      <c r="O185">
        <v>0</v>
      </c>
    </row>
    <row r="186" spans="1:15" x14ac:dyDescent="0.2">
      <c r="A186" s="1" t="str">
        <f>HYPERLINK("http://www.twitter.com/banuakdenizli/status/1596561714988093440", "1596561714988093440")</f>
        <v>1596561714988093440</v>
      </c>
      <c r="B186" t="s">
        <v>15</v>
      </c>
      <c r="C186" s="2">
        <v>44891.742476851847</v>
      </c>
      <c r="D186">
        <v>0</v>
      </c>
      <c r="E186">
        <v>1506</v>
      </c>
      <c r="F186" t="s">
        <v>51</v>
      </c>
      <c r="G186" t="s">
        <v>241</v>
      </c>
      <c r="H186" t="str">
        <f>HYPERLINK("http://pbs.twimg.com/media/Figfzl8WIAI92Ey.jpg", "http://pbs.twimg.com/media/Figfzl8WIAI92Ey.jpg")</f>
        <v>http://pbs.twimg.com/media/Figfzl8WIAI92Ey.jpg</v>
      </c>
      <c r="L186">
        <v>0</v>
      </c>
      <c r="M186">
        <v>0</v>
      </c>
      <c r="N186">
        <v>1</v>
      </c>
      <c r="O186">
        <v>0</v>
      </c>
    </row>
    <row r="187" spans="1:15" x14ac:dyDescent="0.2">
      <c r="A187" s="1" t="str">
        <f>HYPERLINK("http://www.twitter.com/banuakdenizli/status/1596554042888650754", "1596554042888650754")</f>
        <v>1596554042888650754</v>
      </c>
      <c r="B187" t="s">
        <v>15</v>
      </c>
      <c r="C187" s="2">
        <v>44891.721307870372</v>
      </c>
      <c r="D187">
        <v>0</v>
      </c>
      <c r="E187">
        <v>321</v>
      </c>
      <c r="F187" t="s">
        <v>17</v>
      </c>
      <c r="G187" t="s">
        <v>242</v>
      </c>
      <c r="L187">
        <v>0.71840000000000004</v>
      </c>
      <c r="M187">
        <v>0</v>
      </c>
      <c r="N187">
        <v>0.75</v>
      </c>
      <c r="O187">
        <v>0.25</v>
      </c>
    </row>
    <row r="188" spans="1:15" x14ac:dyDescent="0.2">
      <c r="A188" s="1" t="str">
        <f>HYPERLINK("http://www.twitter.com/banuakdenizli/status/1596550180047921154", "1596550180047921154")</f>
        <v>1596550180047921154</v>
      </c>
      <c r="B188" t="s">
        <v>15</v>
      </c>
      <c r="C188" s="2">
        <v>44891.710648148153</v>
      </c>
      <c r="D188">
        <v>0</v>
      </c>
      <c r="E188">
        <v>690</v>
      </c>
      <c r="F188" t="s">
        <v>17</v>
      </c>
      <c r="G188" t="s">
        <v>243</v>
      </c>
      <c r="L188">
        <v>0.52549999999999997</v>
      </c>
      <c r="M188">
        <v>0</v>
      </c>
      <c r="N188">
        <v>0.89800000000000002</v>
      </c>
      <c r="O188">
        <v>0.10199999999999999</v>
      </c>
    </row>
    <row r="189" spans="1:15" x14ac:dyDescent="0.2">
      <c r="A189" s="1" t="str">
        <f>HYPERLINK("http://www.twitter.com/banuakdenizli/status/1596548419937783809", "1596548419937783809")</f>
        <v>1596548419937783809</v>
      </c>
      <c r="B189" t="s">
        <v>15</v>
      </c>
      <c r="C189" s="2">
        <v>44891.705787037034</v>
      </c>
      <c r="D189">
        <v>0</v>
      </c>
      <c r="E189">
        <v>3</v>
      </c>
      <c r="F189" t="s">
        <v>25</v>
      </c>
      <c r="G189" t="s">
        <v>244</v>
      </c>
      <c r="H189" t="str">
        <f>HYPERLINK("http://pbs.twimg.com/media/FigMm9NXEAIpRw4.jpg", "http://pbs.twimg.com/media/FigMm9NXEAIpRw4.jpg")</f>
        <v>http://pbs.twimg.com/media/FigMm9NXEAIpRw4.jpg</v>
      </c>
      <c r="I189" t="str">
        <f>HYPERLINK("http://pbs.twimg.com/media/FigMm9hXwAc8UTn.jpg", "http://pbs.twimg.com/media/FigMm9hXwAc8UTn.jpg")</f>
        <v>http://pbs.twimg.com/media/FigMm9hXwAc8UTn.jpg</v>
      </c>
      <c r="J189" t="str">
        <f>HYPERLINK("http://pbs.twimg.com/media/FigMm9BX0AAeJlf.jpg", "http://pbs.twimg.com/media/FigMm9BX0AAeJlf.jpg")</f>
        <v>http://pbs.twimg.com/media/FigMm9BX0AAeJlf.jpg</v>
      </c>
      <c r="K189" t="str">
        <f>HYPERLINK("http://pbs.twimg.com/media/FigMm8dXwAQ19w6.jpg", "http://pbs.twimg.com/media/FigMm8dXwAQ19w6.jpg")</f>
        <v>http://pbs.twimg.com/media/FigMm8dXwAQ19w6.jpg</v>
      </c>
      <c r="L189">
        <v>0.47670000000000001</v>
      </c>
      <c r="M189">
        <v>0</v>
      </c>
      <c r="N189">
        <v>0.83799999999999997</v>
      </c>
      <c r="O189">
        <v>0.16200000000000001</v>
      </c>
    </row>
    <row r="190" spans="1:15" x14ac:dyDescent="0.2">
      <c r="A190" s="1" t="str">
        <f>HYPERLINK("http://www.twitter.com/banuakdenizli/status/1596540709481455620", "1596540709481455620")</f>
        <v>1596540709481455620</v>
      </c>
      <c r="B190" t="s">
        <v>15</v>
      </c>
      <c r="C190" s="2">
        <v>44891.684513888889</v>
      </c>
      <c r="D190">
        <v>0</v>
      </c>
      <c r="E190">
        <v>1</v>
      </c>
      <c r="F190" t="s">
        <v>245</v>
      </c>
      <c r="G190" t="s">
        <v>246</v>
      </c>
      <c r="L190">
        <v>0</v>
      </c>
      <c r="M190">
        <v>0</v>
      </c>
      <c r="N190">
        <v>1</v>
      </c>
      <c r="O190">
        <v>0</v>
      </c>
    </row>
    <row r="191" spans="1:15" x14ac:dyDescent="0.2">
      <c r="A191" s="1" t="str">
        <f>HYPERLINK("http://www.twitter.com/banuakdenizli/status/1596537240150220801", "1596537240150220801")</f>
        <v>1596537240150220801</v>
      </c>
      <c r="B191" t="s">
        <v>15</v>
      </c>
      <c r="C191" s="2">
        <v>44891.674930555557</v>
      </c>
      <c r="D191">
        <v>0</v>
      </c>
      <c r="E191">
        <v>135</v>
      </c>
      <c r="F191" t="s">
        <v>51</v>
      </c>
      <c r="G191" t="s">
        <v>247</v>
      </c>
      <c r="H191" t="str">
        <f>HYPERLINK("http://pbs.twimg.com/media/FigIPLgWQAA-JMt.jpg", "http://pbs.twimg.com/media/FigIPLgWQAA-JMt.jpg")</f>
        <v>http://pbs.twimg.com/media/FigIPLgWQAA-JMt.jpg</v>
      </c>
      <c r="L191">
        <v>0</v>
      </c>
      <c r="M191">
        <v>0</v>
      </c>
      <c r="N191">
        <v>1</v>
      </c>
      <c r="O191">
        <v>0</v>
      </c>
    </row>
    <row r="192" spans="1:15" x14ac:dyDescent="0.2">
      <c r="A192" s="1" t="str">
        <f>HYPERLINK("http://www.twitter.com/banuakdenizli/status/1596536204878807040", "1596536204878807040")</f>
        <v>1596536204878807040</v>
      </c>
      <c r="B192" t="s">
        <v>15</v>
      </c>
      <c r="C192" s="2">
        <v>44891.672083333331</v>
      </c>
      <c r="D192">
        <v>21</v>
      </c>
      <c r="E192">
        <v>4</v>
      </c>
      <c r="G192" t="s">
        <v>248</v>
      </c>
      <c r="H192" t="str">
        <f>HYPERLINK("http://pbs.twimg.com/media/FigJLtsXkAE6vmC.jpg", "http://pbs.twimg.com/media/FigJLtsXkAE6vmC.jpg")</f>
        <v>http://pbs.twimg.com/media/FigJLtsXkAE6vmC.jpg</v>
      </c>
      <c r="I192" t="str">
        <f>HYPERLINK("http://pbs.twimg.com/media/FigJMqfXEAAuj5Q.jpg", "http://pbs.twimg.com/media/FigJMqfXEAAuj5Q.jpg")</f>
        <v>http://pbs.twimg.com/media/FigJMqfXEAAuj5Q.jpg</v>
      </c>
      <c r="J192" t="str">
        <f>HYPERLINK("http://pbs.twimg.com/media/FigJNbrXkAEleHS.jpg", "http://pbs.twimg.com/media/FigJNbrXkAEleHS.jpg")</f>
        <v>http://pbs.twimg.com/media/FigJNbrXkAEleHS.jpg</v>
      </c>
      <c r="L192">
        <v>0</v>
      </c>
      <c r="M192">
        <v>0</v>
      </c>
      <c r="N192">
        <v>1</v>
      </c>
      <c r="O192">
        <v>0</v>
      </c>
    </row>
    <row r="193" spans="1:15" x14ac:dyDescent="0.2">
      <c r="A193" s="1" t="str">
        <f>HYPERLINK("http://www.twitter.com/banuakdenizli/status/1596504643575611393", "1596504643575611393")</f>
        <v>1596504643575611393</v>
      </c>
      <c r="B193" t="s">
        <v>15</v>
      </c>
      <c r="C193" s="2">
        <v>44891.584988425922</v>
      </c>
      <c r="D193">
        <v>21</v>
      </c>
      <c r="E193">
        <v>9</v>
      </c>
      <c r="G193" t="s">
        <v>249</v>
      </c>
      <c r="H193" t="str">
        <f>HYPERLINK("https://video.twimg.com/ext_tw_video/1596504515695493121/pu/vid/1280x720/EWMTrkuGR2vNdph3.mp4?tag=12", "https://video.twimg.com/ext_tw_video/1596504515695493121/pu/vid/1280x720/EWMTrkuGR2vNdph3.mp4?tag=12")</f>
        <v>https://video.twimg.com/ext_tw_video/1596504515695493121/pu/vid/1280x720/EWMTrkuGR2vNdph3.mp4?tag=12</v>
      </c>
      <c r="L193">
        <v>0</v>
      </c>
      <c r="M193">
        <v>0</v>
      </c>
      <c r="N193">
        <v>1</v>
      </c>
      <c r="O193">
        <v>0</v>
      </c>
    </row>
    <row r="194" spans="1:15" x14ac:dyDescent="0.2">
      <c r="A194" s="1" t="str">
        <f>HYPERLINK("http://www.twitter.com/banuakdenizli/status/1596503909253763078", "1596503909253763078")</f>
        <v>1596503909253763078</v>
      </c>
      <c r="B194" t="s">
        <v>15</v>
      </c>
      <c r="C194" s="2">
        <v>44891.582962962973</v>
      </c>
      <c r="D194">
        <v>91</v>
      </c>
      <c r="E194">
        <v>35</v>
      </c>
      <c r="G194" t="s">
        <v>250</v>
      </c>
      <c r="H194" t="str">
        <f>HYPERLINK("https://video.twimg.com/ext_tw_video/1596503810758905858/pu/vid/1280x720/dCTfFxbEhNg73PHU.mp4?tag=12", "https://video.twimg.com/ext_tw_video/1596503810758905858/pu/vid/1280x720/dCTfFxbEhNg73PHU.mp4?tag=12")</f>
        <v>https://video.twimg.com/ext_tw_video/1596503810758905858/pu/vid/1280x720/dCTfFxbEhNg73PHU.mp4?tag=12</v>
      </c>
      <c r="L194">
        <v>0.49259999999999998</v>
      </c>
      <c r="M194">
        <v>0</v>
      </c>
      <c r="N194">
        <v>0.92300000000000004</v>
      </c>
      <c r="O194">
        <v>7.6999999999999999E-2</v>
      </c>
    </row>
    <row r="195" spans="1:15" x14ac:dyDescent="0.2">
      <c r="A195" s="1" t="str">
        <f>HYPERLINK("http://www.twitter.com/banuakdenizli/status/1596440238662250496", "1596440238662250496")</f>
        <v>1596440238662250496</v>
      </c>
      <c r="B195" t="s">
        <v>15</v>
      </c>
      <c r="C195" s="2">
        <v>44891.407256944447</v>
      </c>
      <c r="D195">
        <v>0</v>
      </c>
      <c r="E195">
        <v>2</v>
      </c>
      <c r="F195" t="s">
        <v>251</v>
      </c>
      <c r="G195" t="s">
        <v>252</v>
      </c>
      <c r="H195" t="str">
        <f>HYPERLINK("https://video.twimg.com/amplify_video/1594419146887946243/vid/720x900/iFPC416AWGSErpJa.mp4?tag=14", "https://video.twimg.com/amplify_video/1594419146887946243/vid/720x900/iFPC416AWGSErpJa.mp4?tag=14")</f>
        <v>https://video.twimg.com/amplify_video/1594419146887946243/vid/720x900/iFPC416AWGSErpJa.mp4?tag=14</v>
      </c>
      <c r="L195">
        <v>0</v>
      </c>
      <c r="M195">
        <v>0</v>
      </c>
      <c r="N195">
        <v>1</v>
      </c>
      <c r="O195">
        <v>0</v>
      </c>
    </row>
    <row r="196" spans="1:15" x14ac:dyDescent="0.2">
      <c r="A196" s="1" t="str">
        <f>HYPERLINK("http://www.twitter.com/banuakdenizli/status/1596199430000185344", "1596199430000185344")</f>
        <v>1596199430000185344</v>
      </c>
      <c r="B196" t="s">
        <v>15</v>
      </c>
      <c r="C196" s="2">
        <v>44890.742754629631</v>
      </c>
      <c r="D196">
        <v>0</v>
      </c>
      <c r="E196">
        <v>313</v>
      </c>
      <c r="F196" t="s">
        <v>51</v>
      </c>
      <c r="G196" t="s">
        <v>253</v>
      </c>
      <c r="H196" t="str">
        <f>HYPERLINK("http://pbs.twimg.com/media/FiZRlLkXgAE6srN.jpg", "http://pbs.twimg.com/media/FiZRlLkXgAE6srN.jpg")</f>
        <v>http://pbs.twimg.com/media/FiZRlLkXgAE6srN.jpg</v>
      </c>
      <c r="I196" t="str">
        <f>HYPERLINK("http://pbs.twimg.com/media/FiZRlLqWAAkLPYG.jpg", "http://pbs.twimg.com/media/FiZRlLqWAAkLPYG.jpg")</f>
        <v>http://pbs.twimg.com/media/FiZRlLqWAAkLPYG.jpg</v>
      </c>
      <c r="L196">
        <v>0.49259999999999998</v>
      </c>
      <c r="M196">
        <v>0</v>
      </c>
      <c r="N196">
        <v>0.68700000000000006</v>
      </c>
      <c r="O196">
        <v>0.313</v>
      </c>
    </row>
    <row r="197" spans="1:15" x14ac:dyDescent="0.2">
      <c r="A197" s="1" t="str">
        <f>HYPERLINK("http://www.twitter.com/banuakdenizli/status/1596199402087280640", "1596199402087280640")</f>
        <v>1596199402087280640</v>
      </c>
      <c r="B197" t="s">
        <v>15</v>
      </c>
      <c r="C197" s="2">
        <v>44890.742685185192</v>
      </c>
      <c r="D197">
        <v>0</v>
      </c>
      <c r="E197">
        <v>129</v>
      </c>
      <c r="F197" t="s">
        <v>51</v>
      </c>
      <c r="G197" t="s">
        <v>254</v>
      </c>
      <c r="H197" t="str">
        <f>HYPERLINK("https://video.twimg.com/ext_tw_video/1596114176795152385/pu/vid/1280x720/C8Nq6GRyGvbK6k3e.mp4?tag=12", "https://video.twimg.com/ext_tw_video/1596114176795152385/pu/vid/1280x720/C8Nq6GRyGvbK6k3e.mp4?tag=12")</f>
        <v>https://video.twimg.com/ext_tw_video/1596114176795152385/pu/vid/1280x720/C8Nq6GRyGvbK6k3e.mp4?tag=12</v>
      </c>
      <c r="L197">
        <v>0</v>
      </c>
      <c r="M197">
        <v>0</v>
      </c>
      <c r="N197">
        <v>1</v>
      </c>
      <c r="O197">
        <v>0</v>
      </c>
    </row>
    <row r="198" spans="1:15" x14ac:dyDescent="0.2">
      <c r="A198" s="1" t="str">
        <f>HYPERLINK("http://www.twitter.com/banuakdenizli/status/1596088101394386945", "1596088101394386945")</f>
        <v>1596088101394386945</v>
      </c>
      <c r="B198" t="s">
        <v>15</v>
      </c>
      <c r="C198" s="2">
        <v>44890.435543981483</v>
      </c>
      <c r="D198">
        <v>0</v>
      </c>
      <c r="E198">
        <v>12</v>
      </c>
      <c r="F198" t="s">
        <v>112</v>
      </c>
      <c r="G198" t="s">
        <v>255</v>
      </c>
      <c r="H198" t="str">
        <f>HYPERLINK("http://pbs.twimg.com/media/FiZsR2NX0AUnAbi.jpg", "http://pbs.twimg.com/media/FiZsR2NX0AUnAbi.jpg")</f>
        <v>http://pbs.twimg.com/media/FiZsR2NX0AUnAbi.jpg</v>
      </c>
      <c r="I198" t="str">
        <f>HYPERLINK("http://pbs.twimg.com/media/FiZsSlZXoAYbI5b.jpg", "http://pbs.twimg.com/media/FiZsSlZXoAYbI5b.jpg")</f>
        <v>http://pbs.twimg.com/media/FiZsSlZXoAYbI5b.jpg</v>
      </c>
      <c r="J198" t="str">
        <f>HYPERLINK("http://pbs.twimg.com/media/FiZsTmTWIAEPAgl.jpg", "http://pbs.twimg.com/media/FiZsTmTWIAEPAgl.jpg")</f>
        <v>http://pbs.twimg.com/media/FiZsTmTWIAEPAgl.jpg</v>
      </c>
      <c r="K198" t="str">
        <f>HYPERLINK("http://pbs.twimg.com/media/FiZsUXcWIAEKFlo.jpg", "http://pbs.twimg.com/media/FiZsUXcWIAEKFlo.jpg")</f>
        <v>http://pbs.twimg.com/media/FiZsUXcWIAEKFlo.jpg</v>
      </c>
      <c r="L198">
        <v>0</v>
      </c>
      <c r="M198">
        <v>0</v>
      </c>
      <c r="N198">
        <v>1</v>
      </c>
      <c r="O198">
        <v>0</v>
      </c>
    </row>
    <row r="199" spans="1:15" x14ac:dyDescent="0.2">
      <c r="A199" s="1" t="str">
        <f>HYPERLINK("http://www.twitter.com/banuakdenizli/status/1596028571507630083", "1596028571507630083")</f>
        <v>1596028571507630083</v>
      </c>
      <c r="B199" t="s">
        <v>15</v>
      </c>
      <c r="C199" s="2">
        <v>44890.271273148152</v>
      </c>
      <c r="D199">
        <v>0</v>
      </c>
      <c r="E199">
        <v>8</v>
      </c>
      <c r="F199" t="s">
        <v>256</v>
      </c>
      <c r="G199" t="s">
        <v>257</v>
      </c>
      <c r="H199" t="str">
        <f>HYPERLINK("http://pbs.twimg.com/media/FiSGgfEWIBc5vm5.jpg", "http://pbs.twimg.com/media/FiSGgfEWIBc5vm5.jpg")</f>
        <v>http://pbs.twimg.com/media/FiSGgfEWIBc5vm5.jpg</v>
      </c>
      <c r="L199">
        <v>0</v>
      </c>
      <c r="M199">
        <v>0</v>
      </c>
      <c r="N199">
        <v>1</v>
      </c>
      <c r="O199">
        <v>0</v>
      </c>
    </row>
    <row r="200" spans="1:15" x14ac:dyDescent="0.2">
      <c r="A200" s="1" t="str">
        <f>HYPERLINK("http://www.twitter.com/banuakdenizli/status/1595758462562074624", "1595758462562074624")</f>
        <v>1595758462562074624</v>
      </c>
      <c r="B200" t="s">
        <v>15</v>
      </c>
      <c r="C200" s="2">
        <v>44889.525914351849</v>
      </c>
      <c r="D200">
        <v>0</v>
      </c>
      <c r="E200">
        <v>195</v>
      </c>
      <c r="F200" t="s">
        <v>51</v>
      </c>
      <c r="G200" t="s">
        <v>258</v>
      </c>
      <c r="H200" t="str">
        <f>HYPERLINK("https://video.twimg.com/amplify_video/1595503216984084480/vid/720x720/RLN0G5yFowwRdJP0.mp4?tag=14", "https://video.twimg.com/amplify_video/1595503216984084480/vid/720x720/RLN0G5yFowwRdJP0.mp4?tag=14")</f>
        <v>https://video.twimg.com/amplify_video/1595503216984084480/vid/720x720/RLN0G5yFowwRdJP0.mp4?tag=14</v>
      </c>
      <c r="L200">
        <v>0.49259999999999998</v>
      </c>
      <c r="M200">
        <v>0</v>
      </c>
      <c r="N200">
        <v>0.89400000000000002</v>
      </c>
      <c r="O200">
        <v>0.106</v>
      </c>
    </row>
    <row r="201" spans="1:15" x14ac:dyDescent="0.2">
      <c r="A201" s="1" t="str">
        <f>HYPERLINK("http://www.twitter.com/banuakdenizli/status/1595746564819099648", "1595746564819099648")</f>
        <v>1595746564819099648</v>
      </c>
      <c r="B201" t="s">
        <v>15</v>
      </c>
      <c r="C201" s="2">
        <v>44889.493090277778</v>
      </c>
      <c r="D201">
        <v>2</v>
      </c>
      <c r="E201">
        <v>0</v>
      </c>
      <c r="G201" t="s">
        <v>259</v>
      </c>
      <c r="L201">
        <v>0</v>
      </c>
      <c r="M201">
        <v>0</v>
      </c>
      <c r="N201">
        <v>1</v>
      </c>
      <c r="O201">
        <v>0</v>
      </c>
    </row>
    <row r="202" spans="1:15" x14ac:dyDescent="0.2">
      <c r="A202" s="1" t="str">
        <f>HYPERLINK("http://www.twitter.com/banuakdenizli/status/1595744988830261248", "1595744988830261248")</f>
        <v>1595744988830261248</v>
      </c>
      <c r="B202" t="s">
        <v>15</v>
      </c>
      <c r="C202" s="2">
        <v>44889.488738425927</v>
      </c>
      <c r="D202">
        <v>30</v>
      </c>
      <c r="E202">
        <v>2</v>
      </c>
      <c r="G202" t="s">
        <v>260</v>
      </c>
      <c r="L202">
        <v>0</v>
      </c>
      <c r="M202">
        <v>0</v>
      </c>
      <c r="N202">
        <v>1</v>
      </c>
      <c r="O202">
        <v>0</v>
      </c>
    </row>
    <row r="203" spans="1:15" x14ac:dyDescent="0.2">
      <c r="A203" s="1" t="str">
        <f>HYPERLINK("http://www.twitter.com/banuakdenizli/status/1595722043160670208", "1595722043160670208")</f>
        <v>1595722043160670208</v>
      </c>
      <c r="B203" t="s">
        <v>15</v>
      </c>
      <c r="C203" s="2">
        <v>44889.425416666672</v>
      </c>
      <c r="D203">
        <v>5</v>
      </c>
      <c r="E203">
        <v>2</v>
      </c>
      <c r="G203" t="s">
        <v>261</v>
      </c>
      <c r="L203">
        <v>0.52669999999999995</v>
      </c>
      <c r="M203">
        <v>0</v>
      </c>
      <c r="N203">
        <v>0.91100000000000003</v>
      </c>
      <c r="O203">
        <v>8.8999999999999996E-2</v>
      </c>
    </row>
    <row r="204" spans="1:15" x14ac:dyDescent="0.2">
      <c r="A204" s="1" t="str">
        <f>HYPERLINK("http://www.twitter.com/banuakdenizli/status/1595432999356596224", "1595432999356596224")</f>
        <v>1595432999356596224</v>
      </c>
      <c r="B204" t="s">
        <v>15</v>
      </c>
      <c r="C204" s="2">
        <v>44888.627812500003</v>
      </c>
      <c r="D204">
        <v>8</v>
      </c>
      <c r="E204">
        <v>1</v>
      </c>
      <c r="G204" t="s">
        <v>262</v>
      </c>
      <c r="H204" t="str">
        <f>HYPERLINK("http://pbs.twimg.com/media/FiQd0ORXkAIMtbW.jpg", "http://pbs.twimg.com/media/FiQd0ORXkAIMtbW.jpg")</f>
        <v>http://pbs.twimg.com/media/FiQd0ORXkAIMtbW.jpg</v>
      </c>
      <c r="I204" t="str">
        <f>HYPERLINK("http://pbs.twimg.com/media/FiQd1BzWIAEpbJ6.jpg", "http://pbs.twimg.com/media/FiQd1BzWIAEpbJ6.jpg")</f>
        <v>http://pbs.twimg.com/media/FiQd1BzWIAEpbJ6.jpg</v>
      </c>
      <c r="J204" t="str">
        <f>HYPERLINK("http://pbs.twimg.com/media/FiQd1sNXwAMAlfW.jpg", "http://pbs.twimg.com/media/FiQd1sNXwAMAlfW.jpg")</f>
        <v>http://pbs.twimg.com/media/FiQd1sNXwAMAlfW.jpg</v>
      </c>
      <c r="K204" t="str">
        <f>HYPERLINK("http://pbs.twimg.com/media/FiQd2R8XEAMFLpk.jpg", "http://pbs.twimg.com/media/FiQd2R8XEAMFLpk.jpg")</f>
        <v>http://pbs.twimg.com/media/FiQd2R8XEAMFLpk.jpg</v>
      </c>
      <c r="L204">
        <v>0</v>
      </c>
      <c r="M204">
        <v>0</v>
      </c>
      <c r="N204">
        <v>1</v>
      </c>
      <c r="O204">
        <v>0</v>
      </c>
    </row>
    <row r="205" spans="1:15" x14ac:dyDescent="0.2">
      <c r="A205" s="1" t="str">
        <f>HYPERLINK("http://www.twitter.com/banuakdenizli/status/1595407957608615937", "1595407957608615937")</f>
        <v>1595407957608615937</v>
      </c>
      <c r="B205" t="s">
        <v>15</v>
      </c>
      <c r="C205" s="2">
        <v>44888.558703703697</v>
      </c>
      <c r="D205">
        <v>0</v>
      </c>
      <c r="E205">
        <v>5</v>
      </c>
      <c r="F205" t="s">
        <v>263</v>
      </c>
      <c r="G205" t="s">
        <v>264</v>
      </c>
      <c r="H205" t="str">
        <f>HYPERLINK("http://pbs.twimg.com/media/FiQGcqnWYAE48s_.jpg", "http://pbs.twimg.com/media/FiQGcqnWYAE48s_.jpg")</f>
        <v>http://pbs.twimg.com/media/FiQGcqnWYAE48s_.jpg</v>
      </c>
      <c r="L205">
        <v>0</v>
      </c>
      <c r="M205">
        <v>0</v>
      </c>
      <c r="N205">
        <v>1</v>
      </c>
      <c r="O205">
        <v>0</v>
      </c>
    </row>
    <row r="206" spans="1:15" x14ac:dyDescent="0.2">
      <c r="A206" s="1" t="str">
        <f>HYPERLINK("http://www.twitter.com/banuakdenizli/status/1595309017941016576", "1595309017941016576")</f>
        <v>1595309017941016576</v>
      </c>
      <c r="B206" t="s">
        <v>15</v>
      </c>
      <c r="C206" s="2">
        <v>44888.285682870373</v>
      </c>
      <c r="D206">
        <v>0</v>
      </c>
      <c r="E206">
        <v>43</v>
      </c>
      <c r="F206" t="s">
        <v>26</v>
      </c>
      <c r="G206" t="s">
        <v>265</v>
      </c>
      <c r="H206" t="str">
        <f>HYPERLINK("http://pbs.twimg.com/media/FiMhmnnXkAEymso.jpg", "http://pbs.twimg.com/media/FiMhmnnXkAEymso.jpg")</f>
        <v>http://pbs.twimg.com/media/FiMhmnnXkAEymso.jpg</v>
      </c>
      <c r="L206">
        <v>0</v>
      </c>
      <c r="M206">
        <v>0</v>
      </c>
      <c r="N206">
        <v>1</v>
      </c>
      <c r="O206">
        <v>0</v>
      </c>
    </row>
    <row r="207" spans="1:15" x14ac:dyDescent="0.2">
      <c r="A207" s="1" t="str">
        <f>HYPERLINK("http://www.twitter.com/banuakdenizli/status/1595303121558900739", "1595303121558900739")</f>
        <v>1595303121558900739</v>
      </c>
      <c r="B207" t="s">
        <v>15</v>
      </c>
      <c r="C207" s="2">
        <v>44888.269421296303</v>
      </c>
      <c r="D207">
        <v>0</v>
      </c>
      <c r="E207">
        <v>461</v>
      </c>
      <c r="F207" t="s">
        <v>51</v>
      </c>
      <c r="G207" t="s">
        <v>266</v>
      </c>
      <c r="H207" t="str">
        <f>HYPERLINK("https://video.twimg.com/ext_tw_video/1595195442664554498/pu/vid/720x1280/_VKM5RuwG4A4gVNJ.mp4?tag=12", "https://video.twimg.com/ext_tw_video/1595195442664554498/pu/vid/720x1280/_VKM5RuwG4A4gVNJ.mp4?tag=12")</f>
        <v>https://video.twimg.com/ext_tw_video/1595195442664554498/pu/vid/720x1280/_VKM5RuwG4A4gVNJ.mp4?tag=12</v>
      </c>
      <c r="L207">
        <v>0</v>
      </c>
      <c r="M207">
        <v>0</v>
      </c>
      <c r="N207">
        <v>1</v>
      </c>
      <c r="O207">
        <v>0</v>
      </c>
    </row>
    <row r="208" spans="1:15" x14ac:dyDescent="0.2">
      <c r="A208" s="1" t="str">
        <f>HYPERLINK("http://www.twitter.com/banuakdenizli/status/1595176367892594688", "1595176367892594688")</f>
        <v>1595176367892594688</v>
      </c>
      <c r="B208" t="s">
        <v>15</v>
      </c>
      <c r="C208" s="2">
        <v>44887.919641203713</v>
      </c>
      <c r="D208">
        <v>7</v>
      </c>
      <c r="E208">
        <v>0</v>
      </c>
      <c r="G208" t="s">
        <v>267</v>
      </c>
      <c r="L208">
        <v>0</v>
      </c>
      <c r="M208">
        <v>0</v>
      </c>
      <c r="N208">
        <v>1</v>
      </c>
      <c r="O208">
        <v>0</v>
      </c>
    </row>
    <row r="209" spans="1:15" x14ac:dyDescent="0.2">
      <c r="A209" s="1" t="str">
        <f>HYPERLINK("http://www.twitter.com/banuakdenizli/status/1595173386308980736", "1595173386308980736")</f>
        <v>1595173386308980736</v>
      </c>
      <c r="B209" t="s">
        <v>15</v>
      </c>
      <c r="C209" s="2">
        <v>44887.911412037043</v>
      </c>
      <c r="D209">
        <v>0</v>
      </c>
      <c r="E209">
        <v>4144</v>
      </c>
      <c r="F209" t="s">
        <v>51</v>
      </c>
      <c r="G209" t="s">
        <v>268</v>
      </c>
      <c r="H209" t="str">
        <f>HYPERLINK("http://pbs.twimg.com/media/FiMmnpTXEAwOgE4.jpg", "http://pbs.twimg.com/media/FiMmnpTXEAwOgE4.jpg")</f>
        <v>http://pbs.twimg.com/media/FiMmnpTXEAwOgE4.jpg</v>
      </c>
      <c r="L209">
        <v>0</v>
      </c>
      <c r="M209">
        <v>0</v>
      </c>
      <c r="N209">
        <v>1</v>
      </c>
      <c r="O209">
        <v>0</v>
      </c>
    </row>
    <row r="210" spans="1:15" x14ac:dyDescent="0.2">
      <c r="A210" s="1" t="str">
        <f>HYPERLINK("http://www.twitter.com/banuakdenizli/status/1595154849771196416", "1595154849771196416")</f>
        <v>1595154849771196416</v>
      </c>
      <c r="B210" t="s">
        <v>15</v>
      </c>
      <c r="C210" s="2">
        <v>44887.860266203701</v>
      </c>
      <c r="D210">
        <v>0</v>
      </c>
      <c r="E210">
        <v>3621</v>
      </c>
      <c r="F210" t="s">
        <v>51</v>
      </c>
      <c r="G210" t="s">
        <v>269</v>
      </c>
      <c r="H210" t="str">
        <f>HYPERLINK("http://pbs.twimg.com/media/FiMf3c2XEAAd0Dd.jpg", "http://pbs.twimg.com/media/FiMf3c2XEAAd0Dd.jpg")</f>
        <v>http://pbs.twimg.com/media/FiMf3c2XEAAd0Dd.jpg</v>
      </c>
      <c r="L210">
        <v>0</v>
      </c>
      <c r="M210">
        <v>0</v>
      </c>
      <c r="N210">
        <v>1</v>
      </c>
      <c r="O210">
        <v>0</v>
      </c>
    </row>
    <row r="211" spans="1:15" x14ac:dyDescent="0.2">
      <c r="A211" s="1" t="str">
        <f>HYPERLINK("http://www.twitter.com/banuakdenizli/status/1595153775068864512", "1595153775068864512")</f>
        <v>1595153775068864512</v>
      </c>
      <c r="B211" t="s">
        <v>15</v>
      </c>
      <c r="C211" s="2">
        <v>44887.857303240737</v>
      </c>
      <c r="D211">
        <v>0</v>
      </c>
      <c r="E211">
        <v>1785</v>
      </c>
      <c r="F211" t="s">
        <v>51</v>
      </c>
      <c r="G211" t="s">
        <v>270</v>
      </c>
      <c r="H211" t="str">
        <f>HYPERLINK("http://pbs.twimg.com/media/FiMe70PWAAYkyhb.jpg", "http://pbs.twimg.com/media/FiMe70PWAAYkyhb.jpg")</f>
        <v>http://pbs.twimg.com/media/FiMe70PWAAYkyhb.jpg</v>
      </c>
      <c r="L211">
        <v>0</v>
      </c>
      <c r="M211">
        <v>0</v>
      </c>
      <c r="N211">
        <v>1</v>
      </c>
      <c r="O211">
        <v>0</v>
      </c>
    </row>
    <row r="212" spans="1:15" x14ac:dyDescent="0.2">
      <c r="A212" s="1" t="str">
        <f>HYPERLINK("http://www.twitter.com/banuakdenizli/status/1595143217481396226", "1595143217481396226")</f>
        <v>1595143217481396226</v>
      </c>
      <c r="B212" t="s">
        <v>15</v>
      </c>
      <c r="C212" s="2">
        <v>44887.8281712963</v>
      </c>
      <c r="D212">
        <v>0</v>
      </c>
      <c r="E212">
        <v>461</v>
      </c>
      <c r="F212" t="s">
        <v>51</v>
      </c>
      <c r="G212" t="s">
        <v>271</v>
      </c>
      <c r="H212" t="str">
        <f>HYPERLINK("http://pbs.twimg.com/media/FiMVB-PXwBUNjZF.jpg", "http://pbs.twimg.com/media/FiMVB-PXwBUNjZF.jpg")</f>
        <v>http://pbs.twimg.com/media/FiMVB-PXwBUNjZF.jpg</v>
      </c>
      <c r="L212">
        <v>0.42149999999999999</v>
      </c>
      <c r="M212">
        <v>0</v>
      </c>
      <c r="N212">
        <v>0.89900000000000002</v>
      </c>
      <c r="O212">
        <v>0.10100000000000001</v>
      </c>
    </row>
    <row r="213" spans="1:15" x14ac:dyDescent="0.2">
      <c r="A213" s="1" t="str">
        <f>HYPERLINK("http://www.twitter.com/banuakdenizli/status/1595139111282962432", "1595139111282962432")</f>
        <v>1595139111282962432</v>
      </c>
      <c r="B213" t="s">
        <v>15</v>
      </c>
      <c r="C213" s="2">
        <v>44887.816840277781</v>
      </c>
      <c r="D213">
        <v>0</v>
      </c>
      <c r="E213">
        <v>1153</v>
      </c>
      <c r="F213" t="s">
        <v>51</v>
      </c>
      <c r="G213" t="s">
        <v>272</v>
      </c>
      <c r="H213" t="str">
        <f>HYPERLINK("http://pbs.twimg.com/media/FiMSKwDXwAsgOIr.jpg", "http://pbs.twimg.com/media/FiMSKwDXwAsgOIr.jpg")</f>
        <v>http://pbs.twimg.com/media/FiMSKwDXwAsgOIr.jpg</v>
      </c>
      <c r="L213">
        <v>0</v>
      </c>
      <c r="M213">
        <v>0</v>
      </c>
      <c r="N213">
        <v>1</v>
      </c>
      <c r="O213">
        <v>0</v>
      </c>
    </row>
    <row r="214" spans="1:15" x14ac:dyDescent="0.2">
      <c r="A214" s="1" t="str">
        <f>HYPERLINK("http://www.twitter.com/banuakdenizli/status/1595139099761184769", "1595139099761184769")</f>
        <v>1595139099761184769</v>
      </c>
      <c r="B214" t="s">
        <v>15</v>
      </c>
      <c r="C214" s="2">
        <v>44887.816805555558</v>
      </c>
      <c r="D214">
        <v>0</v>
      </c>
      <c r="E214">
        <v>640</v>
      </c>
      <c r="F214" t="s">
        <v>51</v>
      </c>
      <c r="G214" t="s">
        <v>273</v>
      </c>
      <c r="H214" t="str">
        <f>HYPERLINK("http://pbs.twimg.com/media/FiMQ2NzWAAAvQPs.jpg", "http://pbs.twimg.com/media/FiMQ2NzWAAAvQPs.jpg")</f>
        <v>http://pbs.twimg.com/media/FiMQ2NzWAAAvQPs.jpg</v>
      </c>
      <c r="L214">
        <v>0</v>
      </c>
      <c r="M214">
        <v>0</v>
      </c>
      <c r="N214">
        <v>1</v>
      </c>
      <c r="O214">
        <v>0</v>
      </c>
    </row>
    <row r="215" spans="1:15" x14ac:dyDescent="0.2">
      <c r="A215" s="1" t="str">
        <f>HYPERLINK("http://www.twitter.com/banuakdenizli/status/1595046149282480128", "1595046149282480128")</f>
        <v>1595046149282480128</v>
      </c>
      <c r="B215" t="s">
        <v>15</v>
      </c>
      <c r="C215" s="2">
        <v>44887.560312499998</v>
      </c>
      <c r="D215">
        <v>4</v>
      </c>
      <c r="E215">
        <v>2</v>
      </c>
      <c r="G215" t="s">
        <v>274</v>
      </c>
      <c r="H215" t="str">
        <f>HYPERLINK("http://pbs.twimg.com/media/FiK-AfvXkAM9b1r.jpg", "http://pbs.twimg.com/media/FiK-AfvXkAM9b1r.jpg")</f>
        <v>http://pbs.twimg.com/media/FiK-AfvXkAM9b1r.jpg</v>
      </c>
      <c r="I215" t="str">
        <f>HYPERLINK("http://pbs.twimg.com/media/FiK-A3yXwAEHgQR.jpg", "http://pbs.twimg.com/media/FiK-A3yXwAEHgQR.jpg")</f>
        <v>http://pbs.twimg.com/media/FiK-A3yXwAEHgQR.jpg</v>
      </c>
      <c r="J215" t="str">
        <f>HYPERLINK("http://pbs.twimg.com/media/FiK-BLuXEAAOs_b.jpg", "http://pbs.twimg.com/media/FiK-BLuXEAAOs_b.jpg")</f>
        <v>http://pbs.twimg.com/media/FiK-BLuXEAAOs_b.jpg</v>
      </c>
      <c r="L215">
        <v>0</v>
      </c>
      <c r="M215">
        <v>0</v>
      </c>
      <c r="N215">
        <v>1</v>
      </c>
      <c r="O215">
        <v>0</v>
      </c>
    </row>
    <row r="216" spans="1:15" x14ac:dyDescent="0.2">
      <c r="A216" s="1" t="str">
        <f>HYPERLINK("http://www.twitter.com/banuakdenizli/status/1595001908175187968", "1595001908175187968")</f>
        <v>1595001908175187968</v>
      </c>
      <c r="B216" t="s">
        <v>15</v>
      </c>
      <c r="C216" s="2">
        <v>44887.43822916667</v>
      </c>
      <c r="D216">
        <v>9</v>
      </c>
      <c r="E216">
        <v>0</v>
      </c>
      <c r="G216" t="s">
        <v>275</v>
      </c>
      <c r="H216" t="str">
        <f>HYPERLINK("http://pbs.twimg.com/media/FiKVwIbXwAAqRGe.jpg", "http://pbs.twimg.com/media/FiKVwIbXwAAqRGe.jpg")</f>
        <v>http://pbs.twimg.com/media/FiKVwIbXwAAqRGe.jpg</v>
      </c>
      <c r="I216" t="str">
        <f>HYPERLINK("http://pbs.twimg.com/media/FiKVwpGXEAEenDI.jpg", "http://pbs.twimg.com/media/FiKVwpGXEAEenDI.jpg")</f>
        <v>http://pbs.twimg.com/media/FiKVwpGXEAEenDI.jpg</v>
      </c>
      <c r="J216" t="str">
        <f>HYPERLINK("http://pbs.twimg.com/media/FiKVxNXWIAg1A3_.jpg", "http://pbs.twimg.com/media/FiKVxNXWIAg1A3_.jpg")</f>
        <v>http://pbs.twimg.com/media/FiKVxNXWIAg1A3_.jpg</v>
      </c>
      <c r="K216" t="str">
        <f>HYPERLINK("http://pbs.twimg.com/media/FiKVxs6WAAET7mF.jpg", "http://pbs.twimg.com/media/FiKVxs6WAAET7mF.jpg")</f>
        <v>http://pbs.twimg.com/media/FiKVxs6WAAET7mF.jpg</v>
      </c>
      <c r="L216">
        <v>0.44040000000000001</v>
      </c>
      <c r="M216">
        <v>0</v>
      </c>
      <c r="N216">
        <v>0.93400000000000005</v>
      </c>
      <c r="O216">
        <v>6.6000000000000003E-2</v>
      </c>
    </row>
    <row r="217" spans="1:15" x14ac:dyDescent="0.2">
      <c r="A217" s="1" t="str">
        <f>HYPERLINK("http://www.twitter.com/banuakdenizli/status/1595001364492476421", "1595001364492476421")</f>
        <v>1595001364492476421</v>
      </c>
      <c r="B217" t="s">
        <v>15</v>
      </c>
      <c r="C217" s="2">
        <v>44887.436724537038</v>
      </c>
      <c r="D217">
        <v>8</v>
      </c>
      <c r="E217">
        <v>1</v>
      </c>
      <c r="G217" t="s">
        <v>276</v>
      </c>
      <c r="H217" t="str">
        <f>HYPERLINK("http://pbs.twimg.com/media/FiKVODtWYAQ7RCm.jpg", "http://pbs.twimg.com/media/FiKVODtWYAQ7RCm.jpg")</f>
        <v>http://pbs.twimg.com/media/FiKVODtWYAQ7RCm.jpg</v>
      </c>
      <c r="L217">
        <v>0</v>
      </c>
      <c r="M217">
        <v>0</v>
      </c>
      <c r="N217">
        <v>1</v>
      </c>
      <c r="O217">
        <v>0</v>
      </c>
    </row>
    <row r="218" spans="1:15" x14ac:dyDescent="0.2">
      <c r="A218" s="1" t="str">
        <f>HYPERLINK("http://www.twitter.com/banuakdenizli/status/1594959410471870464", "1594959410471870464")</f>
        <v>1594959410471870464</v>
      </c>
      <c r="B218" t="s">
        <v>15</v>
      </c>
      <c r="C218" s="2">
        <v>44887.320960648147</v>
      </c>
      <c r="D218">
        <v>0</v>
      </c>
      <c r="E218">
        <v>1577</v>
      </c>
      <c r="F218" t="s">
        <v>51</v>
      </c>
      <c r="G218" t="s">
        <v>277</v>
      </c>
      <c r="H218" t="str">
        <f>HYPERLINK("http://pbs.twimg.com/media/FiITIYmXkAIkFP_.jpg", "http://pbs.twimg.com/media/FiITIYmXkAIkFP_.jpg")</f>
        <v>http://pbs.twimg.com/media/FiITIYmXkAIkFP_.jpg</v>
      </c>
      <c r="L218">
        <v>0</v>
      </c>
      <c r="M218">
        <v>0</v>
      </c>
      <c r="N218">
        <v>1</v>
      </c>
      <c r="O218">
        <v>0</v>
      </c>
    </row>
    <row r="219" spans="1:15" x14ac:dyDescent="0.2">
      <c r="A219" s="1" t="str">
        <f>HYPERLINK("http://www.twitter.com/banuakdenizli/status/1594828320729964546", "1594828320729964546")</f>
        <v>1594828320729964546</v>
      </c>
      <c r="B219" t="s">
        <v>15</v>
      </c>
      <c r="C219" s="2">
        <v>44886.95921296296</v>
      </c>
      <c r="D219">
        <v>0</v>
      </c>
      <c r="E219">
        <v>259</v>
      </c>
      <c r="F219" t="s">
        <v>51</v>
      </c>
      <c r="G219" t="s">
        <v>278</v>
      </c>
      <c r="H219" t="str">
        <f>HYPERLINK("https://video.twimg.com/ext_tw_video/1594746820168663042/pu/vid/720x900/KnyZyjEq0lPWFdoq.mp4?tag=12", "https://video.twimg.com/ext_tw_video/1594746820168663042/pu/vid/720x900/KnyZyjEq0lPWFdoq.mp4?tag=12")</f>
        <v>https://video.twimg.com/ext_tw_video/1594746820168663042/pu/vid/720x900/KnyZyjEq0lPWFdoq.mp4?tag=12</v>
      </c>
      <c r="L219">
        <v>0</v>
      </c>
      <c r="M219">
        <v>0</v>
      </c>
      <c r="N219">
        <v>1</v>
      </c>
      <c r="O219">
        <v>0</v>
      </c>
    </row>
    <row r="220" spans="1:15" x14ac:dyDescent="0.2">
      <c r="A220" s="1" t="str">
        <f>HYPERLINK("http://www.twitter.com/banuakdenizli/status/1594697593241862144", "1594697593241862144")</f>
        <v>1594697593241862144</v>
      </c>
      <c r="B220" t="s">
        <v>15</v>
      </c>
      <c r="C220" s="2">
        <v>44886.59847222222</v>
      </c>
      <c r="D220">
        <v>1</v>
      </c>
      <c r="E220">
        <v>0</v>
      </c>
      <c r="G220" t="s">
        <v>279</v>
      </c>
      <c r="H220" t="str">
        <f>HYPERLINK("http://pbs.twimg.com/media/FiGA92TWYAA9sG6.jpg", "http://pbs.twimg.com/media/FiGA92TWYAA9sG6.jpg")</f>
        <v>http://pbs.twimg.com/media/FiGA92TWYAA9sG6.jpg</v>
      </c>
      <c r="L220">
        <v>0</v>
      </c>
      <c r="M220">
        <v>0</v>
      </c>
      <c r="N220">
        <v>1</v>
      </c>
      <c r="O220">
        <v>0</v>
      </c>
    </row>
    <row r="221" spans="1:15" x14ac:dyDescent="0.2">
      <c r="A221" s="1" t="str">
        <f>HYPERLINK("http://www.twitter.com/banuakdenizli/status/1594697491877974018", "1594697491877974018")</f>
        <v>1594697491877974018</v>
      </c>
      <c r="B221" t="s">
        <v>15</v>
      </c>
      <c r="C221" s="2">
        <v>44886.598194444443</v>
      </c>
      <c r="D221">
        <v>1</v>
      </c>
      <c r="E221">
        <v>0</v>
      </c>
      <c r="G221" t="s">
        <v>280</v>
      </c>
      <c r="H221" t="str">
        <f>HYPERLINK("http://pbs.twimg.com/media/FiGA3kNX0AA9H35.jpg", "http://pbs.twimg.com/media/FiGA3kNX0AA9H35.jpg")</f>
        <v>http://pbs.twimg.com/media/FiGA3kNX0AA9H35.jpg</v>
      </c>
      <c r="L221">
        <v>0</v>
      </c>
      <c r="M221">
        <v>0</v>
      </c>
      <c r="N221">
        <v>1</v>
      </c>
      <c r="O221">
        <v>0</v>
      </c>
    </row>
    <row r="222" spans="1:15" x14ac:dyDescent="0.2">
      <c r="A222" s="1" t="str">
        <f>HYPERLINK("http://www.twitter.com/banuakdenizli/status/1594697108912852994", "1594697108912852994")</f>
        <v>1594697108912852994</v>
      </c>
      <c r="B222" t="s">
        <v>15</v>
      </c>
      <c r="C222" s="2">
        <v>44886.597141203703</v>
      </c>
      <c r="D222">
        <v>8</v>
      </c>
      <c r="E222">
        <v>3</v>
      </c>
      <c r="G222" t="s">
        <v>281</v>
      </c>
      <c r="H222" t="str">
        <f>HYPERLINK("http://pbs.twimg.com/media/FiGAbyuWAAERgOv.jpg", "http://pbs.twimg.com/media/FiGAbyuWAAERgOv.jpg")</f>
        <v>http://pbs.twimg.com/media/FiGAbyuWAAERgOv.jpg</v>
      </c>
      <c r="L222">
        <v>0</v>
      </c>
      <c r="M222">
        <v>0</v>
      </c>
      <c r="N222">
        <v>1</v>
      </c>
      <c r="O222">
        <v>0</v>
      </c>
    </row>
    <row r="223" spans="1:15" x14ac:dyDescent="0.2">
      <c r="A223" s="1" t="str">
        <f>HYPERLINK("http://www.twitter.com/banuakdenizli/status/1594657359946735617", "1594657359946735617")</f>
        <v>1594657359946735617</v>
      </c>
      <c r="B223" t="s">
        <v>15</v>
      </c>
      <c r="C223" s="2">
        <v>44886.487453703703</v>
      </c>
      <c r="D223">
        <v>5</v>
      </c>
      <c r="E223">
        <v>1</v>
      </c>
      <c r="G223" t="s">
        <v>282</v>
      </c>
      <c r="L223">
        <v>0</v>
      </c>
      <c r="M223">
        <v>0</v>
      </c>
      <c r="N223">
        <v>1</v>
      </c>
      <c r="O223">
        <v>0</v>
      </c>
    </row>
    <row r="224" spans="1:15" x14ac:dyDescent="0.2">
      <c r="A224" s="1" t="str">
        <f>HYPERLINK("http://www.twitter.com/banuakdenizli/status/1594625848652562433", "1594625848652562433")</f>
        <v>1594625848652562433</v>
      </c>
      <c r="B224" t="s">
        <v>15</v>
      </c>
      <c r="C224" s="2">
        <v>44886.400497685187</v>
      </c>
      <c r="D224">
        <v>8</v>
      </c>
      <c r="E224">
        <v>5</v>
      </c>
      <c r="G224" t="s">
        <v>283</v>
      </c>
      <c r="L224">
        <v>0.31640000000000001</v>
      </c>
      <c r="M224">
        <v>0</v>
      </c>
      <c r="N224">
        <v>0.94</v>
      </c>
      <c r="O224">
        <v>0.06</v>
      </c>
    </row>
    <row r="225" spans="1:15" x14ac:dyDescent="0.2">
      <c r="A225" s="1" t="str">
        <f>HYPERLINK("http://www.twitter.com/banuakdenizli/status/1594302188683202563", "1594302188683202563")</f>
        <v>1594302188683202563</v>
      </c>
      <c r="B225" t="s">
        <v>15</v>
      </c>
      <c r="C225" s="2">
        <v>44885.507372685177</v>
      </c>
      <c r="D225">
        <v>0</v>
      </c>
      <c r="E225">
        <v>181</v>
      </c>
      <c r="F225" t="s">
        <v>27</v>
      </c>
      <c r="G225" t="s">
        <v>284</v>
      </c>
      <c r="H225" t="str">
        <f>HYPERLINK("http://pbs.twimg.com/media/FiAWUXZWQAEgwPv.jpg", "http://pbs.twimg.com/media/FiAWUXZWQAEgwPv.jpg")</f>
        <v>http://pbs.twimg.com/media/FiAWUXZWQAEgwPv.jpg</v>
      </c>
      <c r="I225" t="str">
        <f>HYPERLINK("http://pbs.twimg.com/media/FiAWUXkXwAQ1lCT.jpg", "http://pbs.twimg.com/media/FiAWUXkXwAQ1lCT.jpg")</f>
        <v>http://pbs.twimg.com/media/FiAWUXkXwAQ1lCT.jpg</v>
      </c>
      <c r="L225">
        <v>0</v>
      </c>
      <c r="M225">
        <v>0</v>
      </c>
      <c r="N225">
        <v>1</v>
      </c>
      <c r="O225">
        <v>0</v>
      </c>
    </row>
    <row r="226" spans="1:15" x14ac:dyDescent="0.2">
      <c r="A226" s="1" t="str">
        <f>HYPERLINK("http://www.twitter.com/banuakdenizli/status/1594274504640962563", "1594274504640962563")</f>
        <v>1594274504640962563</v>
      </c>
      <c r="B226" t="s">
        <v>15</v>
      </c>
      <c r="C226" s="2">
        <v>44885.430972222217</v>
      </c>
      <c r="D226">
        <v>0</v>
      </c>
      <c r="E226">
        <v>200</v>
      </c>
      <c r="F226" t="s">
        <v>27</v>
      </c>
      <c r="G226" t="s">
        <v>285</v>
      </c>
      <c r="H226" t="str">
        <f>HYPERLINK("http://pbs.twimg.com/media/Fh_rHxFXwAYRECL.jpg", "http://pbs.twimg.com/media/Fh_rHxFXwAYRECL.jpg")</f>
        <v>http://pbs.twimg.com/media/Fh_rHxFXwAYRECL.jpg</v>
      </c>
      <c r="L226">
        <v>0.70960000000000001</v>
      </c>
      <c r="M226">
        <v>0</v>
      </c>
      <c r="N226">
        <v>0.88600000000000001</v>
      </c>
      <c r="O226">
        <v>0.114</v>
      </c>
    </row>
    <row r="227" spans="1:15" x14ac:dyDescent="0.2">
      <c r="A227" s="1" t="str">
        <f>HYPERLINK("http://www.twitter.com/banuakdenizli/status/1594274464141021184", "1594274464141021184")</f>
        <v>1594274464141021184</v>
      </c>
      <c r="B227" t="s">
        <v>15</v>
      </c>
      <c r="C227" s="2">
        <v>44885.430868055562</v>
      </c>
      <c r="D227">
        <v>0</v>
      </c>
      <c r="E227">
        <v>6</v>
      </c>
      <c r="F227" t="s">
        <v>78</v>
      </c>
      <c r="G227" t="s">
        <v>286</v>
      </c>
      <c r="H227" t="str">
        <f>HYPERLINK("http://pbs.twimg.com/media/Fh_GuPRWIAIW87k.jpg", "http://pbs.twimg.com/media/Fh_GuPRWIAIW87k.jpg")</f>
        <v>http://pbs.twimg.com/media/Fh_GuPRWIAIW87k.jpg</v>
      </c>
      <c r="L227">
        <v>0</v>
      </c>
      <c r="M227">
        <v>0</v>
      </c>
      <c r="N227">
        <v>1</v>
      </c>
      <c r="O227">
        <v>0</v>
      </c>
    </row>
    <row r="228" spans="1:15" x14ac:dyDescent="0.2">
      <c r="A228" s="1" t="str">
        <f>HYPERLINK("http://www.twitter.com/banuakdenizli/status/1594269998909988867", "1594269998909988867")</f>
        <v>1594269998909988867</v>
      </c>
      <c r="B228" t="s">
        <v>15</v>
      </c>
      <c r="C228" s="2">
        <v>44885.418541666673</v>
      </c>
      <c r="D228">
        <v>2</v>
      </c>
      <c r="E228">
        <v>0</v>
      </c>
      <c r="G228" t="s">
        <v>287</v>
      </c>
      <c r="L228">
        <v>0</v>
      </c>
      <c r="M228">
        <v>0</v>
      </c>
      <c r="N228">
        <v>1</v>
      </c>
      <c r="O228">
        <v>0</v>
      </c>
    </row>
    <row r="229" spans="1:15" x14ac:dyDescent="0.2">
      <c r="A229" s="1" t="str">
        <f>HYPERLINK("http://www.twitter.com/banuakdenizli/status/1594213061329559553", "1594213061329559553")</f>
        <v>1594213061329559553</v>
      </c>
      <c r="B229" t="s">
        <v>15</v>
      </c>
      <c r="C229" s="2">
        <v>44885.261423611111</v>
      </c>
      <c r="D229">
        <v>0</v>
      </c>
      <c r="E229">
        <v>12</v>
      </c>
      <c r="F229" t="s">
        <v>25</v>
      </c>
      <c r="G229" t="s">
        <v>288</v>
      </c>
      <c r="H229" t="str">
        <f>HYPERLINK("http://pbs.twimg.com/media/Fh_GzORWIAIemTL.jpg", "http://pbs.twimg.com/media/Fh_GzORWIAIemTL.jpg")</f>
        <v>http://pbs.twimg.com/media/Fh_GzORWIAIemTL.jpg</v>
      </c>
      <c r="L229">
        <v>0</v>
      </c>
      <c r="M229">
        <v>0</v>
      </c>
      <c r="N229">
        <v>1</v>
      </c>
      <c r="O229">
        <v>0</v>
      </c>
    </row>
    <row r="230" spans="1:15" x14ac:dyDescent="0.2">
      <c r="A230" s="1" t="str">
        <f>HYPERLINK("http://www.twitter.com/banuakdenizli/status/1593927379554025474", "1593927379554025474")</f>
        <v>1593927379554025474</v>
      </c>
      <c r="B230" t="s">
        <v>15</v>
      </c>
      <c r="C230" s="2">
        <v>44884.473090277781</v>
      </c>
      <c r="D230">
        <v>0</v>
      </c>
      <c r="E230">
        <v>1104</v>
      </c>
      <c r="F230" t="s">
        <v>51</v>
      </c>
      <c r="G230" t="s">
        <v>289</v>
      </c>
      <c r="H230" t="str">
        <f>HYPERLINK("http://pbs.twimg.com/media/Fh3DCQNaMAEA6LK.jpg", "http://pbs.twimg.com/media/Fh3DCQNaMAEA6LK.jpg")</f>
        <v>http://pbs.twimg.com/media/Fh3DCQNaMAEA6LK.jpg</v>
      </c>
      <c r="L230">
        <v>0</v>
      </c>
      <c r="M230">
        <v>0</v>
      </c>
      <c r="N230">
        <v>1</v>
      </c>
      <c r="O230">
        <v>0</v>
      </c>
    </row>
    <row r="231" spans="1:15" x14ac:dyDescent="0.2">
      <c r="A231" s="1" t="str">
        <f>HYPERLINK("http://www.twitter.com/banuakdenizli/status/1593926418722955265", "1593926418722955265")</f>
        <v>1593926418722955265</v>
      </c>
      <c r="B231" t="s">
        <v>15</v>
      </c>
      <c r="C231" s="2">
        <v>44884.470439814817</v>
      </c>
      <c r="D231">
        <v>6</v>
      </c>
      <c r="E231">
        <v>4</v>
      </c>
      <c r="G231" t="s">
        <v>290</v>
      </c>
      <c r="H231" t="str">
        <f>HYPERLINK("http://pbs.twimg.com/media/Fh7DnogX0AE6Q-b.jpg", "http://pbs.twimg.com/media/Fh7DnogX0AE6Q-b.jpg")</f>
        <v>http://pbs.twimg.com/media/Fh7DnogX0AE6Q-b.jpg</v>
      </c>
      <c r="I231" t="str">
        <f>HYPERLINK("http://pbs.twimg.com/media/Fh7DoD4WYAE8nKC.jpg", "http://pbs.twimg.com/media/Fh7DoD4WYAE8nKC.jpg")</f>
        <v>http://pbs.twimg.com/media/Fh7DoD4WYAE8nKC.jpg</v>
      </c>
      <c r="L231">
        <v>0.78400000000000003</v>
      </c>
      <c r="M231">
        <v>0</v>
      </c>
      <c r="N231">
        <v>0.84299999999999997</v>
      </c>
      <c r="O231">
        <v>0.157</v>
      </c>
    </row>
    <row r="232" spans="1:15" x14ac:dyDescent="0.2">
      <c r="A232" s="1" t="str">
        <f>HYPERLINK("http://www.twitter.com/banuakdenizli/status/1593678842815651841", "1593678842815651841")</f>
        <v>1593678842815651841</v>
      </c>
      <c r="B232" t="s">
        <v>15</v>
      </c>
      <c r="C232" s="2">
        <v>44883.787256944437</v>
      </c>
      <c r="D232">
        <v>3</v>
      </c>
      <c r="E232">
        <v>0</v>
      </c>
      <c r="G232" t="s">
        <v>291</v>
      </c>
      <c r="H232" t="str">
        <f>HYPERLINK("https://video.twimg.com/ext_tw_video/1593678734183342081/pu/vid/848x480/WUaVDtf0W7MT0JS-.mp4?tag=12", "https://video.twimg.com/ext_tw_video/1593678734183342081/pu/vid/848x480/WUaVDtf0W7MT0JS-.mp4?tag=12")</f>
        <v>https://video.twimg.com/ext_tw_video/1593678734183342081/pu/vid/848x480/WUaVDtf0W7MT0JS-.mp4?tag=12</v>
      </c>
      <c r="L232">
        <v>0</v>
      </c>
      <c r="M232">
        <v>0</v>
      </c>
      <c r="N232">
        <v>1</v>
      </c>
      <c r="O232">
        <v>0</v>
      </c>
    </row>
    <row r="233" spans="1:15" x14ac:dyDescent="0.2">
      <c r="A233" s="1" t="str">
        <f>HYPERLINK("http://www.twitter.com/banuakdenizli/status/1593647595708088327", "1593647595708088327")</f>
        <v>1593647595708088327</v>
      </c>
      <c r="B233" t="s">
        <v>15</v>
      </c>
      <c r="C233" s="2">
        <v>44883.701041666667</v>
      </c>
      <c r="D233">
        <v>2</v>
      </c>
      <c r="E233">
        <v>1</v>
      </c>
      <c r="G233" t="s">
        <v>292</v>
      </c>
      <c r="L233">
        <v>0</v>
      </c>
      <c r="M233">
        <v>0</v>
      </c>
      <c r="N233">
        <v>1</v>
      </c>
      <c r="O233">
        <v>0</v>
      </c>
    </row>
    <row r="234" spans="1:15" x14ac:dyDescent="0.2">
      <c r="A234" s="1" t="str">
        <f>HYPERLINK("http://www.twitter.com/banuakdenizli/status/1593638264501686272", "1593638264501686272")</f>
        <v>1593638264501686272</v>
      </c>
      <c r="B234" t="s">
        <v>15</v>
      </c>
      <c r="C234" s="2">
        <v>44883.67528935185</v>
      </c>
      <c r="D234">
        <v>46</v>
      </c>
      <c r="E234">
        <v>18</v>
      </c>
      <c r="G234" t="s">
        <v>293</v>
      </c>
      <c r="H234" t="str">
        <f>HYPERLINK("https://video.twimg.com/ext_tw_video/1593638192745533442/pu/vid/848x480/A9hpJ8XGy7wkdMq8.mp4?tag=12", "https://video.twimg.com/ext_tw_video/1593638192745533442/pu/vid/848x480/A9hpJ8XGy7wkdMq8.mp4?tag=12")</f>
        <v>https://video.twimg.com/ext_tw_video/1593638192745533442/pu/vid/848x480/A9hpJ8XGy7wkdMq8.mp4?tag=12</v>
      </c>
      <c r="L234">
        <v>0.50929999999999997</v>
      </c>
      <c r="M234">
        <v>0</v>
      </c>
      <c r="N234">
        <v>0.92600000000000005</v>
      </c>
      <c r="O234">
        <v>7.3999999999999996E-2</v>
      </c>
    </row>
    <row r="235" spans="1:15" x14ac:dyDescent="0.2">
      <c r="A235" s="1" t="str">
        <f>HYPERLINK("http://www.twitter.com/banuakdenizli/status/1593617134986330117", "1593617134986330117")</f>
        <v>1593617134986330117</v>
      </c>
      <c r="B235" t="s">
        <v>15</v>
      </c>
      <c r="C235" s="2">
        <v>44883.616979166669</v>
      </c>
      <c r="D235">
        <v>8</v>
      </c>
      <c r="E235">
        <v>0</v>
      </c>
      <c r="G235" t="s">
        <v>294</v>
      </c>
      <c r="H235" t="str">
        <f>HYPERLINK("http://pbs.twimg.com/media/Fh2qVTZX0AARIi1.jpg", "http://pbs.twimg.com/media/Fh2qVTZX0AARIi1.jpg")</f>
        <v>http://pbs.twimg.com/media/Fh2qVTZX0AARIi1.jpg</v>
      </c>
      <c r="L235">
        <v>0.77829999999999999</v>
      </c>
      <c r="M235">
        <v>0</v>
      </c>
      <c r="N235">
        <v>0.80500000000000005</v>
      </c>
      <c r="O235">
        <v>0.19500000000000001</v>
      </c>
    </row>
    <row r="236" spans="1:15" x14ac:dyDescent="0.2">
      <c r="A236" s="1" t="str">
        <f>HYPERLINK("http://www.twitter.com/banuakdenizli/status/1593616291163787266", "1593616291163787266")</f>
        <v>1593616291163787266</v>
      </c>
      <c r="B236" t="s">
        <v>15</v>
      </c>
      <c r="C236" s="2">
        <v>44883.614652777767</v>
      </c>
      <c r="D236">
        <v>2</v>
      </c>
      <c r="E236">
        <v>2</v>
      </c>
      <c r="G236" t="s">
        <v>295</v>
      </c>
      <c r="H236" t="str">
        <f>HYPERLINK("https://video.twimg.com/ext_tw_video/1593616206929485824/pu/vid/640x352/Q0iqok9GaYEq1iS8.mp4?tag=12", "https://video.twimg.com/ext_tw_video/1593616206929485824/pu/vid/640x352/Q0iqok9GaYEq1iS8.mp4?tag=12")</f>
        <v>https://video.twimg.com/ext_tw_video/1593616206929485824/pu/vid/640x352/Q0iqok9GaYEq1iS8.mp4?tag=12</v>
      </c>
      <c r="L236">
        <v>0</v>
      </c>
      <c r="M236">
        <v>0</v>
      </c>
      <c r="N236">
        <v>1</v>
      </c>
      <c r="O236">
        <v>0</v>
      </c>
    </row>
    <row r="237" spans="1:15" x14ac:dyDescent="0.2">
      <c r="A237" s="1" t="str">
        <f>HYPERLINK("http://www.twitter.com/banuakdenizli/status/1593598731185786881", "1593598731185786881")</f>
        <v>1593598731185786881</v>
      </c>
      <c r="B237" t="s">
        <v>15</v>
      </c>
      <c r="C237" s="2">
        <v>44883.566192129627</v>
      </c>
      <c r="D237">
        <v>2</v>
      </c>
      <c r="E237">
        <v>1</v>
      </c>
      <c r="G237" t="s">
        <v>296</v>
      </c>
      <c r="H237" t="str">
        <f>HYPERLINK("http://pbs.twimg.com/media/Fh2ZmaUXwAAQQxO.jpg", "http://pbs.twimg.com/media/Fh2ZmaUXwAAQQxO.jpg")</f>
        <v>http://pbs.twimg.com/media/Fh2ZmaUXwAAQQxO.jpg</v>
      </c>
      <c r="L237">
        <v>0</v>
      </c>
      <c r="M237">
        <v>0</v>
      </c>
      <c r="N237">
        <v>1</v>
      </c>
      <c r="O237">
        <v>0</v>
      </c>
    </row>
    <row r="238" spans="1:15" x14ac:dyDescent="0.2">
      <c r="A238" s="1" t="str">
        <f>HYPERLINK("http://www.twitter.com/banuakdenizli/status/1593567197158424576", "1593567197158424576")</f>
        <v>1593567197158424576</v>
      </c>
      <c r="B238" t="s">
        <v>15</v>
      </c>
      <c r="C238" s="2">
        <v>44883.479178240741</v>
      </c>
      <c r="D238">
        <v>0</v>
      </c>
      <c r="E238">
        <v>3</v>
      </c>
      <c r="F238" t="s">
        <v>21</v>
      </c>
      <c r="G238" t="s">
        <v>297</v>
      </c>
      <c r="L238">
        <v>0</v>
      </c>
      <c r="M238">
        <v>0</v>
      </c>
      <c r="N238">
        <v>1</v>
      </c>
      <c r="O238">
        <v>0</v>
      </c>
    </row>
    <row r="239" spans="1:15" x14ac:dyDescent="0.2">
      <c r="A239" s="1" t="str">
        <f>HYPERLINK("http://www.twitter.com/banuakdenizli/status/1593538729255129089", "1593538729255129089")</f>
        <v>1593538729255129089</v>
      </c>
      <c r="B239" t="s">
        <v>15</v>
      </c>
      <c r="C239" s="2">
        <v>44883.400625000002</v>
      </c>
      <c r="D239">
        <v>13</v>
      </c>
      <c r="E239">
        <v>6</v>
      </c>
      <c r="G239" t="s">
        <v>298</v>
      </c>
      <c r="H239" t="str">
        <f>HYPERLINK("http://pbs.twimg.com/media/Fh1jBbCXgAQnmql.jpg", "http://pbs.twimg.com/media/Fh1jBbCXgAQnmql.jpg")</f>
        <v>http://pbs.twimg.com/media/Fh1jBbCXgAQnmql.jpg</v>
      </c>
      <c r="L239">
        <v>0</v>
      </c>
      <c r="M239">
        <v>0</v>
      </c>
      <c r="N239">
        <v>1</v>
      </c>
      <c r="O239">
        <v>0</v>
      </c>
    </row>
    <row r="240" spans="1:15" x14ac:dyDescent="0.2">
      <c r="A240" s="1" t="str">
        <f>HYPERLINK("http://www.twitter.com/banuakdenizli/status/1593537820571967488", "1593537820571967488")</f>
        <v>1593537820571967488</v>
      </c>
      <c r="B240" t="s">
        <v>15</v>
      </c>
      <c r="C240" s="2">
        <v>44883.398113425923</v>
      </c>
      <c r="D240">
        <v>96</v>
      </c>
      <c r="E240">
        <v>16</v>
      </c>
      <c r="G240" t="s">
        <v>299</v>
      </c>
      <c r="H240" t="str">
        <f>HYPERLINK("https://video.twimg.com/ext_tw_video/1593537701365649412/pu/vid/1280x720/c9mTXLKm_SvA10v3.mp4?tag=12", "https://video.twimg.com/ext_tw_video/1593537701365649412/pu/vid/1280x720/c9mTXLKm_SvA10v3.mp4?tag=12")</f>
        <v>https://video.twimg.com/ext_tw_video/1593537701365649412/pu/vid/1280x720/c9mTXLKm_SvA10v3.mp4?tag=12</v>
      </c>
      <c r="L240">
        <v>0.49259999999999998</v>
      </c>
      <c r="M240">
        <v>0</v>
      </c>
      <c r="N240">
        <v>0.92600000000000005</v>
      </c>
      <c r="O240">
        <v>7.3999999999999996E-2</v>
      </c>
    </row>
    <row r="241" spans="1:15" x14ac:dyDescent="0.2">
      <c r="A241" s="1" t="str">
        <f>HYPERLINK("http://www.twitter.com/banuakdenizli/status/1593370702010351616", "1593370702010351616")</f>
        <v>1593370702010351616</v>
      </c>
      <c r="B241" t="s">
        <v>15</v>
      </c>
      <c r="C241" s="2">
        <v>44882.936956018522</v>
      </c>
      <c r="D241">
        <v>0</v>
      </c>
      <c r="E241">
        <v>6</v>
      </c>
      <c r="F241" t="s">
        <v>300</v>
      </c>
      <c r="G241" t="s">
        <v>301</v>
      </c>
      <c r="H241" t="str">
        <f>HYPERLINK("http://pbs.twimg.com/media/FhxBevTWQAAM9-U.jpg", "http://pbs.twimg.com/media/FhxBevTWQAAM9-U.jpg")</f>
        <v>http://pbs.twimg.com/media/FhxBevTWQAAM9-U.jpg</v>
      </c>
      <c r="L241">
        <v>0</v>
      </c>
      <c r="M241">
        <v>0</v>
      </c>
      <c r="N241">
        <v>1</v>
      </c>
      <c r="O241">
        <v>0</v>
      </c>
    </row>
    <row r="242" spans="1:15" x14ac:dyDescent="0.2">
      <c r="A242" s="1" t="str">
        <f>HYPERLINK("http://www.twitter.com/banuakdenizli/status/1593349149264674818", "1593349149264674818")</f>
        <v>1593349149264674818</v>
      </c>
      <c r="B242" t="s">
        <v>15</v>
      </c>
      <c r="C242" s="2">
        <v>44882.877476851849</v>
      </c>
      <c r="D242">
        <v>0</v>
      </c>
      <c r="E242">
        <v>131</v>
      </c>
      <c r="F242" t="s">
        <v>51</v>
      </c>
      <c r="G242" t="s">
        <v>302</v>
      </c>
      <c r="H242" t="str">
        <f>HYPERLINK("https://video.twimg.com/ext_tw_video/1593348854899933186/pu/vid/720x1280/BuMG04Tsqn2rAogc.mp4?tag=12", "https://video.twimg.com/ext_tw_video/1593348854899933186/pu/vid/720x1280/BuMG04Tsqn2rAogc.mp4?tag=12")</f>
        <v>https://video.twimg.com/ext_tw_video/1593348854899933186/pu/vid/720x1280/BuMG04Tsqn2rAogc.mp4?tag=12</v>
      </c>
      <c r="L242">
        <v>0</v>
      </c>
      <c r="M242">
        <v>0</v>
      </c>
      <c r="N242">
        <v>1</v>
      </c>
      <c r="O242">
        <v>0</v>
      </c>
    </row>
    <row r="243" spans="1:15" x14ac:dyDescent="0.2">
      <c r="A243" s="1" t="str">
        <f>HYPERLINK("http://www.twitter.com/banuakdenizli/status/1593315826240823303", "1593315826240823303")</f>
        <v>1593315826240823303</v>
      </c>
      <c r="B243" t="s">
        <v>15</v>
      </c>
      <c r="C243" s="2">
        <v>44882.785532407397</v>
      </c>
      <c r="D243">
        <v>0</v>
      </c>
      <c r="E243">
        <v>2</v>
      </c>
      <c r="F243" t="s">
        <v>213</v>
      </c>
      <c r="G243" t="s">
        <v>303</v>
      </c>
      <c r="L243">
        <v>0.34</v>
      </c>
      <c r="M243">
        <v>0</v>
      </c>
      <c r="N243">
        <v>0.90200000000000002</v>
      </c>
      <c r="O243">
        <v>9.8000000000000004E-2</v>
      </c>
    </row>
    <row r="244" spans="1:15" x14ac:dyDescent="0.2">
      <c r="A244" s="1" t="str">
        <f>HYPERLINK("http://www.twitter.com/banuakdenizli/status/1593253743193051136", "1593253743193051136")</f>
        <v>1593253743193051136</v>
      </c>
      <c r="B244" t="s">
        <v>15</v>
      </c>
      <c r="C244" s="2">
        <v>44882.614212962973</v>
      </c>
      <c r="D244">
        <v>0</v>
      </c>
      <c r="E244">
        <v>4</v>
      </c>
      <c r="F244" t="s">
        <v>78</v>
      </c>
      <c r="G244" t="s">
        <v>304</v>
      </c>
      <c r="H244" t="str">
        <f>HYPERLINK("https://video.twimg.com/amplify_video/1593252391435964417/vid/1080x720/LCAQBjs9vkCq1cRh.mp4?tag=14", "https://video.twimg.com/amplify_video/1593252391435964417/vid/1080x720/LCAQBjs9vkCq1cRh.mp4?tag=14")</f>
        <v>https://video.twimg.com/amplify_video/1593252391435964417/vid/1080x720/LCAQBjs9vkCq1cRh.mp4?tag=14</v>
      </c>
      <c r="L244">
        <v>0</v>
      </c>
      <c r="M244">
        <v>0</v>
      </c>
      <c r="N244">
        <v>1</v>
      </c>
      <c r="O244">
        <v>0</v>
      </c>
    </row>
    <row r="245" spans="1:15" x14ac:dyDescent="0.2">
      <c r="A245" s="1" t="str">
        <f>HYPERLINK("http://www.twitter.com/banuakdenizli/status/1593247523891970048", "1593247523891970048")</f>
        <v>1593247523891970048</v>
      </c>
      <c r="B245" t="s">
        <v>15</v>
      </c>
      <c r="C245" s="2">
        <v>44882.597048611111</v>
      </c>
      <c r="D245">
        <v>1</v>
      </c>
      <c r="E245">
        <v>4</v>
      </c>
      <c r="G245" t="s">
        <v>305</v>
      </c>
      <c r="H245" t="str">
        <f>HYPERLINK("http://pbs.twimg.com/media/FhxaHyCaMAEetQp.jpg", "http://pbs.twimg.com/media/FhxaHyCaMAEetQp.jpg")</f>
        <v>http://pbs.twimg.com/media/FhxaHyCaMAEetQp.jpg</v>
      </c>
      <c r="I245" t="str">
        <f>HYPERLINK("http://pbs.twimg.com/media/FhxaI3paYAQ3BVN.jpg", "http://pbs.twimg.com/media/FhxaI3paYAQ3BVN.jpg")</f>
        <v>http://pbs.twimg.com/media/FhxaI3paYAQ3BVN.jpg</v>
      </c>
      <c r="J245" t="str">
        <f>HYPERLINK("http://pbs.twimg.com/media/FhxaJ5gaMAUtoVY.jpg", "http://pbs.twimg.com/media/FhxaJ5gaMAUtoVY.jpg")</f>
        <v>http://pbs.twimg.com/media/FhxaJ5gaMAUtoVY.jpg</v>
      </c>
      <c r="K245" t="str">
        <f>HYPERLINK("http://pbs.twimg.com/media/FhxaK2LaAAE_3Vo.jpg", "http://pbs.twimg.com/media/FhxaK2LaAAE_3Vo.jpg")</f>
        <v>http://pbs.twimg.com/media/FhxaK2LaAAE_3Vo.jpg</v>
      </c>
      <c r="L245">
        <v>0</v>
      </c>
      <c r="M245">
        <v>0</v>
      </c>
      <c r="N245">
        <v>1</v>
      </c>
      <c r="O245">
        <v>0</v>
      </c>
    </row>
    <row r="246" spans="1:15" x14ac:dyDescent="0.2">
      <c r="A246" s="1" t="str">
        <f>HYPERLINK("http://www.twitter.com/banuakdenizli/status/1593237294428872704", "1593237294428872704")</f>
        <v>1593237294428872704</v>
      </c>
      <c r="B246" t="s">
        <v>15</v>
      </c>
      <c r="C246" s="2">
        <v>44882.568819444437</v>
      </c>
      <c r="D246">
        <v>25</v>
      </c>
      <c r="E246">
        <v>8</v>
      </c>
      <c r="G246" t="s">
        <v>306</v>
      </c>
      <c r="H246" t="str">
        <f>HYPERLINK("http://pbs.twimg.com/media/FhxQz1dVEAEvLPY.jpg", "http://pbs.twimg.com/media/FhxQz1dVEAEvLPY.jpg")</f>
        <v>http://pbs.twimg.com/media/FhxQz1dVEAEvLPY.jpg</v>
      </c>
      <c r="I246" t="str">
        <f>HYPERLINK("http://pbs.twimg.com/media/FhxQ1O5UcAIOcCj.jpg", "http://pbs.twimg.com/media/FhxQ1O5UcAIOcCj.jpg")</f>
        <v>http://pbs.twimg.com/media/FhxQ1O5UcAIOcCj.jpg</v>
      </c>
      <c r="J246" t="str">
        <f>HYPERLINK("http://pbs.twimg.com/media/FhxQ2h2UcAMGFUQ.jpg", "http://pbs.twimg.com/media/FhxQ2h2UcAMGFUQ.jpg")</f>
        <v>http://pbs.twimg.com/media/FhxQ2h2UcAMGFUQ.jpg</v>
      </c>
      <c r="K246" t="str">
        <f>HYPERLINK("http://pbs.twimg.com/media/FhxQ3c7VsAADtkP.jpg", "http://pbs.twimg.com/media/FhxQ3c7VsAADtkP.jpg")</f>
        <v>http://pbs.twimg.com/media/FhxQ3c7VsAADtkP.jpg</v>
      </c>
      <c r="L246">
        <v>0</v>
      </c>
      <c r="M246">
        <v>0</v>
      </c>
      <c r="N246">
        <v>1</v>
      </c>
      <c r="O246">
        <v>0</v>
      </c>
    </row>
    <row r="247" spans="1:15" x14ac:dyDescent="0.2">
      <c r="A247" s="1" t="str">
        <f>HYPERLINK("http://www.twitter.com/banuakdenizli/status/1593148748149927937", "1593148748149927937")</f>
        <v>1593148748149927937</v>
      </c>
      <c r="B247" t="s">
        <v>15</v>
      </c>
      <c r="C247" s="2">
        <v>44882.324479166673</v>
      </c>
      <c r="D247">
        <v>0</v>
      </c>
      <c r="E247">
        <v>167</v>
      </c>
      <c r="F247" t="s">
        <v>51</v>
      </c>
      <c r="G247" t="s">
        <v>307</v>
      </c>
      <c r="H247" t="str">
        <f>HYPERLINK("http://pbs.twimg.com/media/Fhv9tCHXkAI5DeH.jpg", "http://pbs.twimg.com/media/Fhv9tCHXkAI5DeH.jpg")</f>
        <v>http://pbs.twimg.com/media/Fhv9tCHXkAI5DeH.jpg</v>
      </c>
      <c r="I247" t="str">
        <f>HYPERLINK("http://pbs.twimg.com/media/Fhv9tCDWYAAyNX6.jpg", "http://pbs.twimg.com/media/Fhv9tCDWYAAyNX6.jpg")</f>
        <v>http://pbs.twimg.com/media/Fhv9tCDWYAAyNX6.jpg</v>
      </c>
      <c r="J247" t="str">
        <f>HYPERLINK("http://pbs.twimg.com/media/Fhv9tCAWQAI9bsp.jpg", "http://pbs.twimg.com/media/Fhv9tCAWQAI9bsp.jpg")</f>
        <v>http://pbs.twimg.com/media/Fhv9tCAWQAI9bsp.jpg</v>
      </c>
      <c r="K247" t="str">
        <f>HYPERLINK("http://pbs.twimg.com/media/Fhv9tCCWYAEpVQg.jpg", "http://pbs.twimg.com/media/Fhv9tCCWYAEpVQg.jpg")</f>
        <v>http://pbs.twimg.com/media/Fhv9tCCWYAEpVQg.jpg</v>
      </c>
      <c r="L247">
        <v>0</v>
      </c>
      <c r="M247">
        <v>0</v>
      </c>
      <c r="N247">
        <v>1</v>
      </c>
      <c r="O247">
        <v>0</v>
      </c>
    </row>
    <row r="248" spans="1:15" x14ac:dyDescent="0.2">
      <c r="A248" s="1" t="str">
        <f>HYPERLINK("http://www.twitter.com/banuakdenizli/status/1593147139492024321", "1593147139492024321")</f>
        <v>1593147139492024321</v>
      </c>
      <c r="B248" t="s">
        <v>15</v>
      </c>
      <c r="C248" s="2">
        <v>44882.320034722223</v>
      </c>
      <c r="D248">
        <v>0</v>
      </c>
      <c r="E248">
        <v>77</v>
      </c>
      <c r="F248" t="s">
        <v>308</v>
      </c>
      <c r="G248" t="s">
        <v>309</v>
      </c>
      <c r="H248" t="str">
        <f>HYPERLINK("http://pbs.twimg.com/media/FhvQ9ygaMAA_Lq7.jpg", "http://pbs.twimg.com/media/FhvQ9ygaMAA_Lq7.jpg")</f>
        <v>http://pbs.twimg.com/media/FhvQ9ygaMAA_Lq7.jpg</v>
      </c>
      <c r="L248">
        <v>0</v>
      </c>
      <c r="M248">
        <v>0</v>
      </c>
      <c r="N248">
        <v>1</v>
      </c>
      <c r="O248">
        <v>0</v>
      </c>
    </row>
    <row r="249" spans="1:15" x14ac:dyDescent="0.2">
      <c r="A249" s="1" t="str">
        <f>HYPERLINK("http://www.twitter.com/banuakdenizli/status/1593116012211482624", "1593116012211482624")</f>
        <v>1593116012211482624</v>
      </c>
      <c r="B249" t="s">
        <v>15</v>
      </c>
      <c r="C249" s="2">
        <v>44882.234143518523</v>
      </c>
      <c r="D249">
        <v>3</v>
      </c>
      <c r="E249">
        <v>2</v>
      </c>
      <c r="G249" t="s">
        <v>310</v>
      </c>
      <c r="L249">
        <v>0</v>
      </c>
      <c r="M249">
        <v>0</v>
      </c>
      <c r="N249">
        <v>1</v>
      </c>
      <c r="O249">
        <v>0</v>
      </c>
    </row>
    <row r="250" spans="1:15" x14ac:dyDescent="0.2">
      <c r="A250" s="1" t="str">
        <f>HYPERLINK("http://www.twitter.com/banuakdenizli/status/1593115194427072513", "1593115194427072513")</f>
        <v>1593115194427072513</v>
      </c>
      <c r="B250" t="s">
        <v>15</v>
      </c>
      <c r="C250" s="2">
        <v>44882.231886574067</v>
      </c>
      <c r="D250">
        <v>11</v>
      </c>
      <c r="E250">
        <v>3</v>
      </c>
      <c r="G250" t="s">
        <v>311</v>
      </c>
      <c r="L250">
        <v>0</v>
      </c>
      <c r="M250">
        <v>0</v>
      </c>
      <c r="N250">
        <v>1</v>
      </c>
      <c r="O250">
        <v>0</v>
      </c>
    </row>
    <row r="251" spans="1:15" x14ac:dyDescent="0.2">
      <c r="A251" s="1" t="str">
        <f>HYPERLINK("http://www.twitter.com/banuakdenizli/status/1593113067260633088", "1593113067260633088")</f>
        <v>1593113067260633088</v>
      </c>
      <c r="B251" t="s">
        <v>15</v>
      </c>
      <c r="C251" s="2">
        <v>44882.226018518522</v>
      </c>
      <c r="D251">
        <v>37</v>
      </c>
      <c r="E251">
        <v>11</v>
      </c>
      <c r="G251" t="s">
        <v>312</v>
      </c>
      <c r="H251" t="str">
        <f>HYPERLINK("http://pbs.twimg.com/media/Fhvf5FNXkAE7XWc.jpg", "http://pbs.twimg.com/media/Fhvf5FNXkAE7XWc.jpg")</f>
        <v>http://pbs.twimg.com/media/Fhvf5FNXkAE7XWc.jpg</v>
      </c>
      <c r="L251">
        <v>0.44040000000000001</v>
      </c>
      <c r="M251">
        <v>0</v>
      </c>
      <c r="N251">
        <v>0.92500000000000004</v>
      </c>
      <c r="O251">
        <v>7.4999999999999997E-2</v>
      </c>
    </row>
    <row r="252" spans="1:15" x14ac:dyDescent="0.2">
      <c r="A252" s="1" t="str">
        <f>HYPERLINK("http://www.twitter.com/banuakdenizli/status/1593112147013554176", "1593112147013554176")</f>
        <v>1593112147013554176</v>
      </c>
      <c r="B252" t="s">
        <v>15</v>
      </c>
      <c r="C252" s="2">
        <v>44882.223483796297</v>
      </c>
      <c r="D252">
        <v>3</v>
      </c>
      <c r="E252">
        <v>2</v>
      </c>
      <c r="G252" t="s">
        <v>313</v>
      </c>
      <c r="L252">
        <v>0.63600000000000001</v>
      </c>
      <c r="M252">
        <v>0</v>
      </c>
      <c r="N252">
        <v>0.88700000000000001</v>
      </c>
      <c r="O252">
        <v>0.113</v>
      </c>
    </row>
    <row r="253" spans="1:15" x14ac:dyDescent="0.2">
      <c r="A253" s="1" t="str">
        <f>HYPERLINK("http://www.twitter.com/banuakdenizli/status/1592954046129635328", "1592954046129635328")</f>
        <v>1592954046129635328</v>
      </c>
      <c r="B253" t="s">
        <v>15</v>
      </c>
      <c r="C253" s="2">
        <v>44881.787199074082</v>
      </c>
      <c r="D253">
        <v>0</v>
      </c>
      <c r="E253">
        <v>8</v>
      </c>
      <c r="F253" t="s">
        <v>78</v>
      </c>
      <c r="G253" t="s">
        <v>314</v>
      </c>
      <c r="H253" t="str">
        <f>HYPERLINK("https://video.twimg.com/amplify_video/1592946799039455232/vid/1280x720/9OKdEK9F2S8bok91.mp4?tag=14", "https://video.twimg.com/amplify_video/1592946799039455232/vid/1280x720/9OKdEK9F2S8bok91.mp4?tag=14")</f>
        <v>https://video.twimg.com/amplify_video/1592946799039455232/vid/1280x720/9OKdEK9F2S8bok91.mp4?tag=14</v>
      </c>
      <c r="L253">
        <v>0</v>
      </c>
      <c r="M253">
        <v>0</v>
      </c>
      <c r="N253">
        <v>1</v>
      </c>
      <c r="O253">
        <v>0</v>
      </c>
    </row>
    <row r="254" spans="1:15" x14ac:dyDescent="0.2">
      <c r="A254" s="1" t="str">
        <f>HYPERLINK("http://www.twitter.com/banuakdenizli/status/1592945826573471744", "1592945826573471744")</f>
        <v>1592945826573471744</v>
      </c>
      <c r="B254" t="s">
        <v>15</v>
      </c>
      <c r="C254" s="2">
        <v>44881.764525462961</v>
      </c>
      <c r="D254">
        <v>0</v>
      </c>
      <c r="E254">
        <v>11</v>
      </c>
      <c r="F254" t="s">
        <v>78</v>
      </c>
      <c r="G254" t="s">
        <v>315</v>
      </c>
      <c r="H254" t="str">
        <f>HYPERLINK("https://video.twimg.com/amplify_video/1592921303245377541/vid/1280x720/PIxKDwS_8OZ7A48V.mp4?tag=14", "https://video.twimg.com/amplify_video/1592921303245377541/vid/1280x720/PIxKDwS_8OZ7A48V.mp4?tag=14")</f>
        <v>https://video.twimg.com/amplify_video/1592921303245377541/vid/1280x720/PIxKDwS_8OZ7A48V.mp4?tag=14</v>
      </c>
      <c r="L254">
        <v>0</v>
      </c>
      <c r="M254">
        <v>0</v>
      </c>
      <c r="N254">
        <v>1</v>
      </c>
      <c r="O254">
        <v>0</v>
      </c>
    </row>
    <row r="255" spans="1:15" x14ac:dyDescent="0.2">
      <c r="A255" s="1" t="str">
        <f>HYPERLINK("http://www.twitter.com/banuakdenizli/status/1592941875270402049", "1592941875270402049")</f>
        <v>1592941875270402049</v>
      </c>
      <c r="B255" t="s">
        <v>15</v>
      </c>
      <c r="C255" s="2">
        <v>44881.753622685188</v>
      </c>
      <c r="D255">
        <v>0</v>
      </c>
      <c r="E255">
        <v>14</v>
      </c>
      <c r="F255" t="s">
        <v>316</v>
      </c>
      <c r="G255" t="s">
        <v>317</v>
      </c>
      <c r="H255" t="str">
        <f>HYPERLINK("http://pbs.twimg.com/media/FhtEAs6WYAA1qUr.jpg", "http://pbs.twimg.com/media/FhtEAs6WYAA1qUr.jpg")</f>
        <v>http://pbs.twimg.com/media/FhtEAs6WYAA1qUr.jpg</v>
      </c>
      <c r="L255">
        <v>0.7712</v>
      </c>
      <c r="M255">
        <v>0</v>
      </c>
      <c r="N255">
        <v>0.66</v>
      </c>
      <c r="O255">
        <v>0.34</v>
      </c>
    </row>
    <row r="256" spans="1:15" x14ac:dyDescent="0.2">
      <c r="A256" s="1" t="str">
        <f>HYPERLINK("http://www.twitter.com/banuakdenizli/status/1592928070838935552", "1592928070838935552")</f>
        <v>1592928070838935552</v>
      </c>
      <c r="B256" t="s">
        <v>15</v>
      </c>
      <c r="C256" s="2">
        <v>44881.715520833342</v>
      </c>
      <c r="D256">
        <v>0</v>
      </c>
      <c r="E256">
        <v>605</v>
      </c>
      <c r="F256" t="s">
        <v>51</v>
      </c>
      <c r="G256" t="s">
        <v>318</v>
      </c>
      <c r="H256" t="str">
        <f>HYPERLINK("https://video.twimg.com/ext_tw_video/1592926995322736640/pu/vid/720x1280/rxqTreljg3cCEFBp.mp4?tag=12", "https://video.twimg.com/ext_tw_video/1592926995322736640/pu/vid/720x1280/rxqTreljg3cCEFBp.mp4?tag=12")</f>
        <v>https://video.twimg.com/ext_tw_video/1592926995322736640/pu/vid/720x1280/rxqTreljg3cCEFBp.mp4?tag=12</v>
      </c>
      <c r="L256">
        <v>0</v>
      </c>
      <c r="M256">
        <v>0</v>
      </c>
      <c r="N256">
        <v>1</v>
      </c>
      <c r="O256">
        <v>0</v>
      </c>
    </row>
    <row r="257" spans="1:15" x14ac:dyDescent="0.2">
      <c r="A257" s="1" t="str">
        <f>HYPERLINK("http://www.twitter.com/banuakdenizli/status/1592813918149570560", "1592813918149570560")</f>
        <v>1592813918149570560</v>
      </c>
      <c r="B257" t="s">
        <v>15</v>
      </c>
      <c r="C257" s="2">
        <v>44881.400520833333</v>
      </c>
      <c r="D257">
        <v>0</v>
      </c>
      <c r="E257">
        <v>1396</v>
      </c>
      <c r="F257" t="s">
        <v>51</v>
      </c>
      <c r="G257" t="s">
        <v>319</v>
      </c>
      <c r="H257" t="str">
        <f>HYPERLINK("http://pbs.twimg.com/media/FhrOoLiXEAEwn-U.jpg", "http://pbs.twimg.com/media/FhrOoLiXEAEwn-U.jpg")</f>
        <v>http://pbs.twimg.com/media/FhrOoLiXEAEwn-U.jpg</v>
      </c>
      <c r="L257">
        <v>0</v>
      </c>
      <c r="M257">
        <v>0</v>
      </c>
      <c r="N257">
        <v>1</v>
      </c>
      <c r="O257">
        <v>0</v>
      </c>
    </row>
    <row r="258" spans="1:15" x14ac:dyDescent="0.2">
      <c r="A258" s="1" t="str">
        <f>HYPERLINK("http://www.twitter.com/banuakdenizli/status/1592801856669233153", "1592801856669233153")</f>
        <v>1592801856669233153</v>
      </c>
      <c r="B258" t="s">
        <v>15</v>
      </c>
      <c r="C258" s="2">
        <v>44881.367245370369</v>
      </c>
      <c r="D258">
        <v>0</v>
      </c>
      <c r="E258">
        <v>193</v>
      </c>
      <c r="F258" t="s">
        <v>51</v>
      </c>
      <c r="G258" t="s">
        <v>320</v>
      </c>
      <c r="H258" t="str">
        <f>HYPERLINK("http://pbs.twimg.com/media/Fhq-oToX0AEzI3A.jpg", "http://pbs.twimg.com/media/Fhq-oToX0AEzI3A.jpg")</f>
        <v>http://pbs.twimg.com/media/Fhq-oToX0AEzI3A.jpg</v>
      </c>
      <c r="I258" t="str">
        <f>HYPERLINK("http://pbs.twimg.com/media/Fhq-oTkXEAEOCsM.jpg", "http://pbs.twimg.com/media/Fhq-oTkXEAEOCsM.jpg")</f>
        <v>http://pbs.twimg.com/media/Fhq-oTkXEAEOCsM.jpg</v>
      </c>
      <c r="J258" t="str">
        <f>HYPERLINK("http://pbs.twimg.com/media/Fhq-oToWIAEiff2.jpg", "http://pbs.twimg.com/media/Fhq-oToWIAEiff2.jpg")</f>
        <v>http://pbs.twimg.com/media/Fhq-oToWIAEiff2.jpg</v>
      </c>
      <c r="L258">
        <v>0</v>
      </c>
      <c r="M258">
        <v>0</v>
      </c>
      <c r="N258">
        <v>1</v>
      </c>
      <c r="O258">
        <v>0</v>
      </c>
    </row>
    <row r="259" spans="1:15" x14ac:dyDescent="0.2">
      <c r="A259" s="1" t="str">
        <f>HYPERLINK("http://www.twitter.com/banuakdenizli/status/1592793926670618624", "1592793926670618624")</f>
        <v>1592793926670618624</v>
      </c>
      <c r="B259" t="s">
        <v>15</v>
      </c>
      <c r="C259" s="2">
        <v>44881.345358796287</v>
      </c>
      <c r="D259">
        <v>0</v>
      </c>
      <c r="E259">
        <v>20</v>
      </c>
      <c r="F259" t="s">
        <v>56</v>
      </c>
      <c r="G259" t="s">
        <v>321</v>
      </c>
      <c r="H259" t="str">
        <f>HYPERLINK("http://pbs.twimg.com/media/FhngvKSWIAI_TZe.jpg", "http://pbs.twimg.com/media/FhngvKSWIAI_TZe.jpg")</f>
        <v>http://pbs.twimg.com/media/FhngvKSWIAI_TZe.jpg</v>
      </c>
      <c r="L259">
        <v>0</v>
      </c>
      <c r="M259">
        <v>0</v>
      </c>
      <c r="N259">
        <v>1</v>
      </c>
      <c r="O259">
        <v>0</v>
      </c>
    </row>
    <row r="260" spans="1:15" x14ac:dyDescent="0.2">
      <c r="A260" s="1" t="str">
        <f>HYPERLINK("http://www.twitter.com/banuakdenizli/status/1592787965675442176", "1592787965675442176")</f>
        <v>1592787965675442176</v>
      </c>
      <c r="B260" t="s">
        <v>15</v>
      </c>
      <c r="C260" s="2">
        <v>44881.328912037039</v>
      </c>
      <c r="D260">
        <v>0</v>
      </c>
      <c r="E260">
        <v>99</v>
      </c>
      <c r="F260" t="s">
        <v>322</v>
      </c>
      <c r="G260" t="s">
        <v>323</v>
      </c>
      <c r="H260" t="str">
        <f>HYPERLINK("http://pbs.twimg.com/media/FhhLYHIX0AAjx72.jpg", "http://pbs.twimg.com/media/FhhLYHIX0AAjx72.jpg")</f>
        <v>http://pbs.twimg.com/media/FhhLYHIX0AAjx72.jpg</v>
      </c>
      <c r="L260">
        <v>-0.42149999999999999</v>
      </c>
      <c r="M260">
        <v>8.7999999999999995E-2</v>
      </c>
      <c r="N260">
        <v>0.91200000000000003</v>
      </c>
      <c r="O260">
        <v>0</v>
      </c>
    </row>
    <row r="261" spans="1:15" x14ac:dyDescent="0.2">
      <c r="A261" s="1" t="str">
        <f>HYPERLINK("http://www.twitter.com/banuakdenizli/status/1592782496630210562", "1592782496630210562")</f>
        <v>1592782496630210562</v>
      </c>
      <c r="B261" t="s">
        <v>15</v>
      </c>
      <c r="C261" s="2">
        <v>44881.313819444447</v>
      </c>
      <c r="D261">
        <v>3</v>
      </c>
      <c r="E261">
        <v>0</v>
      </c>
      <c r="G261" t="s">
        <v>324</v>
      </c>
      <c r="L261">
        <v>0</v>
      </c>
      <c r="M261">
        <v>0</v>
      </c>
      <c r="N261">
        <v>1</v>
      </c>
      <c r="O261">
        <v>0</v>
      </c>
    </row>
    <row r="262" spans="1:15" x14ac:dyDescent="0.2">
      <c r="A262" s="1" t="str">
        <f>HYPERLINK("http://www.twitter.com/banuakdenizli/status/1592546475955089409", "1592546475955089409")</f>
        <v>1592546475955089409</v>
      </c>
      <c r="B262" t="s">
        <v>15</v>
      </c>
      <c r="C262" s="2">
        <v>44880.662523148138</v>
      </c>
      <c r="D262">
        <v>0</v>
      </c>
      <c r="E262">
        <v>1079</v>
      </c>
      <c r="F262" t="s">
        <v>51</v>
      </c>
      <c r="G262" t="s">
        <v>325</v>
      </c>
      <c r="H262" t="str">
        <f>HYPERLINK("http://pbs.twimg.com/media/FhnU6WdWIAMaawL.jpg", "http://pbs.twimg.com/media/FhnU6WdWIAMaawL.jpg")</f>
        <v>http://pbs.twimg.com/media/FhnU6WdWIAMaawL.jpg</v>
      </c>
      <c r="L262">
        <v>0</v>
      </c>
      <c r="M262">
        <v>0</v>
      </c>
      <c r="N262">
        <v>1</v>
      </c>
      <c r="O262">
        <v>0</v>
      </c>
    </row>
    <row r="263" spans="1:15" x14ac:dyDescent="0.2">
      <c r="A263" s="1" t="str">
        <f>HYPERLINK("http://www.twitter.com/banuakdenizli/status/1592477808936517632", "1592477808936517632")</f>
        <v>1592477808936517632</v>
      </c>
      <c r="B263" t="s">
        <v>15</v>
      </c>
      <c r="C263" s="2">
        <v>44880.473043981481</v>
      </c>
      <c r="D263">
        <v>0</v>
      </c>
      <c r="E263">
        <v>6</v>
      </c>
      <c r="F263" t="s">
        <v>326</v>
      </c>
      <c r="G263" t="s">
        <v>327</v>
      </c>
      <c r="H263" t="str">
        <f>HYPERLINK("https://video.twimg.com/ext_tw_video/1592473667941933056/pu/vid/1280x720/AlZPynPL7koqB95P.mp4?tag=12", "https://video.twimg.com/ext_tw_video/1592473667941933056/pu/vid/1280x720/AlZPynPL7koqB95P.mp4?tag=12")</f>
        <v>https://video.twimg.com/ext_tw_video/1592473667941933056/pu/vid/1280x720/AlZPynPL7koqB95P.mp4?tag=12</v>
      </c>
      <c r="L263">
        <v>0</v>
      </c>
      <c r="M263">
        <v>0</v>
      </c>
      <c r="N263">
        <v>1</v>
      </c>
      <c r="O263">
        <v>0</v>
      </c>
    </row>
    <row r="264" spans="1:15" x14ac:dyDescent="0.2">
      <c r="A264" s="1" t="str">
        <f>HYPERLINK("http://www.twitter.com/banuakdenizli/status/1592213430513332225", "1592213430513332225")</f>
        <v>1592213430513332225</v>
      </c>
      <c r="B264" t="s">
        <v>15</v>
      </c>
      <c r="C264" s="2">
        <v>44879.743495370371</v>
      </c>
      <c r="D264">
        <v>0</v>
      </c>
      <c r="E264">
        <v>1008</v>
      </c>
      <c r="F264" t="s">
        <v>51</v>
      </c>
      <c r="G264" t="s">
        <v>328</v>
      </c>
      <c r="H264" t="str">
        <f>HYPERLINK("https://video.twimg.com/amplify_video/1592190395978768384/vid/1280x720/aU-SJpJuWFs4BN_P.mp4?tag=14", "https://video.twimg.com/amplify_video/1592190395978768384/vid/1280x720/aU-SJpJuWFs4BN_P.mp4?tag=14")</f>
        <v>https://video.twimg.com/amplify_video/1592190395978768384/vid/1280x720/aU-SJpJuWFs4BN_P.mp4?tag=14</v>
      </c>
      <c r="L264">
        <v>0</v>
      </c>
      <c r="M264">
        <v>0</v>
      </c>
      <c r="N264">
        <v>1</v>
      </c>
      <c r="O264">
        <v>0</v>
      </c>
    </row>
    <row r="265" spans="1:15" x14ac:dyDescent="0.2">
      <c r="A265" s="1" t="str">
        <f>HYPERLINK("http://www.twitter.com/banuakdenizli/status/1592071393390518272", "1592071393390518272")</f>
        <v>1592071393390518272</v>
      </c>
      <c r="B265" t="s">
        <v>15</v>
      </c>
      <c r="C265" s="2">
        <v>44879.351550925923</v>
      </c>
      <c r="D265">
        <v>0</v>
      </c>
      <c r="E265">
        <v>177</v>
      </c>
      <c r="F265" t="s">
        <v>51</v>
      </c>
      <c r="G265" t="s">
        <v>329</v>
      </c>
      <c r="H265" t="str">
        <f>HYPERLINK("http://pbs.twimg.com/media/FhdMBCSWIAA2eSO.jpg", "http://pbs.twimg.com/media/FhdMBCSWIAA2eSO.jpg")</f>
        <v>http://pbs.twimg.com/media/FhdMBCSWIAA2eSO.jpg</v>
      </c>
      <c r="L265">
        <v>0</v>
      </c>
      <c r="M265">
        <v>0</v>
      </c>
      <c r="N265">
        <v>1</v>
      </c>
      <c r="O265">
        <v>0</v>
      </c>
    </row>
    <row r="266" spans="1:15" x14ac:dyDescent="0.2">
      <c r="A266" s="1" t="str">
        <f>HYPERLINK("http://www.twitter.com/banuakdenizli/status/1590744278354972673", "1590744278354972673")</f>
        <v>1590744278354972673</v>
      </c>
      <c r="B266" t="s">
        <v>15</v>
      </c>
      <c r="C266" s="2">
        <v>44875.689409722218</v>
      </c>
      <c r="D266">
        <v>0</v>
      </c>
      <c r="E266">
        <v>49</v>
      </c>
      <c r="F266" t="s">
        <v>330</v>
      </c>
      <c r="G266" t="s">
        <v>331</v>
      </c>
      <c r="H266" t="str">
        <f>HYPERLINK("http://pbs.twimg.com/media/FhNjY-XWYAAWO2A.jpg", "http://pbs.twimg.com/media/FhNjY-XWYAAWO2A.jpg")</f>
        <v>http://pbs.twimg.com/media/FhNjY-XWYAAWO2A.jpg</v>
      </c>
      <c r="L266">
        <v>0</v>
      </c>
      <c r="M266">
        <v>0</v>
      </c>
      <c r="N266">
        <v>1</v>
      </c>
      <c r="O266">
        <v>0</v>
      </c>
    </row>
    <row r="267" spans="1:15" x14ac:dyDescent="0.2">
      <c r="A267" s="1" t="str">
        <f>HYPERLINK("http://www.twitter.com/banuakdenizli/status/1590705147562582016", "1590705147562582016")</f>
        <v>1590705147562582016</v>
      </c>
      <c r="B267" t="s">
        <v>15</v>
      </c>
      <c r="C267" s="2">
        <v>44875.581423611111</v>
      </c>
      <c r="D267">
        <v>202</v>
      </c>
      <c r="E267">
        <v>54</v>
      </c>
      <c r="G267" t="s">
        <v>332</v>
      </c>
      <c r="H267" t="str">
        <f>HYPERLINK("https://video.twimg.com/ext_tw_video/1590704915294392323/pu/vid/1280x720/JaP-xr6_a2DHRPjI.mp4?tag=12", "https://video.twimg.com/ext_tw_video/1590704915294392323/pu/vid/1280x720/JaP-xr6_a2DHRPjI.mp4?tag=12")</f>
        <v>https://video.twimg.com/ext_tw_video/1590704915294392323/pu/vid/1280x720/JaP-xr6_a2DHRPjI.mp4?tag=12</v>
      </c>
      <c r="L267">
        <v>0</v>
      </c>
      <c r="M267">
        <v>0</v>
      </c>
      <c r="N267">
        <v>1</v>
      </c>
      <c r="O267">
        <v>0</v>
      </c>
    </row>
    <row r="268" spans="1:15" x14ac:dyDescent="0.2">
      <c r="A268" s="1" t="str">
        <f>HYPERLINK("http://www.twitter.com/banuakdenizli/status/1590700122152652801", "1590700122152652801")</f>
        <v>1590700122152652801</v>
      </c>
      <c r="B268" t="s">
        <v>15</v>
      </c>
      <c r="C268" s="2">
        <v>44875.567557870367</v>
      </c>
      <c r="D268">
        <v>3</v>
      </c>
      <c r="E268">
        <v>0</v>
      </c>
      <c r="G268" t="s">
        <v>333</v>
      </c>
      <c r="L268">
        <v>0</v>
      </c>
      <c r="M268">
        <v>0</v>
      </c>
      <c r="N268">
        <v>1</v>
      </c>
      <c r="O268">
        <v>0</v>
      </c>
    </row>
    <row r="269" spans="1:15" x14ac:dyDescent="0.2">
      <c r="A269" s="1" t="str">
        <f>HYPERLINK("http://www.twitter.com/banuakdenizli/status/1590700117182795776", "1590700117182795776")</f>
        <v>1590700117182795776</v>
      </c>
      <c r="B269" t="s">
        <v>15</v>
      </c>
      <c r="C269" s="2">
        <v>44875.567546296297</v>
      </c>
      <c r="D269">
        <v>99</v>
      </c>
      <c r="E269">
        <v>37</v>
      </c>
      <c r="G269" t="s">
        <v>334</v>
      </c>
      <c r="H269" t="str">
        <f>HYPERLINK("https://video.twimg.com/ext_tw_video/1590700008625561603/pu/vid/1280x720/vnSQiFN0pMxuwVQ-.mp4?tag=12", "https://video.twimg.com/ext_tw_video/1590700008625561603/pu/vid/1280x720/vnSQiFN0pMxuwVQ-.mp4?tag=12")</f>
        <v>https://video.twimg.com/ext_tw_video/1590700008625561603/pu/vid/1280x720/vnSQiFN0pMxuwVQ-.mp4?tag=12</v>
      </c>
      <c r="L269">
        <v>0</v>
      </c>
      <c r="M269">
        <v>0</v>
      </c>
      <c r="N269">
        <v>1</v>
      </c>
      <c r="O269">
        <v>0</v>
      </c>
    </row>
    <row r="270" spans="1:15" x14ac:dyDescent="0.2">
      <c r="A270" s="1" t="str">
        <f>HYPERLINK("http://www.twitter.com/banuakdenizli/status/1590690942704848898", "1590690942704848898")</f>
        <v>1590690942704848898</v>
      </c>
      <c r="B270" t="s">
        <v>15</v>
      </c>
      <c r="C270" s="2">
        <v>44875.542233796303</v>
      </c>
      <c r="D270">
        <v>11</v>
      </c>
      <c r="E270">
        <v>1</v>
      </c>
      <c r="G270" t="s">
        <v>335</v>
      </c>
      <c r="H270" t="str">
        <f>HYPERLINK("http://pbs.twimg.com/media/FhNEnRzXEAAYyVi.jpg", "http://pbs.twimg.com/media/FhNEnRzXEAAYyVi.jpg")</f>
        <v>http://pbs.twimg.com/media/FhNEnRzXEAAYyVi.jpg</v>
      </c>
      <c r="L270">
        <v>0.45879999999999999</v>
      </c>
      <c r="M270">
        <v>0</v>
      </c>
      <c r="N270">
        <v>0.91400000000000003</v>
      </c>
      <c r="O270">
        <v>8.5999999999999993E-2</v>
      </c>
    </row>
    <row r="271" spans="1:15" x14ac:dyDescent="0.2">
      <c r="A271" s="1" t="str">
        <f>HYPERLINK("http://www.twitter.com/banuakdenizli/status/1590664488897810432", "1590664488897810432")</f>
        <v>1590664488897810432</v>
      </c>
      <c r="B271" t="s">
        <v>15</v>
      </c>
      <c r="C271" s="2">
        <v>44875.469224537039</v>
      </c>
      <c r="D271">
        <v>11</v>
      </c>
      <c r="E271">
        <v>1</v>
      </c>
      <c r="G271" t="s">
        <v>336</v>
      </c>
      <c r="H271" t="str">
        <f>HYPERLINK("http://pbs.twimg.com/media/FhMs5ylXoAAOOMx.jpg", "http://pbs.twimg.com/media/FhMs5ylXoAAOOMx.jpg")</f>
        <v>http://pbs.twimg.com/media/FhMs5ylXoAAOOMx.jpg</v>
      </c>
      <c r="I271" t="str">
        <f>HYPERLINK("http://pbs.twimg.com/media/FhMs6RvXEAAjFJH.jpg", "http://pbs.twimg.com/media/FhMs6RvXEAAjFJH.jpg")</f>
        <v>http://pbs.twimg.com/media/FhMs6RvXEAAjFJH.jpg</v>
      </c>
      <c r="J271" t="str">
        <f>HYPERLINK("http://pbs.twimg.com/media/FhMs6zhWAAAgpeO.jpg", "http://pbs.twimg.com/media/FhMs6zhWAAAgpeO.jpg")</f>
        <v>http://pbs.twimg.com/media/FhMs6zhWAAAgpeO.jpg</v>
      </c>
      <c r="L271">
        <v>0</v>
      </c>
      <c r="M271">
        <v>0</v>
      </c>
      <c r="N271">
        <v>1</v>
      </c>
      <c r="O271">
        <v>0</v>
      </c>
    </row>
    <row r="272" spans="1:15" x14ac:dyDescent="0.2">
      <c r="A272" s="1" t="str">
        <f>HYPERLINK("http://www.twitter.com/banuakdenizli/status/1590655219842437120", "1590655219842437120")</f>
        <v>1590655219842437120</v>
      </c>
      <c r="B272" t="s">
        <v>15</v>
      </c>
      <c r="C272" s="2">
        <v>44875.443657407413</v>
      </c>
      <c r="D272">
        <v>0</v>
      </c>
      <c r="E272">
        <v>9</v>
      </c>
      <c r="F272" t="s">
        <v>106</v>
      </c>
      <c r="G272" t="s">
        <v>337</v>
      </c>
      <c r="H272" t="str">
        <f>HYPERLINK("https://video.twimg.com/amplify_video/1590611541732229120/vid/1280x720/a_jng40IWh5kTlKH.mp4?tag=14", "https://video.twimg.com/amplify_video/1590611541732229120/vid/1280x720/a_jng40IWh5kTlKH.mp4?tag=14")</f>
        <v>https://video.twimg.com/amplify_video/1590611541732229120/vid/1280x720/a_jng40IWh5kTlKH.mp4?tag=14</v>
      </c>
      <c r="L272">
        <v>0</v>
      </c>
      <c r="M272">
        <v>0</v>
      </c>
      <c r="N272">
        <v>1</v>
      </c>
      <c r="O272">
        <v>0</v>
      </c>
    </row>
    <row r="273" spans="1:15" x14ac:dyDescent="0.2">
      <c r="A273" s="1" t="str">
        <f>HYPERLINK("http://www.twitter.com/banuakdenizli/status/1590653047713148928", "1590653047713148928")</f>
        <v>1590653047713148928</v>
      </c>
      <c r="B273" t="s">
        <v>15</v>
      </c>
      <c r="C273" s="2">
        <v>44875.437662037039</v>
      </c>
      <c r="D273">
        <v>0</v>
      </c>
      <c r="E273">
        <v>5</v>
      </c>
      <c r="F273" t="s">
        <v>106</v>
      </c>
      <c r="G273" t="s">
        <v>338</v>
      </c>
      <c r="H273" t="str">
        <f>HYPERLINK("https://video.twimg.com/amplify_video/1590610929250713600/vid/1280x720/OahaOGLUKvpjLCSe.mp4?tag=14", "https://video.twimg.com/amplify_video/1590610929250713600/vid/1280x720/OahaOGLUKvpjLCSe.mp4?tag=14")</f>
        <v>https://video.twimg.com/amplify_video/1590610929250713600/vid/1280x720/OahaOGLUKvpjLCSe.mp4?tag=14</v>
      </c>
      <c r="L273">
        <v>0.38179999999999997</v>
      </c>
      <c r="M273">
        <v>0</v>
      </c>
      <c r="N273">
        <v>0.91100000000000003</v>
      </c>
      <c r="O273">
        <v>8.8999999999999996E-2</v>
      </c>
    </row>
    <row r="274" spans="1:15" x14ac:dyDescent="0.2">
      <c r="A274" s="1" t="str">
        <f>HYPERLINK("http://www.twitter.com/banuakdenizli/status/1590641787328434176", "1590641787328434176")</f>
        <v>1590641787328434176</v>
      </c>
      <c r="B274" t="s">
        <v>15</v>
      </c>
      <c r="C274" s="2">
        <v>44875.406585648147</v>
      </c>
      <c r="D274">
        <v>3</v>
      </c>
      <c r="E274">
        <v>0</v>
      </c>
      <c r="G274" t="s">
        <v>339</v>
      </c>
      <c r="H274" t="str">
        <f>HYPERLINK("http://pbs.twimg.com/media/FhMYRNCWQAAVxi_.jpg", "http://pbs.twimg.com/media/FhMYRNCWQAAVxi_.jpg")</f>
        <v>http://pbs.twimg.com/media/FhMYRNCWQAAVxi_.jpg</v>
      </c>
      <c r="I274" t="str">
        <f>HYPERLINK("http://pbs.twimg.com/media/FhMYRNDXwAAXzeS.jpg", "http://pbs.twimg.com/media/FhMYRNDXwAAXzeS.jpg")</f>
        <v>http://pbs.twimg.com/media/FhMYRNDXwAAXzeS.jpg</v>
      </c>
      <c r="J274" t="str">
        <f>HYPERLINK("http://pbs.twimg.com/media/FhMYRNEXEAMAgQn.jpg", "http://pbs.twimg.com/media/FhMYRNEXEAMAgQn.jpg")</f>
        <v>http://pbs.twimg.com/media/FhMYRNEXEAMAgQn.jpg</v>
      </c>
      <c r="L274">
        <v>0</v>
      </c>
      <c r="M274">
        <v>0</v>
      </c>
      <c r="N274">
        <v>1</v>
      </c>
      <c r="O274">
        <v>0</v>
      </c>
    </row>
    <row r="275" spans="1:15" x14ac:dyDescent="0.2">
      <c r="A275" s="1" t="str">
        <f>HYPERLINK("http://www.twitter.com/banuakdenizli/status/1590639802348892167", "1590639802348892167")</f>
        <v>1590639802348892167</v>
      </c>
      <c r="B275" t="s">
        <v>15</v>
      </c>
      <c r="C275" s="2">
        <v>44875.40111111111</v>
      </c>
      <c r="D275">
        <v>3</v>
      </c>
      <c r="E275">
        <v>1</v>
      </c>
      <c r="G275" t="s">
        <v>340</v>
      </c>
      <c r="H275" t="str">
        <f>HYPERLINK("http://pbs.twimg.com/media/FhMWdz7X0AAJAOw.jpg", "http://pbs.twimg.com/media/FhMWdz7X0AAJAOw.jpg")</f>
        <v>http://pbs.twimg.com/media/FhMWdz7X0AAJAOw.jpg</v>
      </c>
      <c r="L275">
        <v>0</v>
      </c>
      <c r="M275">
        <v>0</v>
      </c>
      <c r="N275">
        <v>1</v>
      </c>
      <c r="O275">
        <v>0</v>
      </c>
    </row>
    <row r="276" spans="1:15" x14ac:dyDescent="0.2">
      <c r="A276" s="1" t="str">
        <f>HYPERLINK("http://www.twitter.com/banuakdenizli/status/1590631035687272448", "1590631035687272448")</f>
        <v>1590631035687272448</v>
      </c>
      <c r="B276" t="s">
        <v>15</v>
      </c>
      <c r="C276" s="2">
        <v>44875.376921296287</v>
      </c>
      <c r="D276">
        <v>0</v>
      </c>
      <c r="E276">
        <v>6</v>
      </c>
      <c r="F276" t="s">
        <v>31</v>
      </c>
      <c r="G276" t="s">
        <v>341</v>
      </c>
      <c r="H276" t="str">
        <f>HYPERLINK("http://pbs.twimg.com/media/FhMIHXGXEAIHe4b.jpg", "http://pbs.twimg.com/media/FhMIHXGXEAIHe4b.jpg")</f>
        <v>http://pbs.twimg.com/media/FhMIHXGXEAIHe4b.jpg</v>
      </c>
      <c r="L276">
        <v>0</v>
      </c>
      <c r="M276">
        <v>0</v>
      </c>
      <c r="N276">
        <v>1</v>
      </c>
      <c r="O276">
        <v>0</v>
      </c>
    </row>
    <row r="277" spans="1:15" x14ac:dyDescent="0.2">
      <c r="A277" s="1" t="str">
        <f>HYPERLINK("http://www.twitter.com/banuakdenizli/status/1590617247151583233", "1590617247151583233")</f>
        <v>1590617247151583233</v>
      </c>
      <c r="B277" t="s">
        <v>15</v>
      </c>
      <c r="C277" s="2">
        <v>44875.338865740741</v>
      </c>
      <c r="D277">
        <v>6</v>
      </c>
      <c r="E277">
        <v>1</v>
      </c>
      <c r="G277" t="s">
        <v>342</v>
      </c>
      <c r="H277" t="str">
        <f>HYPERLINK("http://pbs.twimg.com/media/FhMB8tnWAAE1PXW.jpg", "http://pbs.twimg.com/media/FhMB8tnWAAE1PXW.jpg")</f>
        <v>http://pbs.twimg.com/media/FhMB8tnWAAE1PXW.jpg</v>
      </c>
      <c r="L277">
        <v>0.2732</v>
      </c>
      <c r="M277">
        <v>0</v>
      </c>
      <c r="N277">
        <v>0.95099999999999996</v>
      </c>
      <c r="O277">
        <v>4.9000000000000002E-2</v>
      </c>
    </row>
    <row r="278" spans="1:15" x14ac:dyDescent="0.2">
      <c r="A278" s="1" t="str">
        <f>HYPERLINK("http://www.twitter.com/banuakdenizli/status/1590615288755924992", "1590615288755924992")</f>
        <v>1590615288755924992</v>
      </c>
      <c r="B278" t="s">
        <v>15</v>
      </c>
      <c r="C278" s="2">
        <v>44875.333460648151</v>
      </c>
      <c r="D278">
        <v>0</v>
      </c>
      <c r="E278">
        <v>12</v>
      </c>
      <c r="F278" t="s">
        <v>343</v>
      </c>
      <c r="G278" t="s">
        <v>344</v>
      </c>
      <c r="H278" t="str">
        <f>HYPERLINK("http://pbs.twimg.com/media/FhLVvNUXEAAJXEK.jpg", "http://pbs.twimg.com/media/FhLVvNUXEAAJXEK.jpg")</f>
        <v>http://pbs.twimg.com/media/FhLVvNUXEAAJXEK.jpg</v>
      </c>
      <c r="L278">
        <v>0</v>
      </c>
      <c r="M278">
        <v>0</v>
      </c>
      <c r="N278">
        <v>1</v>
      </c>
      <c r="O278">
        <v>0</v>
      </c>
    </row>
    <row r="279" spans="1:15" x14ac:dyDescent="0.2">
      <c r="A279" s="1" t="str">
        <f>HYPERLINK("http://www.twitter.com/banuakdenizli/status/1590609441598369794", "1590609441598369794")</f>
        <v>1590609441598369794</v>
      </c>
      <c r="B279" t="s">
        <v>15</v>
      </c>
      <c r="C279" s="2">
        <v>44875.317326388889</v>
      </c>
      <c r="D279">
        <v>12</v>
      </c>
      <c r="E279">
        <v>3</v>
      </c>
      <c r="G279" t="s">
        <v>345</v>
      </c>
      <c r="H279" t="str">
        <f>HYPERLINK("http://pbs.twimg.com/media/FhL62agXkAILI5B.jpg", "http://pbs.twimg.com/media/FhL62agXkAILI5B.jpg")</f>
        <v>http://pbs.twimg.com/media/FhL62agXkAILI5B.jpg</v>
      </c>
      <c r="I279" t="str">
        <f>HYPERLINK("http://pbs.twimg.com/media/FhL62r-WYAUD9BU.jpg", "http://pbs.twimg.com/media/FhL62r-WYAUD9BU.jpg")</f>
        <v>http://pbs.twimg.com/media/FhL62r-WYAUD9BU.jpg</v>
      </c>
      <c r="J279" t="str">
        <f>HYPERLINK("http://pbs.twimg.com/media/FhL623HWYAAVFbb.jpg", "http://pbs.twimg.com/media/FhL623HWYAAVFbb.jpg")</f>
        <v>http://pbs.twimg.com/media/FhL623HWYAAVFbb.jpg</v>
      </c>
      <c r="L279">
        <v>0.59719999999999995</v>
      </c>
      <c r="M279">
        <v>0.03</v>
      </c>
      <c r="N279">
        <v>0.878</v>
      </c>
      <c r="O279">
        <v>9.1999999999999998E-2</v>
      </c>
    </row>
    <row r="280" spans="1:15" x14ac:dyDescent="0.2">
      <c r="A280" s="1" t="str">
        <f>HYPERLINK("http://www.twitter.com/banuakdenizli/status/1590457287973687297", "1590457287973687297")</f>
        <v>1590457287973687297</v>
      </c>
      <c r="B280" t="s">
        <v>15</v>
      </c>
      <c r="C280" s="2">
        <v>44874.897465277783</v>
      </c>
      <c r="D280">
        <v>0</v>
      </c>
      <c r="E280">
        <v>3991</v>
      </c>
      <c r="F280" t="s">
        <v>51</v>
      </c>
      <c r="G280" t="s">
        <v>346</v>
      </c>
      <c r="H280" t="str">
        <f>HYPERLINK("http://pbs.twimg.com/media/FhJOHPvXgAAaocZ.jpg", "http://pbs.twimg.com/media/FhJOHPvXgAAaocZ.jpg")</f>
        <v>http://pbs.twimg.com/media/FhJOHPvXgAAaocZ.jpg</v>
      </c>
      <c r="L280">
        <v>0</v>
      </c>
      <c r="M280">
        <v>0</v>
      </c>
      <c r="N280">
        <v>1</v>
      </c>
      <c r="O280">
        <v>0</v>
      </c>
    </row>
    <row r="281" spans="1:15" x14ac:dyDescent="0.2">
      <c r="A281" s="1" t="str">
        <f>HYPERLINK("http://www.twitter.com/banuakdenizli/status/1590348842113077248", "1590348842113077248")</f>
        <v>1590348842113077248</v>
      </c>
      <c r="B281" t="s">
        <v>15</v>
      </c>
      <c r="C281" s="2">
        <v>44874.59820601852</v>
      </c>
      <c r="D281">
        <v>10</v>
      </c>
      <c r="E281">
        <v>0</v>
      </c>
      <c r="G281" t="s">
        <v>347</v>
      </c>
      <c r="H281" t="str">
        <f>HYPERLINK("http://pbs.twimg.com/media/FhIN1tSXEAAOD1D.jpg", "http://pbs.twimg.com/media/FhIN1tSXEAAOD1D.jpg")</f>
        <v>http://pbs.twimg.com/media/FhIN1tSXEAAOD1D.jpg</v>
      </c>
      <c r="L281">
        <v>0</v>
      </c>
      <c r="M281">
        <v>0</v>
      </c>
      <c r="N281">
        <v>1</v>
      </c>
      <c r="O281">
        <v>0</v>
      </c>
    </row>
    <row r="282" spans="1:15" x14ac:dyDescent="0.2">
      <c r="A282" s="1" t="str">
        <f>HYPERLINK("http://www.twitter.com/banuakdenizli/status/1590288510367330304", "1590288510367330304")</f>
        <v>1590288510367330304</v>
      </c>
      <c r="B282" t="s">
        <v>15</v>
      </c>
      <c r="C282" s="2">
        <v>44874.43172453704</v>
      </c>
      <c r="D282">
        <v>0</v>
      </c>
      <c r="E282">
        <v>16</v>
      </c>
      <c r="F282" t="s">
        <v>18</v>
      </c>
      <c r="G282" t="s">
        <v>348</v>
      </c>
      <c r="H282" t="str">
        <f>HYPERLINK("https://video.twimg.com/amplify_video/1589989419578458112/vid/720x720/D5C2v6RAWHF-pLyz.mp4?tag=14", "https://video.twimg.com/amplify_video/1589989419578458112/vid/720x720/D5C2v6RAWHF-pLyz.mp4?tag=14")</f>
        <v>https://video.twimg.com/amplify_video/1589989419578458112/vid/720x720/D5C2v6RAWHF-pLyz.mp4?tag=14</v>
      </c>
      <c r="L282">
        <v>0</v>
      </c>
      <c r="M282">
        <v>0</v>
      </c>
      <c r="N282">
        <v>1</v>
      </c>
      <c r="O282">
        <v>0</v>
      </c>
    </row>
    <row r="283" spans="1:15" x14ac:dyDescent="0.2">
      <c r="A283" s="1" t="str">
        <f>HYPERLINK("http://www.twitter.com/banuakdenizli/status/1590254899337785344", "1590254899337785344")</f>
        <v>1590254899337785344</v>
      </c>
      <c r="B283" t="s">
        <v>15</v>
      </c>
      <c r="C283" s="2">
        <v>44874.33898148148</v>
      </c>
      <c r="D283">
        <v>0</v>
      </c>
      <c r="E283">
        <v>5</v>
      </c>
      <c r="F283" t="s">
        <v>245</v>
      </c>
      <c r="G283" t="s">
        <v>349</v>
      </c>
      <c r="L283">
        <v>0</v>
      </c>
      <c r="M283">
        <v>0</v>
      </c>
      <c r="N283">
        <v>1</v>
      </c>
      <c r="O283">
        <v>0</v>
      </c>
    </row>
    <row r="284" spans="1:15" x14ac:dyDescent="0.2">
      <c r="A284" s="1" t="str">
        <f>HYPERLINK("http://www.twitter.com/banuakdenizli/status/1590075058848137216", "1590075058848137216")</f>
        <v>1590075058848137216</v>
      </c>
      <c r="B284" t="s">
        <v>15</v>
      </c>
      <c r="C284" s="2">
        <v>44873.84270833333</v>
      </c>
      <c r="D284">
        <v>0</v>
      </c>
      <c r="E284">
        <v>485</v>
      </c>
      <c r="F284" t="s">
        <v>51</v>
      </c>
      <c r="G284" t="s">
        <v>350</v>
      </c>
      <c r="H284" t="str">
        <f>HYPERLINK("http://pbs.twimg.com/media/FhDkgSBWAAIVXp8.jpg", "http://pbs.twimg.com/media/FhDkgSBWAAIVXp8.jpg")</f>
        <v>http://pbs.twimg.com/media/FhDkgSBWAAIVXp8.jpg</v>
      </c>
      <c r="L284">
        <v>0</v>
      </c>
      <c r="M284">
        <v>0</v>
      </c>
      <c r="N284">
        <v>1</v>
      </c>
      <c r="O284">
        <v>0</v>
      </c>
    </row>
    <row r="285" spans="1:15" x14ac:dyDescent="0.2">
      <c r="A285" s="1" t="str">
        <f>HYPERLINK("http://www.twitter.com/banuakdenizli/status/1589903162974306304", "1589903162974306304")</f>
        <v>1589903162974306304</v>
      </c>
      <c r="B285" t="s">
        <v>15</v>
      </c>
      <c r="C285" s="2">
        <v>44873.368368055562</v>
      </c>
      <c r="D285">
        <v>24</v>
      </c>
      <c r="E285">
        <v>6</v>
      </c>
      <c r="G285" t="s">
        <v>351</v>
      </c>
      <c r="L285">
        <v>0</v>
      </c>
      <c r="M285">
        <v>0</v>
      </c>
      <c r="N285">
        <v>1</v>
      </c>
      <c r="O285">
        <v>0</v>
      </c>
    </row>
    <row r="286" spans="1:15" x14ac:dyDescent="0.2">
      <c r="A286" s="1" t="str">
        <f>HYPERLINK("http://www.twitter.com/banuakdenizli/status/1589896298681204737", "1589896298681204737")</f>
        <v>1589896298681204737</v>
      </c>
      <c r="B286" t="s">
        <v>15</v>
      </c>
      <c r="C286" s="2">
        <v>44873.349432870367</v>
      </c>
      <c r="D286">
        <v>76</v>
      </c>
      <c r="E286">
        <v>9</v>
      </c>
      <c r="G286" t="s">
        <v>352</v>
      </c>
      <c r="H286" t="str">
        <f>HYPERLINK("http://pbs.twimg.com/media/FhByP9jXEAEMdwN.jpg", "http://pbs.twimg.com/media/FhByP9jXEAEMdwN.jpg")</f>
        <v>http://pbs.twimg.com/media/FhByP9jXEAEMdwN.jpg</v>
      </c>
      <c r="L286">
        <v>0</v>
      </c>
      <c r="M286">
        <v>0</v>
      </c>
      <c r="N286">
        <v>1</v>
      </c>
      <c r="O286">
        <v>0</v>
      </c>
    </row>
    <row r="287" spans="1:15" x14ac:dyDescent="0.2">
      <c r="A287" s="1" t="str">
        <f>HYPERLINK("http://www.twitter.com/banuakdenizli/status/1589734099585224705", "1589734099585224705")</f>
        <v>1589734099585224705</v>
      </c>
      <c r="B287" t="s">
        <v>15</v>
      </c>
      <c r="C287" s="2">
        <v>44872.90184027778</v>
      </c>
      <c r="D287">
        <v>0</v>
      </c>
      <c r="E287">
        <v>23</v>
      </c>
      <c r="F287" t="s">
        <v>163</v>
      </c>
      <c r="G287" t="s">
        <v>353</v>
      </c>
      <c r="H287" t="str">
        <f>HYPERLINK("https://video.twimg.com/ext_tw_video/1589697795669331968/pu/vid/960x544/XByg08iiWXVttGGR.mp4?tag=12", "https://video.twimg.com/ext_tw_video/1589697795669331968/pu/vid/960x544/XByg08iiWXVttGGR.mp4?tag=12")</f>
        <v>https://video.twimg.com/ext_tw_video/1589697795669331968/pu/vid/960x544/XByg08iiWXVttGGR.mp4?tag=12</v>
      </c>
      <c r="L287">
        <v>0</v>
      </c>
      <c r="M287">
        <v>0</v>
      </c>
      <c r="N287">
        <v>1</v>
      </c>
      <c r="O287">
        <v>0</v>
      </c>
    </row>
    <row r="288" spans="1:15" x14ac:dyDescent="0.2">
      <c r="A288" s="1" t="str">
        <f>HYPERLINK("http://www.twitter.com/banuakdenizli/status/1589734006232207360", "1589734006232207360")</f>
        <v>1589734006232207360</v>
      </c>
      <c r="B288" t="s">
        <v>15</v>
      </c>
      <c r="C288" s="2">
        <v>44872.901585648149</v>
      </c>
      <c r="D288">
        <v>0</v>
      </c>
      <c r="E288">
        <v>26</v>
      </c>
      <c r="F288" t="s">
        <v>163</v>
      </c>
      <c r="G288" t="s">
        <v>354</v>
      </c>
      <c r="H288" t="str">
        <f>HYPERLINK("https://video.twimg.com/amplify_video/1589704313202675712/vid/960x544/lzLdqKhgDBI7G5l9.mp4?tag=14", "https://video.twimg.com/amplify_video/1589704313202675712/vid/960x544/lzLdqKhgDBI7G5l9.mp4?tag=14")</f>
        <v>https://video.twimg.com/amplify_video/1589704313202675712/vid/960x544/lzLdqKhgDBI7G5l9.mp4?tag=14</v>
      </c>
      <c r="L288">
        <v>0</v>
      </c>
      <c r="M288">
        <v>0</v>
      </c>
      <c r="N288">
        <v>1</v>
      </c>
      <c r="O288">
        <v>0</v>
      </c>
    </row>
    <row r="289" spans="1:15" x14ac:dyDescent="0.2">
      <c r="A289" s="1" t="str">
        <f>HYPERLINK("http://www.twitter.com/banuakdenizli/status/1589733912062087168", "1589733912062087168")</f>
        <v>1589733912062087168</v>
      </c>
      <c r="B289" t="s">
        <v>15</v>
      </c>
      <c r="C289" s="2">
        <v>44872.901331018518</v>
      </c>
      <c r="D289">
        <v>0</v>
      </c>
      <c r="E289">
        <v>39</v>
      </c>
      <c r="F289" t="s">
        <v>163</v>
      </c>
      <c r="G289" t="s">
        <v>355</v>
      </c>
      <c r="H289" t="str">
        <f>HYPERLINK("https://video.twimg.com/ext_tw_video/1589708148516044800/pu/vid/960x544/YtyOFNwkaa8imp_H.mp4?tag=12", "https://video.twimg.com/ext_tw_video/1589708148516044800/pu/vid/960x544/YtyOFNwkaa8imp_H.mp4?tag=12")</f>
        <v>https://video.twimg.com/ext_tw_video/1589708148516044800/pu/vid/960x544/YtyOFNwkaa8imp_H.mp4?tag=12</v>
      </c>
      <c r="L289">
        <v>0</v>
      </c>
      <c r="M289">
        <v>0</v>
      </c>
      <c r="N289">
        <v>1</v>
      </c>
      <c r="O289">
        <v>0</v>
      </c>
    </row>
    <row r="290" spans="1:15" x14ac:dyDescent="0.2">
      <c r="A290" s="1" t="str">
        <f>HYPERLINK("http://www.twitter.com/banuakdenizli/status/1589728158139310080", "1589728158139310080")</f>
        <v>1589728158139310080</v>
      </c>
      <c r="B290" t="s">
        <v>15</v>
      </c>
      <c r="C290" s="2">
        <v>44872.885451388887</v>
      </c>
      <c r="D290">
        <v>0</v>
      </c>
      <c r="E290">
        <v>2</v>
      </c>
      <c r="F290" t="s">
        <v>356</v>
      </c>
      <c r="G290" t="s">
        <v>357</v>
      </c>
      <c r="L290">
        <v>0</v>
      </c>
      <c r="M290">
        <v>0</v>
      </c>
      <c r="N290">
        <v>1</v>
      </c>
      <c r="O290">
        <v>0</v>
      </c>
    </row>
    <row r="291" spans="1:15" x14ac:dyDescent="0.2">
      <c r="A291" s="1" t="str">
        <f>HYPERLINK("http://www.twitter.com/banuakdenizli/status/1589713837875679232", "1589713837875679232")</f>
        <v>1589713837875679232</v>
      </c>
      <c r="B291" t="s">
        <v>15</v>
      </c>
      <c r="C291" s="2">
        <v>44872.845937500002</v>
      </c>
      <c r="D291">
        <v>0</v>
      </c>
      <c r="E291">
        <v>3</v>
      </c>
      <c r="F291" t="s">
        <v>78</v>
      </c>
      <c r="G291" t="s">
        <v>358</v>
      </c>
      <c r="H291" t="str">
        <f>HYPERLINK("https://video.twimg.com/amplify_video/1589711989839990784/vid/1280x720/b6QVVDbP6AN0-jmo.mp4?tag=14", "https://video.twimg.com/amplify_video/1589711989839990784/vid/1280x720/b6QVVDbP6AN0-jmo.mp4?tag=14")</f>
        <v>https://video.twimg.com/amplify_video/1589711989839990784/vid/1280x720/b6QVVDbP6AN0-jmo.mp4?tag=14</v>
      </c>
      <c r="L291">
        <v>0</v>
      </c>
      <c r="M291">
        <v>0</v>
      </c>
      <c r="N291">
        <v>1</v>
      </c>
      <c r="O291">
        <v>0</v>
      </c>
    </row>
    <row r="292" spans="1:15" x14ac:dyDescent="0.2">
      <c r="A292" s="1" t="str">
        <f>HYPERLINK("http://www.twitter.com/banuakdenizli/status/1589699006162038785", "1589699006162038785")</f>
        <v>1589699006162038785</v>
      </c>
      <c r="B292" t="s">
        <v>15</v>
      </c>
      <c r="C292" s="2">
        <v>44872.805</v>
      </c>
      <c r="D292">
        <v>0</v>
      </c>
      <c r="E292">
        <v>4</v>
      </c>
      <c r="F292" t="s">
        <v>78</v>
      </c>
      <c r="G292" t="s">
        <v>359</v>
      </c>
      <c r="H292" t="str">
        <f>HYPERLINK("https://video.twimg.com/amplify_video/1589698369282314242/vid/1280x720/fyhLb_Lx7jBbutoi.mp4?tag=14", "https://video.twimg.com/amplify_video/1589698369282314242/vid/1280x720/fyhLb_Lx7jBbutoi.mp4?tag=14")</f>
        <v>https://video.twimg.com/amplify_video/1589698369282314242/vid/1280x720/fyhLb_Lx7jBbutoi.mp4?tag=14</v>
      </c>
      <c r="L292">
        <v>0</v>
      </c>
      <c r="M292">
        <v>0</v>
      </c>
      <c r="N292">
        <v>1</v>
      </c>
      <c r="O292">
        <v>0</v>
      </c>
    </row>
    <row r="293" spans="1:15" x14ac:dyDescent="0.2">
      <c r="A293" s="1" t="str">
        <f>HYPERLINK("http://www.twitter.com/banuakdenizli/status/1589695186988597248", "1589695186988597248")</f>
        <v>1589695186988597248</v>
      </c>
      <c r="B293" t="s">
        <v>15</v>
      </c>
      <c r="C293" s="2">
        <v>44872.79446759259</v>
      </c>
      <c r="D293">
        <v>0</v>
      </c>
      <c r="E293">
        <v>11</v>
      </c>
      <c r="F293" t="s">
        <v>78</v>
      </c>
      <c r="G293" t="s">
        <v>360</v>
      </c>
      <c r="H293" t="str">
        <f>HYPERLINK("https://video.twimg.com/amplify_video/1589694745336578048/vid/1280x720/mo9ThhXWRLCeH7jB.mp4?tag=14", "https://video.twimg.com/amplify_video/1589694745336578048/vid/1280x720/mo9ThhXWRLCeH7jB.mp4?tag=14")</f>
        <v>https://video.twimg.com/amplify_video/1589694745336578048/vid/1280x720/mo9ThhXWRLCeH7jB.mp4?tag=14</v>
      </c>
      <c r="L293">
        <v>0</v>
      </c>
      <c r="M293">
        <v>0</v>
      </c>
      <c r="N293">
        <v>1</v>
      </c>
      <c r="O293">
        <v>0</v>
      </c>
    </row>
    <row r="294" spans="1:15" x14ac:dyDescent="0.2">
      <c r="A294" s="1" t="str">
        <f>HYPERLINK("http://www.twitter.com/banuakdenizli/status/1589653486878457857", "1589653486878457857")</f>
        <v>1589653486878457857</v>
      </c>
      <c r="B294" t="s">
        <v>15</v>
      </c>
      <c r="C294" s="2">
        <v>44872.679398148153</v>
      </c>
      <c r="D294">
        <v>0</v>
      </c>
      <c r="E294">
        <v>9</v>
      </c>
      <c r="F294" t="s">
        <v>18</v>
      </c>
      <c r="G294" t="s">
        <v>361</v>
      </c>
      <c r="H294" t="str">
        <f>HYPERLINK("http://pbs.twimg.com/media/Fg-PgadX0AAVTZu.jpg", "http://pbs.twimg.com/media/Fg-PgadX0AAVTZu.jpg")</f>
        <v>http://pbs.twimg.com/media/Fg-PgadX0AAVTZu.jpg</v>
      </c>
      <c r="L294">
        <v>0</v>
      </c>
      <c r="M294">
        <v>0</v>
      </c>
      <c r="N294">
        <v>1</v>
      </c>
      <c r="O294">
        <v>0</v>
      </c>
    </row>
    <row r="295" spans="1:15" x14ac:dyDescent="0.2">
      <c r="A295" s="1" t="str">
        <f>HYPERLINK("http://www.twitter.com/banuakdenizli/status/1589643448529084416", "1589643448529084416")</f>
        <v>1589643448529084416</v>
      </c>
      <c r="B295" t="s">
        <v>15</v>
      </c>
      <c r="C295" s="2">
        <v>44872.651689814818</v>
      </c>
      <c r="D295">
        <v>0</v>
      </c>
      <c r="E295">
        <v>638</v>
      </c>
      <c r="F295" t="s">
        <v>17</v>
      </c>
      <c r="G295" t="s">
        <v>362</v>
      </c>
      <c r="L295">
        <v>0</v>
      </c>
      <c r="M295">
        <v>0</v>
      </c>
      <c r="N295">
        <v>1</v>
      </c>
      <c r="O295">
        <v>0</v>
      </c>
    </row>
    <row r="296" spans="1:15" x14ac:dyDescent="0.2">
      <c r="A296" s="1" t="str">
        <f>HYPERLINK("http://www.twitter.com/banuakdenizli/status/1589273890764689408", "1589273890764689408")</f>
        <v>1589273890764689408</v>
      </c>
      <c r="B296" t="s">
        <v>15</v>
      </c>
      <c r="C296" s="2">
        <v>44871.631909722222</v>
      </c>
      <c r="D296">
        <v>0</v>
      </c>
      <c r="E296">
        <v>3</v>
      </c>
      <c r="F296" t="s">
        <v>30</v>
      </c>
      <c r="G296" t="s">
        <v>363</v>
      </c>
      <c r="H296" t="str">
        <f>HYPERLINK("http://pbs.twimg.com/media/Fg4qGHGXoAEGSkk.jpg", "http://pbs.twimg.com/media/Fg4qGHGXoAEGSkk.jpg")</f>
        <v>http://pbs.twimg.com/media/Fg4qGHGXoAEGSkk.jpg</v>
      </c>
      <c r="I296" t="str">
        <f>HYPERLINK("http://pbs.twimg.com/media/Fg4qGHGXgAIMcjX.jpg", "http://pbs.twimg.com/media/Fg4qGHGXgAIMcjX.jpg")</f>
        <v>http://pbs.twimg.com/media/Fg4qGHGXgAIMcjX.jpg</v>
      </c>
      <c r="J296" t="str">
        <f>HYPERLINK("http://pbs.twimg.com/media/Fg4qGHKWIAMvhdo.jpg", "http://pbs.twimg.com/media/Fg4qGHKWIAMvhdo.jpg")</f>
        <v>http://pbs.twimg.com/media/Fg4qGHKWIAMvhdo.jpg</v>
      </c>
      <c r="K296" t="str">
        <f>HYPERLINK("http://pbs.twimg.com/media/Fg4qGHKXkAAwp3z.jpg", "http://pbs.twimg.com/media/Fg4qGHKXkAAwp3z.jpg")</f>
        <v>http://pbs.twimg.com/media/Fg4qGHKXkAAwp3z.jpg</v>
      </c>
      <c r="L296">
        <v>0.45879999999999999</v>
      </c>
      <c r="M296">
        <v>0</v>
      </c>
      <c r="N296">
        <v>0.92500000000000004</v>
      </c>
      <c r="O296">
        <v>7.4999999999999997E-2</v>
      </c>
    </row>
    <row r="297" spans="1:15" x14ac:dyDescent="0.2">
      <c r="A297" s="1" t="str">
        <f>HYPERLINK("http://www.twitter.com/banuakdenizli/status/1588952836033118209", "1588952836033118209")</f>
        <v>1588952836033118209</v>
      </c>
      <c r="B297" t="s">
        <v>15</v>
      </c>
      <c r="C297" s="2">
        <v>44870.745972222219</v>
      </c>
      <c r="D297">
        <v>0</v>
      </c>
      <c r="E297">
        <v>5</v>
      </c>
      <c r="F297" t="s">
        <v>32</v>
      </c>
      <c r="G297" t="s">
        <v>364</v>
      </c>
      <c r="H297" t="str">
        <f>HYPERLINK("http://pbs.twimg.com/media/Fgv-hHhXwAIL23o.jpg", "http://pbs.twimg.com/media/Fgv-hHhXwAIL23o.jpg")</f>
        <v>http://pbs.twimg.com/media/Fgv-hHhXwAIL23o.jpg</v>
      </c>
      <c r="L297">
        <v>0</v>
      </c>
      <c r="M297">
        <v>0</v>
      </c>
      <c r="N297">
        <v>1</v>
      </c>
      <c r="O297">
        <v>0</v>
      </c>
    </row>
    <row r="298" spans="1:15" x14ac:dyDescent="0.2">
      <c r="A298" s="1" t="str">
        <f>HYPERLINK("http://www.twitter.com/banuakdenizli/status/1588952785202339840", "1588952785202339840")</f>
        <v>1588952785202339840</v>
      </c>
      <c r="B298" t="s">
        <v>15</v>
      </c>
      <c r="C298" s="2">
        <v>44870.745821759258</v>
      </c>
      <c r="D298">
        <v>0</v>
      </c>
      <c r="E298">
        <v>16</v>
      </c>
      <c r="F298" t="s">
        <v>32</v>
      </c>
      <c r="G298" t="s">
        <v>365</v>
      </c>
      <c r="H298" t="str">
        <f>HYPERLINK("http://pbs.twimg.com/media/Fgu_10QXkAAffjf.jpg", "http://pbs.twimg.com/media/Fgu_10QXkAAffjf.jpg")</f>
        <v>http://pbs.twimg.com/media/Fgu_10QXkAAffjf.jpg</v>
      </c>
      <c r="L298">
        <v>0.62490000000000001</v>
      </c>
      <c r="M298">
        <v>0</v>
      </c>
      <c r="N298">
        <v>0.86399999999999999</v>
      </c>
      <c r="O298">
        <v>0.13600000000000001</v>
      </c>
    </row>
    <row r="299" spans="1:15" x14ac:dyDescent="0.2">
      <c r="A299" s="1" t="str">
        <f>HYPERLINK("http://www.twitter.com/banuakdenizli/status/1588896122806108165", "1588896122806108165")</f>
        <v>1588896122806108165</v>
      </c>
      <c r="B299" t="s">
        <v>15</v>
      </c>
      <c r="C299" s="2">
        <v>44870.589467592603</v>
      </c>
      <c r="D299">
        <v>11</v>
      </c>
      <c r="E299">
        <v>4</v>
      </c>
      <c r="G299" t="s">
        <v>366</v>
      </c>
      <c r="H299" t="str">
        <f>HYPERLINK("https://video.twimg.com/ext_tw_video/1588896104304807937/pu/vid/480x640/Nl-xfwNDFkbXmtbV.mp4?tag=12", "https://video.twimg.com/ext_tw_video/1588896104304807937/pu/vid/480x640/Nl-xfwNDFkbXmtbV.mp4?tag=12")</f>
        <v>https://video.twimg.com/ext_tw_video/1588896104304807937/pu/vid/480x640/Nl-xfwNDFkbXmtbV.mp4?tag=12</v>
      </c>
      <c r="L299">
        <v>0.29599999999999999</v>
      </c>
      <c r="M299">
        <v>0</v>
      </c>
      <c r="N299">
        <v>0.94899999999999995</v>
      </c>
      <c r="O299">
        <v>5.0999999999999997E-2</v>
      </c>
    </row>
    <row r="300" spans="1:15" x14ac:dyDescent="0.2">
      <c r="A300" s="1" t="str">
        <f>HYPERLINK("http://www.twitter.com/banuakdenizli/status/1588612306531127296", "1588612306531127296")</f>
        <v>1588612306531127296</v>
      </c>
      <c r="B300" t="s">
        <v>15</v>
      </c>
      <c r="C300" s="2">
        <v>44869.806284722217</v>
      </c>
      <c r="D300">
        <v>6</v>
      </c>
      <c r="E300">
        <v>0</v>
      </c>
      <c r="G300" t="s">
        <v>367</v>
      </c>
      <c r="H300" t="str">
        <f>HYPERLINK("http://pbs.twimg.com/media/Fgvid7DXEAQxPgM.jpg", "http://pbs.twimg.com/media/Fgvid7DXEAQxPgM.jpg")</f>
        <v>http://pbs.twimg.com/media/Fgvid7DXEAQxPgM.jpg</v>
      </c>
      <c r="L300">
        <v>0</v>
      </c>
      <c r="M300">
        <v>0</v>
      </c>
      <c r="N300">
        <v>1</v>
      </c>
      <c r="O300">
        <v>0</v>
      </c>
    </row>
    <row r="301" spans="1:15" x14ac:dyDescent="0.2">
      <c r="A301" s="1" t="str">
        <f>HYPERLINK("http://www.twitter.com/banuakdenizli/status/1588559064778543105", "1588559064778543105")</f>
        <v>1588559064778543105</v>
      </c>
      <c r="B301" t="s">
        <v>15</v>
      </c>
      <c r="C301" s="2">
        <v>44869.659363425933</v>
      </c>
      <c r="D301">
        <v>0</v>
      </c>
      <c r="E301">
        <v>70</v>
      </c>
      <c r="F301" t="s">
        <v>20</v>
      </c>
      <c r="G301" t="s">
        <v>368</v>
      </c>
      <c r="H301" t="str">
        <f>HYPERLINK("http://pbs.twimg.com/media/FguwjOeXoAUSRXx.jpg", "http://pbs.twimg.com/media/FguwjOeXoAUSRXx.jpg")</f>
        <v>http://pbs.twimg.com/media/FguwjOeXoAUSRXx.jpg</v>
      </c>
      <c r="L301">
        <v>0</v>
      </c>
      <c r="M301">
        <v>0</v>
      </c>
      <c r="N301">
        <v>1</v>
      </c>
      <c r="O301">
        <v>0</v>
      </c>
    </row>
    <row r="302" spans="1:15" x14ac:dyDescent="0.2">
      <c r="A302" s="1" t="str">
        <f>HYPERLINK("http://www.twitter.com/banuakdenizli/status/1588505970094657537", "1588505970094657537")</f>
        <v>1588505970094657537</v>
      </c>
      <c r="B302" t="s">
        <v>15</v>
      </c>
      <c r="C302" s="2">
        <v>44869.51284722222</v>
      </c>
      <c r="D302">
        <v>4</v>
      </c>
      <c r="E302">
        <v>0</v>
      </c>
      <c r="G302" t="s">
        <v>369</v>
      </c>
      <c r="H302" t="str">
        <f>HYPERLINK("http://pbs.twimg.com/media/FguBwXkWQAUEJgl.jpg", "http://pbs.twimg.com/media/FguBwXkWQAUEJgl.jpg")</f>
        <v>http://pbs.twimg.com/media/FguBwXkWQAUEJgl.jpg</v>
      </c>
      <c r="L302">
        <v>0.2732</v>
      </c>
      <c r="M302">
        <v>0</v>
      </c>
      <c r="N302">
        <v>0.94199999999999995</v>
      </c>
      <c r="O302">
        <v>5.8000000000000003E-2</v>
      </c>
    </row>
    <row r="303" spans="1:15" x14ac:dyDescent="0.2">
      <c r="A303" s="1" t="str">
        <f>HYPERLINK("http://www.twitter.com/banuakdenizli/status/1588472009951961089", "1588472009951961089")</f>
        <v>1588472009951961089</v>
      </c>
      <c r="B303" t="s">
        <v>15</v>
      </c>
      <c r="C303" s="2">
        <v>44869.41914351852</v>
      </c>
      <c r="D303">
        <v>0</v>
      </c>
      <c r="E303">
        <v>11</v>
      </c>
      <c r="F303" t="s">
        <v>23</v>
      </c>
      <c r="G303" t="s">
        <v>370</v>
      </c>
      <c r="H303" t="str">
        <f>HYPERLINK("http://pbs.twimg.com/media/FgiuNBsWYAQi3Eu.jpg", "http://pbs.twimg.com/media/FgiuNBsWYAQi3Eu.jpg")</f>
        <v>http://pbs.twimg.com/media/FgiuNBsWYAQi3Eu.jpg</v>
      </c>
      <c r="I303" t="str">
        <f>HYPERLINK("http://pbs.twimg.com/media/FgiuNBtWIAM6w31.jpg", "http://pbs.twimg.com/media/FgiuNBtWIAM6w31.jpg")</f>
        <v>http://pbs.twimg.com/media/FgiuNBtWIAM6w31.jpg</v>
      </c>
      <c r="J303" t="str">
        <f>HYPERLINK("http://pbs.twimg.com/media/FgiuNBsXEAM7uru.jpg", "http://pbs.twimg.com/media/FgiuNBsXEAM7uru.jpg")</f>
        <v>http://pbs.twimg.com/media/FgiuNBsXEAM7uru.jpg</v>
      </c>
      <c r="K303" t="str">
        <f>HYPERLINK("http://pbs.twimg.com/media/FgiuNBnXgAAkcCP.jpg", "http://pbs.twimg.com/media/FgiuNBnXgAAkcCP.jpg")</f>
        <v>http://pbs.twimg.com/media/FgiuNBnXgAAkcCP.jpg</v>
      </c>
      <c r="L303">
        <v>0.55740000000000001</v>
      </c>
      <c r="M303">
        <v>0</v>
      </c>
      <c r="N303">
        <v>0.874</v>
      </c>
      <c r="O303">
        <v>0.126</v>
      </c>
    </row>
    <row r="304" spans="1:15" x14ac:dyDescent="0.2">
      <c r="A304" s="1" t="str">
        <f>HYPERLINK("http://www.twitter.com/banuakdenizli/status/1587813863499628546", "1587813863499628546")</f>
        <v>1587813863499628546</v>
      </c>
      <c r="B304" t="s">
        <v>15</v>
      </c>
      <c r="C304" s="2">
        <v>44867.602997685193</v>
      </c>
      <c r="D304">
        <v>11</v>
      </c>
      <c r="E304">
        <v>7</v>
      </c>
      <c r="G304" t="s">
        <v>371</v>
      </c>
      <c r="L304">
        <v>0.2732</v>
      </c>
      <c r="M304">
        <v>0</v>
      </c>
      <c r="N304">
        <v>0.92500000000000004</v>
      </c>
      <c r="O304">
        <v>7.4999999999999997E-2</v>
      </c>
    </row>
    <row r="305" spans="1:15" x14ac:dyDescent="0.2">
      <c r="A305" s="1" t="str">
        <f>HYPERLINK("http://www.twitter.com/banuakdenizli/status/1587450932111216640", "1587450932111216640")</f>
        <v>1587450932111216640</v>
      </c>
      <c r="B305" t="s">
        <v>15</v>
      </c>
      <c r="C305" s="2">
        <v>44866.601504629631</v>
      </c>
      <c r="D305">
        <v>0</v>
      </c>
      <c r="E305">
        <v>22</v>
      </c>
      <c r="F305" t="s">
        <v>372</v>
      </c>
      <c r="G305" t="s">
        <v>373</v>
      </c>
      <c r="H305" t="str">
        <f>HYPERLINK("http://pbs.twimg.com/media/FgeumwDXEAcm7io.jpg", "http://pbs.twimg.com/media/FgeumwDXEAcm7io.jpg")</f>
        <v>http://pbs.twimg.com/media/FgeumwDXEAcm7io.jpg</v>
      </c>
      <c r="L305">
        <v>0.47670000000000001</v>
      </c>
      <c r="M305">
        <v>0</v>
      </c>
      <c r="N305">
        <v>0.86399999999999999</v>
      </c>
      <c r="O305">
        <v>0.13600000000000001</v>
      </c>
    </row>
    <row r="306" spans="1:15" x14ac:dyDescent="0.2">
      <c r="A306" s="1" t="str">
        <f>HYPERLINK("http://www.twitter.com/banuakdenizli/status/1586970950087606273", "1586970950087606273")</f>
        <v>1586970950087606273</v>
      </c>
      <c r="B306" t="s">
        <v>15</v>
      </c>
      <c r="C306" s="2">
        <v>44865.277002314811</v>
      </c>
      <c r="D306">
        <v>2</v>
      </c>
      <c r="E306">
        <v>1</v>
      </c>
      <c r="G306" t="s">
        <v>374</v>
      </c>
      <c r="H306" t="str">
        <f>HYPERLINK("http://pbs.twimg.com/media/FgYNqMYXkAIGdHq.jpg", "http://pbs.twimg.com/media/FgYNqMYXkAIGdHq.jpg")</f>
        <v>http://pbs.twimg.com/media/FgYNqMYXkAIGdHq.jpg</v>
      </c>
      <c r="I306" t="str">
        <f>HYPERLINK("http://pbs.twimg.com/media/FgYNqMTWIAEUfCp.jpg", "http://pbs.twimg.com/media/FgYNqMTWIAEUfCp.jpg")</f>
        <v>http://pbs.twimg.com/media/FgYNqMTWIAEUfCp.jpg</v>
      </c>
      <c r="J306" t="str">
        <f>HYPERLINK("http://pbs.twimg.com/media/FgYNqMaWQAAoYTL.jpg", "http://pbs.twimg.com/media/FgYNqMaWQAAoYTL.jpg")</f>
        <v>http://pbs.twimg.com/media/FgYNqMaWQAAoYTL.jpg</v>
      </c>
      <c r="L306">
        <v>0</v>
      </c>
      <c r="M306">
        <v>0</v>
      </c>
      <c r="N306">
        <v>1</v>
      </c>
      <c r="O306">
        <v>0</v>
      </c>
    </row>
    <row r="307" spans="1:15" x14ac:dyDescent="0.2">
      <c r="A307" s="1" t="str">
        <f>HYPERLINK("http://www.twitter.com/banuakdenizli/status/1586966073533939713", "1586966073533939713")</f>
        <v>1586966073533939713</v>
      </c>
      <c r="B307" t="s">
        <v>15</v>
      </c>
      <c r="C307" s="2">
        <v>44865.263541666667</v>
      </c>
      <c r="D307">
        <v>14</v>
      </c>
      <c r="E307">
        <v>2</v>
      </c>
      <c r="G307" t="s">
        <v>375</v>
      </c>
      <c r="H307" t="str">
        <f>HYPERLINK("http://pbs.twimg.com/media/FgYJOCIXEAEo8qn.jpg", "http://pbs.twimg.com/media/FgYJOCIXEAEo8qn.jpg")</f>
        <v>http://pbs.twimg.com/media/FgYJOCIXEAEo8qn.jpg</v>
      </c>
      <c r="I307" t="str">
        <f>HYPERLINK("http://pbs.twimg.com/media/FgYJONZXgAAyx70.jpg", "http://pbs.twimg.com/media/FgYJONZXgAAyx70.jpg")</f>
        <v>http://pbs.twimg.com/media/FgYJONZXgAAyx70.jpg</v>
      </c>
      <c r="J307" t="str">
        <f>HYPERLINK("http://pbs.twimg.com/media/FgYJOseXkAEU-8M.jpg", "http://pbs.twimg.com/media/FgYJOseXkAEU-8M.jpg")</f>
        <v>http://pbs.twimg.com/media/FgYJOseXkAEU-8M.jpg</v>
      </c>
      <c r="L307">
        <v>0</v>
      </c>
      <c r="M307">
        <v>0</v>
      </c>
      <c r="N307">
        <v>1</v>
      </c>
      <c r="O307">
        <v>0</v>
      </c>
    </row>
    <row r="308" spans="1:15" x14ac:dyDescent="0.2">
      <c r="A308" s="1" t="str">
        <f>HYPERLINK("http://www.twitter.com/banuakdenizli/status/1586292964136845312", "1586292964136845312")</f>
        <v>1586292964136845312</v>
      </c>
      <c r="B308" t="s">
        <v>15</v>
      </c>
      <c r="C308" s="2">
        <v>44863.406122685177</v>
      </c>
      <c r="D308">
        <v>0</v>
      </c>
      <c r="E308">
        <v>1</v>
      </c>
      <c r="F308" t="s">
        <v>376</v>
      </c>
      <c r="G308" t="s">
        <v>377</v>
      </c>
      <c r="H308" t="str">
        <f>HYPERLINK("https://video.twimg.com/ext_tw_video/1585636299737735168/pu/vid/720x1280/J9m-F0U-MqUUfUir.mp4?tag=12", "https://video.twimg.com/ext_tw_video/1585636299737735168/pu/vid/720x1280/J9m-F0U-MqUUfUir.mp4?tag=12")</f>
        <v>https://video.twimg.com/ext_tw_video/1585636299737735168/pu/vid/720x1280/J9m-F0U-MqUUfUir.mp4?tag=12</v>
      </c>
      <c r="L308">
        <v>0</v>
      </c>
      <c r="M308">
        <v>0</v>
      </c>
      <c r="N308">
        <v>1</v>
      </c>
      <c r="O308">
        <v>0</v>
      </c>
    </row>
    <row r="309" spans="1:15" x14ac:dyDescent="0.2">
      <c r="A309" s="1" t="str">
        <f>HYPERLINK("http://www.twitter.com/banuakdenizli/status/1585636621881249793", "1585636621881249793")</f>
        <v>1585636621881249793</v>
      </c>
      <c r="B309" t="s">
        <v>15</v>
      </c>
      <c r="C309" s="2">
        <v>44861.594965277778</v>
      </c>
      <c r="D309">
        <v>2</v>
      </c>
      <c r="E309">
        <v>1</v>
      </c>
      <c r="G309" t="s">
        <v>378</v>
      </c>
      <c r="H309" t="str">
        <f>HYPERLINK("http://pbs.twimg.com/media/FgFPjBcVsAUZy-I.jpg", "http://pbs.twimg.com/media/FgFPjBcVsAUZy-I.jpg")</f>
        <v>http://pbs.twimg.com/media/FgFPjBcVsAUZy-I.jpg</v>
      </c>
      <c r="L309">
        <v>0</v>
      </c>
      <c r="M309">
        <v>0</v>
      </c>
      <c r="N309">
        <v>1</v>
      </c>
      <c r="O309">
        <v>0</v>
      </c>
    </row>
    <row r="310" spans="1:15" x14ac:dyDescent="0.2">
      <c r="A310" s="1" t="str">
        <f>HYPERLINK("http://www.twitter.com/banuakdenizli/status/1585634324379901956", "1585634324379901956")</f>
        <v>1585634324379901956</v>
      </c>
      <c r="B310" t="s">
        <v>15</v>
      </c>
      <c r="C310" s="2">
        <v>44861.588622685187</v>
      </c>
      <c r="D310">
        <v>3</v>
      </c>
      <c r="E310">
        <v>1</v>
      </c>
      <c r="G310" t="s">
        <v>379</v>
      </c>
      <c r="H310" t="str">
        <f>HYPERLINK("http://pbs.twimg.com/media/FgFI0J0VEAENCSO.jpg", "http://pbs.twimg.com/media/FgFI0J0VEAENCSO.jpg")</f>
        <v>http://pbs.twimg.com/media/FgFI0J0VEAENCSO.jpg</v>
      </c>
      <c r="L310">
        <v>0</v>
      </c>
      <c r="M310">
        <v>0</v>
      </c>
      <c r="N310">
        <v>1</v>
      </c>
      <c r="O310">
        <v>0</v>
      </c>
    </row>
    <row r="311" spans="1:15" x14ac:dyDescent="0.2">
      <c r="A311" s="1" t="str">
        <f>HYPERLINK("http://www.twitter.com/banuakdenizli/status/1585542380790452225", "1585542380790452225")</f>
        <v>1585542380790452225</v>
      </c>
      <c r="B311" t="s">
        <v>15</v>
      </c>
      <c r="C311" s="2">
        <v>44861.334907407407</v>
      </c>
      <c r="D311">
        <v>3</v>
      </c>
      <c r="E311">
        <v>1</v>
      </c>
      <c r="G311" t="s">
        <v>380</v>
      </c>
      <c r="H311" t="str">
        <f>HYPERLINK("http://pbs.twimg.com/media/FgD6YmlXgAAE_nV.jpg", "http://pbs.twimg.com/media/FgD6YmlXgAAE_nV.jpg")</f>
        <v>http://pbs.twimg.com/media/FgD6YmlXgAAE_nV.jpg</v>
      </c>
      <c r="L311">
        <v>0</v>
      </c>
      <c r="M311">
        <v>0</v>
      </c>
      <c r="N311">
        <v>1</v>
      </c>
      <c r="O311">
        <v>0</v>
      </c>
    </row>
    <row r="312" spans="1:15" x14ac:dyDescent="0.2">
      <c r="A312" s="1" t="str">
        <f>HYPERLINK("http://www.twitter.com/banuakdenizli/status/1585502946036416513", "1585502946036416513")</f>
        <v>1585502946036416513</v>
      </c>
      <c r="B312" t="s">
        <v>15</v>
      </c>
      <c r="C312" s="2">
        <v>44861.226087962961</v>
      </c>
      <c r="D312">
        <v>0</v>
      </c>
      <c r="E312">
        <v>772</v>
      </c>
      <c r="F312" t="s">
        <v>17</v>
      </c>
      <c r="G312" t="s">
        <v>381</v>
      </c>
      <c r="H312" t="str">
        <f>HYPERLINK("http://pbs.twimg.com/media/FgAURYUXwAA63qk.jpg", "http://pbs.twimg.com/media/FgAURYUXwAA63qk.jpg")</f>
        <v>http://pbs.twimg.com/media/FgAURYUXwAA63qk.jpg</v>
      </c>
      <c r="L312">
        <v>0</v>
      </c>
      <c r="M312">
        <v>0</v>
      </c>
      <c r="N312">
        <v>1</v>
      </c>
      <c r="O312">
        <v>0</v>
      </c>
    </row>
    <row r="313" spans="1:15" x14ac:dyDescent="0.2">
      <c r="A313" s="1" t="str">
        <f>HYPERLINK("http://www.twitter.com/banuakdenizli/status/1585500899941695488", "1585500899941695488")</f>
        <v>1585500899941695488</v>
      </c>
      <c r="B313" t="s">
        <v>15</v>
      </c>
      <c r="C313" s="2">
        <v>44861.220439814817</v>
      </c>
      <c r="D313">
        <v>0</v>
      </c>
      <c r="E313">
        <v>101</v>
      </c>
      <c r="F313" t="s">
        <v>382</v>
      </c>
      <c r="G313" t="s">
        <v>383</v>
      </c>
      <c r="H313" t="str">
        <f>HYPERLINK("http://pbs.twimg.com/media/FgAZNdaXkAAEPyi.jpg", "http://pbs.twimg.com/media/FgAZNdaXkAAEPyi.jpg")</f>
        <v>http://pbs.twimg.com/media/FgAZNdaXkAAEPyi.jpg</v>
      </c>
      <c r="L313">
        <v>0</v>
      </c>
      <c r="M313">
        <v>0</v>
      </c>
      <c r="N313">
        <v>1</v>
      </c>
      <c r="O313">
        <v>0</v>
      </c>
    </row>
    <row r="314" spans="1:15" x14ac:dyDescent="0.2">
      <c r="A314" s="1" t="str">
        <f>HYPERLINK("http://www.twitter.com/banuakdenizli/status/1585375454256852993", "1585375454256852993")</f>
        <v>1585375454256852993</v>
      </c>
      <c r="B314" t="s">
        <v>15</v>
      </c>
      <c r="C314" s="2">
        <v>44860.87427083333</v>
      </c>
      <c r="D314">
        <v>0</v>
      </c>
      <c r="E314">
        <v>6</v>
      </c>
      <c r="F314" t="s">
        <v>384</v>
      </c>
      <c r="G314" t="s">
        <v>385</v>
      </c>
      <c r="H314" t="str">
        <f>HYPERLINK("http://pbs.twimg.com/media/Ff_tA5kXwAY9u_A.jpg", "http://pbs.twimg.com/media/Ff_tA5kXwAY9u_A.jpg")</f>
        <v>http://pbs.twimg.com/media/Ff_tA5kXwAY9u_A.jpg</v>
      </c>
      <c r="L314">
        <v>0</v>
      </c>
      <c r="M314">
        <v>0</v>
      </c>
      <c r="N314">
        <v>1</v>
      </c>
      <c r="O314">
        <v>0</v>
      </c>
    </row>
    <row r="315" spans="1:15" x14ac:dyDescent="0.2">
      <c r="A315" s="1" t="str">
        <f>HYPERLINK("http://www.twitter.com/banuakdenizli/status/1585283270069174273", "1585283270069174273")</f>
        <v>1585283270069174273</v>
      </c>
      <c r="B315" t="s">
        <v>15</v>
      </c>
      <c r="C315" s="2">
        <v>44860.619895833333</v>
      </c>
      <c r="D315">
        <v>10</v>
      </c>
      <c r="E315">
        <v>2</v>
      </c>
      <c r="G315" t="s">
        <v>386</v>
      </c>
      <c r="H315" t="str">
        <f>HYPERLINK("http://pbs.twimg.com/media/FgAOeoJXgAIgnXU.jpg", "http://pbs.twimg.com/media/FgAOeoJXgAIgnXU.jpg")</f>
        <v>http://pbs.twimg.com/media/FgAOeoJXgAIgnXU.jpg</v>
      </c>
      <c r="L315">
        <v>0</v>
      </c>
      <c r="M315">
        <v>0</v>
      </c>
      <c r="N315">
        <v>1</v>
      </c>
      <c r="O315">
        <v>0</v>
      </c>
    </row>
    <row r="316" spans="1:15" x14ac:dyDescent="0.2">
      <c r="A316" s="1" t="str">
        <f>HYPERLINK("http://www.twitter.com/banuakdenizli/status/1585255392585879559", "1585255392585879559")</f>
        <v>1585255392585879559</v>
      </c>
      <c r="B316" t="s">
        <v>15</v>
      </c>
      <c r="C316" s="2">
        <v>44860.542962962973</v>
      </c>
      <c r="D316">
        <v>0</v>
      </c>
      <c r="E316">
        <v>4</v>
      </c>
      <c r="F316" t="s">
        <v>30</v>
      </c>
      <c r="G316" t="s">
        <v>387</v>
      </c>
      <c r="H316" t="str">
        <f>HYPERLINK("http://pbs.twimg.com/media/Ff_y01vWYAk2YuG.jpg", "http://pbs.twimg.com/media/Ff_y01vWYAk2YuG.jpg")</f>
        <v>http://pbs.twimg.com/media/Ff_y01vWYAk2YuG.jpg</v>
      </c>
      <c r="L316">
        <v>0.57189999999999996</v>
      </c>
      <c r="M316">
        <v>0</v>
      </c>
      <c r="N316">
        <v>0.90200000000000002</v>
      </c>
      <c r="O316">
        <v>9.8000000000000004E-2</v>
      </c>
    </row>
    <row r="317" spans="1:15" x14ac:dyDescent="0.2">
      <c r="A317" s="1" t="str">
        <f>HYPERLINK("http://www.twitter.com/banuakdenizli/status/1585246058682396677", "1585246058682396677")</f>
        <v>1585246058682396677</v>
      </c>
      <c r="B317" t="s">
        <v>15</v>
      </c>
      <c r="C317" s="2">
        <v>44860.517210648148</v>
      </c>
      <c r="D317">
        <v>2</v>
      </c>
      <c r="E317">
        <v>0</v>
      </c>
      <c r="G317" t="s">
        <v>388</v>
      </c>
      <c r="H317" t="str">
        <f>HYPERLINK("http://pbs.twimg.com/media/Ff_s4heWIAAEjwf.jpg", "http://pbs.twimg.com/media/Ff_s4heWIAAEjwf.jpg")</f>
        <v>http://pbs.twimg.com/media/Ff_s4heWIAAEjwf.jpg</v>
      </c>
      <c r="L317">
        <v>0</v>
      </c>
      <c r="M317">
        <v>0</v>
      </c>
      <c r="N317">
        <v>1</v>
      </c>
      <c r="O317">
        <v>0</v>
      </c>
    </row>
    <row r="318" spans="1:15" x14ac:dyDescent="0.2">
      <c r="A318" s="1" t="str">
        <f>HYPERLINK("http://www.twitter.com/banuakdenizli/status/1585244471578734592", "1585244471578734592")</f>
        <v>1585244471578734592</v>
      </c>
      <c r="B318" t="s">
        <v>15</v>
      </c>
      <c r="C318" s="2">
        <v>44860.512835648151</v>
      </c>
      <c r="D318">
        <v>8</v>
      </c>
      <c r="E318">
        <v>4</v>
      </c>
      <c r="G318" t="s">
        <v>389</v>
      </c>
      <c r="H318" t="str">
        <f>HYPERLINK("http://pbs.twimg.com/media/Ff_rcMYWAAE4Lx1.jpg", "http://pbs.twimg.com/media/Ff_rcMYWAAE4Lx1.jpg")</f>
        <v>http://pbs.twimg.com/media/Ff_rcMYWAAE4Lx1.jpg</v>
      </c>
      <c r="L318">
        <v>0</v>
      </c>
      <c r="M318">
        <v>0</v>
      </c>
      <c r="N318">
        <v>1</v>
      </c>
      <c r="O318">
        <v>0</v>
      </c>
    </row>
    <row r="319" spans="1:15" x14ac:dyDescent="0.2">
      <c r="A319" s="1" t="str">
        <f>HYPERLINK("http://www.twitter.com/banuakdenizli/status/1585149414775017472", "1585149414775017472")</f>
        <v>1585149414775017472</v>
      </c>
      <c r="B319" t="s">
        <v>15</v>
      </c>
      <c r="C319" s="2">
        <v>44860.250520833331</v>
      </c>
      <c r="D319">
        <v>3</v>
      </c>
      <c r="E319">
        <v>0</v>
      </c>
      <c r="G319" t="s">
        <v>390</v>
      </c>
      <c r="H319" t="str">
        <f>HYPERLINK("http://pbs.twimg.com/media/Ff-U_KPWQAEq6iP.jpg", "http://pbs.twimg.com/media/Ff-U_KPWQAEq6iP.jpg")</f>
        <v>http://pbs.twimg.com/media/Ff-U_KPWQAEq6iP.jpg</v>
      </c>
      <c r="L319">
        <v>0</v>
      </c>
      <c r="M319">
        <v>0</v>
      </c>
      <c r="N319">
        <v>1</v>
      </c>
      <c r="O319">
        <v>0</v>
      </c>
    </row>
    <row r="320" spans="1:15" x14ac:dyDescent="0.2">
      <c r="A320" s="1" t="str">
        <f>HYPERLINK("http://www.twitter.com/banuakdenizli/status/1585146641203724290", "1585146641203724290")</f>
        <v>1585146641203724290</v>
      </c>
      <c r="B320" t="s">
        <v>15</v>
      </c>
      <c r="C320" s="2">
        <v>44860.24287037037</v>
      </c>
      <c r="D320">
        <v>2</v>
      </c>
      <c r="E320">
        <v>0</v>
      </c>
      <c r="G320" t="s">
        <v>391</v>
      </c>
      <c r="H320" t="str">
        <f>HYPERLINK("http://pbs.twimg.com/media/Ff-SdUCWIAAKy4g.jpg", "http://pbs.twimg.com/media/Ff-SdUCWIAAKy4g.jpg")</f>
        <v>http://pbs.twimg.com/media/Ff-SdUCWIAAKy4g.jpg</v>
      </c>
      <c r="I320" t="str">
        <f>HYPERLINK("http://pbs.twimg.com/media/Ff-SdUAWIAAy-zm.jpg", "http://pbs.twimg.com/media/Ff-SdUAWIAAy-zm.jpg")</f>
        <v>http://pbs.twimg.com/media/Ff-SdUAWIAAy-zm.jpg</v>
      </c>
      <c r="J320" t="str">
        <f>HYPERLINK("http://pbs.twimg.com/media/Ff-SdT9WAAAMwUb.jpg", "http://pbs.twimg.com/media/Ff-SdT9WAAAMwUb.jpg")</f>
        <v>http://pbs.twimg.com/media/Ff-SdT9WAAAMwUb.jpg</v>
      </c>
      <c r="K320" t="str">
        <f>HYPERLINK("http://pbs.twimg.com/media/Ff-SdT-WQAA3SR0.jpg", "http://pbs.twimg.com/media/Ff-SdT-WQAA3SR0.jpg")</f>
        <v>http://pbs.twimg.com/media/Ff-SdT-WQAA3SR0.jpg</v>
      </c>
      <c r="L320">
        <v>0</v>
      </c>
      <c r="M320">
        <v>0</v>
      </c>
      <c r="N320">
        <v>1</v>
      </c>
      <c r="O320">
        <v>0</v>
      </c>
    </row>
    <row r="321" spans="1:15" x14ac:dyDescent="0.2">
      <c r="A321" s="1" t="str">
        <f>HYPERLINK("http://www.twitter.com/banuakdenizli/status/1585146116126801920", "1585146116126801920")</f>
        <v>1585146116126801920</v>
      </c>
      <c r="B321" t="s">
        <v>15</v>
      </c>
      <c r="C321" s="2">
        <v>44860.241423611107</v>
      </c>
      <c r="D321">
        <v>3</v>
      </c>
      <c r="E321">
        <v>0</v>
      </c>
      <c r="G321" t="s">
        <v>392</v>
      </c>
      <c r="H321" t="str">
        <f>HYPERLINK("http://pbs.twimg.com/media/Ff-R-FwX0AE0hgc.jpg", "http://pbs.twimg.com/media/Ff-R-FwX0AE0hgc.jpg")</f>
        <v>http://pbs.twimg.com/media/Ff-R-FwX0AE0hgc.jpg</v>
      </c>
      <c r="I321" t="str">
        <f>HYPERLINK("http://pbs.twimg.com/media/Ff-R-FsXwAMkg8V.jpg", "http://pbs.twimg.com/media/Ff-R-FsXwAMkg8V.jpg")</f>
        <v>http://pbs.twimg.com/media/Ff-R-FsXwAMkg8V.jpg</v>
      </c>
      <c r="J321" t="str">
        <f>HYPERLINK("http://pbs.twimg.com/media/Ff-R-FsWYAApT8a.jpg", "http://pbs.twimg.com/media/Ff-R-FsWYAApT8a.jpg")</f>
        <v>http://pbs.twimg.com/media/Ff-R-FsWYAApT8a.jpg</v>
      </c>
      <c r="K321" t="str">
        <f>HYPERLINK("http://pbs.twimg.com/media/Ff-R-FxXoAAiza6.jpg", "http://pbs.twimg.com/media/Ff-R-FxXoAAiza6.jpg")</f>
        <v>http://pbs.twimg.com/media/Ff-R-FxXoAAiza6.jpg</v>
      </c>
      <c r="L321">
        <v>0</v>
      </c>
      <c r="M321">
        <v>0</v>
      </c>
      <c r="N321">
        <v>1</v>
      </c>
      <c r="O321">
        <v>0</v>
      </c>
    </row>
    <row r="322" spans="1:15" x14ac:dyDescent="0.2">
      <c r="A322" s="1" t="str">
        <f>HYPERLINK("http://www.twitter.com/banuakdenizli/status/1584954952296042499", "1584954952296042499")</f>
        <v>1584954952296042499</v>
      </c>
      <c r="B322" t="s">
        <v>15</v>
      </c>
      <c r="C322" s="2">
        <v>44859.713912037027</v>
      </c>
      <c r="D322">
        <v>4</v>
      </c>
      <c r="E322">
        <v>0</v>
      </c>
      <c r="G322" t="s">
        <v>393</v>
      </c>
      <c r="H322" t="str">
        <f>HYPERLINK("http://pbs.twimg.com/media/Ff7kHgrXoAEA9dD.jpg", "http://pbs.twimg.com/media/Ff7kHgrXoAEA9dD.jpg")</f>
        <v>http://pbs.twimg.com/media/Ff7kHgrXoAEA9dD.jpg</v>
      </c>
      <c r="I322" t="str">
        <f>HYPERLINK("http://pbs.twimg.com/media/Ff7kHwrXgAEw4gh.jpg", "http://pbs.twimg.com/media/Ff7kHwrXgAEw4gh.jpg")</f>
        <v>http://pbs.twimg.com/media/Ff7kHwrXgAEw4gh.jpg</v>
      </c>
      <c r="J322" t="str">
        <f>HYPERLINK("http://pbs.twimg.com/media/Ff7kIBvXEAgEkAb.jpg", "http://pbs.twimg.com/media/Ff7kIBvXEAgEkAb.jpg")</f>
        <v>http://pbs.twimg.com/media/Ff7kIBvXEAgEkAb.jpg</v>
      </c>
      <c r="K322" t="str">
        <f>HYPERLINK("http://pbs.twimg.com/media/Ff7kIRPXEAErLJU.jpg", "http://pbs.twimg.com/media/Ff7kIRPXEAErLJU.jpg")</f>
        <v>http://pbs.twimg.com/media/Ff7kIRPXEAErLJU.jpg</v>
      </c>
      <c r="L322">
        <v>0.59940000000000004</v>
      </c>
      <c r="M322">
        <v>0</v>
      </c>
      <c r="N322">
        <v>0.874</v>
      </c>
      <c r="O322">
        <v>0.126</v>
      </c>
    </row>
    <row r="323" spans="1:15" x14ac:dyDescent="0.2">
      <c r="A323" s="1" t="str">
        <f>HYPERLINK("http://www.twitter.com/banuakdenizli/status/1584954928480428033", "1584954928480428033")</f>
        <v>1584954928480428033</v>
      </c>
      <c r="B323" t="s">
        <v>15</v>
      </c>
      <c r="C323" s="2">
        <v>44859.713842592602</v>
      </c>
      <c r="D323">
        <v>6</v>
      </c>
      <c r="E323">
        <v>3</v>
      </c>
      <c r="G323" t="s">
        <v>394</v>
      </c>
      <c r="H323" t="str">
        <f>HYPERLINK("http://pbs.twimg.com/media/Ff7kF36XEAQ-G6S.jpg", "http://pbs.twimg.com/media/Ff7kF36XEAQ-G6S.jpg")</f>
        <v>http://pbs.twimg.com/media/Ff7kF36XEAQ-G6S.jpg</v>
      </c>
      <c r="I323" t="str">
        <f>HYPERLINK("http://pbs.twimg.com/media/Ff7kGRTWAAA9RIT.jpg", "http://pbs.twimg.com/media/Ff7kGRTWAAA9RIT.jpg")</f>
        <v>http://pbs.twimg.com/media/Ff7kGRTWAAA9RIT.jpg</v>
      </c>
      <c r="J323" t="str">
        <f>HYPERLINK("http://pbs.twimg.com/media/Ff7kGqIXwAEkaUN.jpg", "http://pbs.twimg.com/media/Ff7kGqIXwAEkaUN.jpg")</f>
        <v>http://pbs.twimg.com/media/Ff7kGqIXwAEkaUN.jpg</v>
      </c>
      <c r="K323" t="str">
        <f>HYPERLINK("http://pbs.twimg.com/media/Ff7kG4ZXEBIkx9o.jpg", "http://pbs.twimg.com/media/Ff7kG4ZXEBIkx9o.jpg")</f>
        <v>http://pbs.twimg.com/media/Ff7kG4ZXEBIkx9o.jpg</v>
      </c>
      <c r="L323">
        <v>0.59940000000000004</v>
      </c>
      <c r="M323">
        <v>0</v>
      </c>
      <c r="N323">
        <v>0.91900000000000004</v>
      </c>
      <c r="O323">
        <v>8.1000000000000003E-2</v>
      </c>
    </row>
    <row r="324" spans="1:15" x14ac:dyDescent="0.2">
      <c r="A324" s="1" t="str">
        <f>HYPERLINK("http://www.twitter.com/banuakdenizli/status/1584941251731693568", "1584941251731693568")</f>
        <v>1584941251731693568</v>
      </c>
      <c r="B324" t="s">
        <v>15</v>
      </c>
      <c r="C324" s="2">
        <v>44859.676099537042</v>
      </c>
      <c r="D324">
        <v>10</v>
      </c>
      <c r="E324">
        <v>1</v>
      </c>
      <c r="G324" t="s">
        <v>395</v>
      </c>
      <c r="H324" t="str">
        <f>HYPERLINK("http://pbs.twimg.com/media/Ff7XqxFWQAEXp9k.jpg", "http://pbs.twimg.com/media/Ff7XqxFWQAEXp9k.jpg")</f>
        <v>http://pbs.twimg.com/media/Ff7XqxFWQAEXp9k.jpg</v>
      </c>
      <c r="L324">
        <v>0</v>
      </c>
      <c r="M324">
        <v>0</v>
      </c>
      <c r="N324">
        <v>1</v>
      </c>
      <c r="O324">
        <v>0</v>
      </c>
    </row>
    <row r="325" spans="1:15" x14ac:dyDescent="0.2">
      <c r="A325" s="1" t="str">
        <f>HYPERLINK("http://www.twitter.com/banuakdenizli/status/1584888078740881410", "1584888078740881410")</f>
        <v>1584888078740881410</v>
      </c>
      <c r="B325" t="s">
        <v>15</v>
      </c>
      <c r="C325" s="2">
        <v>44859.529374999998</v>
      </c>
      <c r="D325">
        <v>3</v>
      </c>
      <c r="E325">
        <v>0</v>
      </c>
      <c r="G325" t="s">
        <v>396</v>
      </c>
      <c r="H325" t="str">
        <f>HYPERLINK("http://pbs.twimg.com/media/Ff6nTYuXoAE8hYE.jpg", "http://pbs.twimg.com/media/Ff6nTYuXoAE8hYE.jpg")</f>
        <v>http://pbs.twimg.com/media/Ff6nTYuXoAE8hYE.jpg</v>
      </c>
      <c r="I325" t="str">
        <f>HYPERLINK("http://pbs.twimg.com/media/Ff6nTYuWAAImdGg.jpg", "http://pbs.twimg.com/media/Ff6nTYuWAAImdGg.jpg")</f>
        <v>http://pbs.twimg.com/media/Ff6nTYuWAAImdGg.jpg</v>
      </c>
      <c r="L325">
        <v>0</v>
      </c>
      <c r="M325">
        <v>0</v>
      </c>
      <c r="N325">
        <v>1</v>
      </c>
      <c r="O325">
        <v>0</v>
      </c>
    </row>
    <row r="326" spans="1:15" x14ac:dyDescent="0.2">
      <c r="A326" s="1" t="str">
        <f>HYPERLINK("http://www.twitter.com/banuakdenizli/status/1584815246195445760", "1584815246195445760")</f>
        <v>1584815246195445760</v>
      </c>
      <c r="B326" t="s">
        <v>15</v>
      </c>
      <c r="C326" s="2">
        <v>44859.3283912037</v>
      </c>
      <c r="D326">
        <v>11</v>
      </c>
      <c r="E326">
        <v>1</v>
      </c>
      <c r="G326" t="s">
        <v>397</v>
      </c>
      <c r="H326" t="str">
        <f>HYPERLINK("http://pbs.twimg.com/media/Ff5lEE1XgAEDC8k.jpg", "http://pbs.twimg.com/media/Ff5lEE1XgAEDC8k.jpg")</f>
        <v>http://pbs.twimg.com/media/Ff5lEE1XgAEDC8k.jpg</v>
      </c>
      <c r="I326" t="str">
        <f>HYPERLINK("http://pbs.twimg.com/media/Ff5lETbWQAAFOgY.jpg", "http://pbs.twimg.com/media/Ff5lETbWQAAFOgY.jpg")</f>
        <v>http://pbs.twimg.com/media/Ff5lETbWQAAFOgY.jpg</v>
      </c>
      <c r="L326">
        <v>0</v>
      </c>
      <c r="M326">
        <v>0</v>
      </c>
      <c r="N326">
        <v>1</v>
      </c>
      <c r="O326">
        <v>0</v>
      </c>
    </row>
    <row r="327" spans="1:15" x14ac:dyDescent="0.2">
      <c r="A327" s="1" t="str">
        <f>HYPERLINK("http://www.twitter.com/banuakdenizli/status/1584806895113887744", "1584806895113887744")</f>
        <v>1584806895113887744</v>
      </c>
      <c r="B327" t="s">
        <v>15</v>
      </c>
      <c r="C327" s="2">
        <v>44859.305347222216</v>
      </c>
      <c r="D327">
        <v>0</v>
      </c>
      <c r="E327">
        <v>31</v>
      </c>
      <c r="F327" t="s">
        <v>398</v>
      </c>
      <c r="G327" t="s">
        <v>399</v>
      </c>
      <c r="H327" t="str">
        <f>HYPERLINK("https://video.twimg.com/ext_tw_video/1584598523991015424/pu/vid/1280x720/jADLTz3b2aBBEgs-.mp4?tag=12", "https://video.twimg.com/ext_tw_video/1584598523991015424/pu/vid/1280x720/jADLTz3b2aBBEgs-.mp4?tag=12")</f>
        <v>https://video.twimg.com/ext_tw_video/1584598523991015424/pu/vid/1280x720/jADLTz3b2aBBEgs-.mp4?tag=12</v>
      </c>
      <c r="L327">
        <v>0</v>
      </c>
      <c r="M327">
        <v>0</v>
      </c>
      <c r="N327">
        <v>1</v>
      </c>
      <c r="O327">
        <v>0</v>
      </c>
    </row>
    <row r="328" spans="1:15" x14ac:dyDescent="0.2">
      <c r="A328" s="1" t="str">
        <f>HYPERLINK("http://www.twitter.com/banuakdenizli/status/1584622388414906368", "1584622388414906368")</f>
        <v>1584622388414906368</v>
      </c>
      <c r="B328" t="s">
        <v>15</v>
      </c>
      <c r="C328" s="2">
        <v>44858.796203703707</v>
      </c>
      <c r="D328">
        <v>7</v>
      </c>
      <c r="E328">
        <v>0</v>
      </c>
      <c r="G328" t="s">
        <v>400</v>
      </c>
      <c r="H328" t="str">
        <f>HYPERLINK("http://pbs.twimg.com/media/Ff21p8sWQAEUatW.jpg", "http://pbs.twimg.com/media/Ff21p8sWQAEUatW.jpg")</f>
        <v>http://pbs.twimg.com/media/Ff21p8sWQAEUatW.jpg</v>
      </c>
      <c r="I328" t="str">
        <f>HYPERLINK("http://pbs.twimg.com/media/Ff21qNeXoAE48gu.jpg", "http://pbs.twimg.com/media/Ff21qNeXoAE48gu.jpg")</f>
        <v>http://pbs.twimg.com/media/Ff21qNeXoAE48gu.jpg</v>
      </c>
      <c r="J328" t="str">
        <f>HYPERLINK("http://pbs.twimg.com/media/Ff21qfcWIAETHWV.jpg", "http://pbs.twimg.com/media/Ff21qfcWIAETHWV.jpg")</f>
        <v>http://pbs.twimg.com/media/Ff21qfcWIAETHWV.jpg</v>
      </c>
      <c r="L328">
        <v>0</v>
      </c>
      <c r="M328">
        <v>0</v>
      </c>
      <c r="N328">
        <v>1</v>
      </c>
      <c r="O328">
        <v>0</v>
      </c>
    </row>
    <row r="329" spans="1:15" x14ac:dyDescent="0.2">
      <c r="A329" s="1" t="str">
        <f>HYPERLINK("http://www.twitter.com/banuakdenizli/status/1584523449858686978", "1584523449858686978")</f>
        <v>1584523449858686978</v>
      </c>
      <c r="B329" t="s">
        <v>15</v>
      </c>
      <c r="C329" s="2">
        <v>44858.523194444453</v>
      </c>
      <c r="D329">
        <v>2</v>
      </c>
      <c r="E329">
        <v>1</v>
      </c>
      <c r="G329" t="s">
        <v>401</v>
      </c>
      <c r="H329" t="str">
        <f>HYPERLINK("http://pbs.twimg.com/media/Ff1bq_QWYAIVSAk.jpg", "http://pbs.twimg.com/media/Ff1bq_QWYAIVSAk.jpg")</f>
        <v>http://pbs.twimg.com/media/Ff1bq_QWYAIVSAk.jpg</v>
      </c>
      <c r="I329" t="str">
        <f>HYPERLINK("http://pbs.twimg.com/media/Ff1bq_RWIAAgG11.jpg", "http://pbs.twimg.com/media/Ff1bq_RWIAAgG11.jpg")</f>
        <v>http://pbs.twimg.com/media/Ff1bq_RWIAAgG11.jpg</v>
      </c>
      <c r="J329" t="str">
        <f>HYPERLINK("http://pbs.twimg.com/media/Ff1bq_TXkAE51dD.jpg", "http://pbs.twimg.com/media/Ff1bq_TXkAE51dD.jpg")</f>
        <v>http://pbs.twimg.com/media/Ff1bq_TXkAE51dD.jpg</v>
      </c>
      <c r="L329">
        <v>0</v>
      </c>
      <c r="M329">
        <v>0</v>
      </c>
      <c r="N329">
        <v>1</v>
      </c>
      <c r="O329">
        <v>0</v>
      </c>
    </row>
    <row r="330" spans="1:15" x14ac:dyDescent="0.2">
      <c r="A330" s="1" t="str">
        <f>HYPERLINK("http://www.twitter.com/banuakdenizli/status/1584521159705403392", "1584521159705403392")</f>
        <v>1584521159705403392</v>
      </c>
      <c r="B330" t="s">
        <v>15</v>
      </c>
      <c r="C330" s="2">
        <v>44858.516875000001</v>
      </c>
      <c r="D330">
        <v>2</v>
      </c>
      <c r="E330">
        <v>0</v>
      </c>
      <c r="G330" t="s">
        <v>402</v>
      </c>
      <c r="L330">
        <v>0</v>
      </c>
      <c r="M330">
        <v>0</v>
      </c>
      <c r="N330">
        <v>1</v>
      </c>
      <c r="O330">
        <v>0</v>
      </c>
    </row>
    <row r="331" spans="1:15" x14ac:dyDescent="0.2">
      <c r="A331" s="1" t="str">
        <f>HYPERLINK("http://www.twitter.com/banuakdenizli/status/1584518700400398339", "1584518700400398339")</f>
        <v>1584518700400398339</v>
      </c>
      <c r="B331" t="s">
        <v>15</v>
      </c>
      <c r="C331" s="2">
        <v>44858.510081018518</v>
      </c>
      <c r="D331">
        <v>1</v>
      </c>
      <c r="E331">
        <v>0</v>
      </c>
      <c r="G331" t="s">
        <v>403</v>
      </c>
      <c r="H331" t="str">
        <f>HYPERLINK("http://pbs.twimg.com/media/Ff1XWG_XwAIwUWV.jpg", "http://pbs.twimg.com/media/Ff1XWG_XwAIwUWV.jpg")</f>
        <v>http://pbs.twimg.com/media/Ff1XWG_XwAIwUWV.jpg</v>
      </c>
      <c r="I331" t="str">
        <f>HYPERLINK("http://pbs.twimg.com/media/Ff1XWHBXoAAej3a.jpg", "http://pbs.twimg.com/media/Ff1XWHBXoAAej3a.jpg")</f>
        <v>http://pbs.twimg.com/media/Ff1XWHBXoAAej3a.jpg</v>
      </c>
      <c r="J331" t="str">
        <f>HYPERLINK("http://pbs.twimg.com/media/Ff1XWHFXwAA8Sgc.jpg", "http://pbs.twimg.com/media/Ff1XWHFXwAA8Sgc.jpg")</f>
        <v>http://pbs.twimg.com/media/Ff1XWHFXwAA8Sgc.jpg</v>
      </c>
      <c r="L331">
        <v>0</v>
      </c>
      <c r="M331">
        <v>0</v>
      </c>
      <c r="N331">
        <v>1</v>
      </c>
      <c r="O331">
        <v>0</v>
      </c>
    </row>
    <row r="332" spans="1:15" x14ac:dyDescent="0.2">
      <c r="A332" s="1" t="str">
        <f>HYPERLINK("http://www.twitter.com/banuakdenizli/status/1584517049933451264", "1584517049933451264")</f>
        <v>1584517049933451264</v>
      </c>
      <c r="B332" t="s">
        <v>15</v>
      </c>
      <c r="C332" s="2">
        <v>44858.505532407413</v>
      </c>
      <c r="D332">
        <v>2</v>
      </c>
      <c r="E332">
        <v>0</v>
      </c>
      <c r="G332" t="s">
        <v>404</v>
      </c>
      <c r="H332" t="str">
        <f>HYPERLINK("http://pbs.twimg.com/media/Ff1V2RiXwAEH3Lf.jpg", "http://pbs.twimg.com/media/Ff1V2RiXwAEH3Lf.jpg")</f>
        <v>http://pbs.twimg.com/media/Ff1V2RiXwAEH3Lf.jpg</v>
      </c>
      <c r="I332" t="str">
        <f>HYPERLINK("http://pbs.twimg.com/media/Ff1V2RlXEAI8fLL.jpg", "http://pbs.twimg.com/media/Ff1V2RlXEAI8fLL.jpg")</f>
        <v>http://pbs.twimg.com/media/Ff1V2RlXEAI8fLL.jpg</v>
      </c>
      <c r="J332" t="str">
        <f>HYPERLINK("http://pbs.twimg.com/media/Ff1V2RiXwAA7jUz.jpg", "http://pbs.twimg.com/media/Ff1V2RiXwAA7jUz.jpg")</f>
        <v>http://pbs.twimg.com/media/Ff1V2RiXwAA7jUz.jpg</v>
      </c>
      <c r="L332">
        <v>0</v>
      </c>
      <c r="M332">
        <v>0</v>
      </c>
      <c r="N332">
        <v>1</v>
      </c>
      <c r="O332">
        <v>0</v>
      </c>
    </row>
    <row r="333" spans="1:15" x14ac:dyDescent="0.2">
      <c r="A333" s="1" t="str">
        <f>HYPERLINK("http://www.twitter.com/banuakdenizli/status/1584465093294972929", "1584465093294972929")</f>
        <v>1584465093294972929</v>
      </c>
      <c r="B333" t="s">
        <v>15</v>
      </c>
      <c r="C333" s="2">
        <v>44858.36215277778</v>
      </c>
      <c r="D333">
        <v>0</v>
      </c>
      <c r="E333">
        <v>0</v>
      </c>
      <c r="G333" t="s">
        <v>405</v>
      </c>
      <c r="L333">
        <v>0</v>
      </c>
      <c r="M333">
        <v>0</v>
      </c>
      <c r="N333">
        <v>1</v>
      </c>
      <c r="O333">
        <v>0</v>
      </c>
    </row>
    <row r="334" spans="1:15" x14ac:dyDescent="0.2">
      <c r="A334" s="1" t="str">
        <f>HYPERLINK("http://www.twitter.com/banuakdenizli/status/1584465088118857729", "1584465088118857729")</f>
        <v>1584465088118857729</v>
      </c>
      <c r="B334" t="s">
        <v>15</v>
      </c>
      <c r="C334" s="2">
        <v>44858.362141203703</v>
      </c>
      <c r="D334">
        <v>6</v>
      </c>
      <c r="E334">
        <v>4</v>
      </c>
      <c r="G334" t="s">
        <v>406</v>
      </c>
      <c r="L334">
        <v>0</v>
      </c>
      <c r="M334">
        <v>0</v>
      </c>
      <c r="N334">
        <v>1</v>
      </c>
      <c r="O334">
        <v>0</v>
      </c>
    </row>
    <row r="335" spans="1:15" x14ac:dyDescent="0.2">
      <c r="A335" s="1" t="str">
        <f>HYPERLINK("http://www.twitter.com/banuakdenizli/status/1584463308190801920", "1584463308190801920")</f>
        <v>1584463308190801920</v>
      </c>
      <c r="B335" t="s">
        <v>15</v>
      </c>
      <c r="C335" s="2">
        <v>44858.357233796298</v>
      </c>
      <c r="D335">
        <v>2</v>
      </c>
      <c r="E335">
        <v>0</v>
      </c>
      <c r="G335" t="s">
        <v>407</v>
      </c>
      <c r="H335" t="str">
        <f>HYPERLINK("http://pbs.twimg.com/media/Ff0ky0DWIAAqnAk.jpg", "http://pbs.twimg.com/media/Ff0ky0DWIAAqnAk.jpg")</f>
        <v>http://pbs.twimg.com/media/Ff0ky0DWIAAqnAk.jpg</v>
      </c>
      <c r="I335" t="str">
        <f>HYPERLINK("http://pbs.twimg.com/media/Ff0ky2AX0AEP570.jpg", "http://pbs.twimg.com/media/Ff0ky2AX0AEP570.jpg")</f>
        <v>http://pbs.twimg.com/media/Ff0ky2AX0AEP570.jpg</v>
      </c>
      <c r="J335" t="str">
        <f>HYPERLINK("http://pbs.twimg.com/media/Ff0ky5TWAAAZK-C.jpg", "http://pbs.twimg.com/media/Ff0ky5TWAAAZK-C.jpg")</f>
        <v>http://pbs.twimg.com/media/Ff0ky5TWAAAZK-C.jpg</v>
      </c>
      <c r="L335">
        <v>0</v>
      </c>
      <c r="M335">
        <v>0</v>
      </c>
      <c r="N335">
        <v>1</v>
      </c>
      <c r="O335">
        <v>0</v>
      </c>
    </row>
    <row r="336" spans="1:15" x14ac:dyDescent="0.2">
      <c r="A336" s="1" t="str">
        <f>HYPERLINK("http://www.twitter.com/banuakdenizli/status/1584462602507546624", "1584462602507546624")</f>
        <v>1584462602507546624</v>
      </c>
      <c r="B336" t="s">
        <v>15</v>
      </c>
      <c r="C336" s="2">
        <v>44858.35527777778</v>
      </c>
      <c r="D336">
        <v>4</v>
      </c>
      <c r="E336">
        <v>2</v>
      </c>
      <c r="G336" t="s">
        <v>408</v>
      </c>
      <c r="H336" t="str">
        <f>HYPERLINK("http://pbs.twimg.com/media/Ff0kUowWYAA47bO.jpg", "http://pbs.twimg.com/media/Ff0kUowWYAA47bO.jpg")</f>
        <v>http://pbs.twimg.com/media/Ff0kUowWYAA47bO.jpg</v>
      </c>
      <c r="I336" t="str">
        <f>HYPERLINK("http://pbs.twimg.com/media/Ff0kUrsXgAEnTQY.jpg", "http://pbs.twimg.com/media/Ff0kUrsXgAEnTQY.jpg")</f>
        <v>http://pbs.twimg.com/media/Ff0kUrsXgAEnTQY.jpg</v>
      </c>
      <c r="J336" t="str">
        <f>HYPERLINK("http://pbs.twimg.com/media/Ff0kUqIXoAAD_OW.jpg", "http://pbs.twimg.com/media/Ff0kUqIXoAAD_OW.jpg")</f>
        <v>http://pbs.twimg.com/media/Ff0kUqIXoAAD_OW.jpg</v>
      </c>
      <c r="L336">
        <v>0</v>
      </c>
      <c r="M336">
        <v>0</v>
      </c>
      <c r="N336">
        <v>1</v>
      </c>
      <c r="O336">
        <v>0</v>
      </c>
    </row>
    <row r="337" spans="1:15" x14ac:dyDescent="0.2">
      <c r="A337" s="1" t="str">
        <f>HYPERLINK("http://www.twitter.com/banuakdenizli/status/1584461703701401600", "1584461703701401600")</f>
        <v>1584461703701401600</v>
      </c>
      <c r="B337" t="s">
        <v>15</v>
      </c>
      <c r="C337" s="2">
        <v>44858.352800925917</v>
      </c>
      <c r="D337">
        <v>0</v>
      </c>
      <c r="E337">
        <v>1</v>
      </c>
      <c r="G337" t="s">
        <v>409</v>
      </c>
      <c r="H337" t="str">
        <f>HYPERLINK("http://pbs.twimg.com/media/Ff0jgjeX0AEgRcg.jpg", "http://pbs.twimg.com/media/Ff0jgjeX0AEgRcg.jpg")</f>
        <v>http://pbs.twimg.com/media/Ff0jgjeX0AEgRcg.jpg</v>
      </c>
      <c r="I337" t="str">
        <f>HYPERLINK("http://pbs.twimg.com/media/Ff0jgjZXkAE9wml.jpg", "http://pbs.twimg.com/media/Ff0jgjZXkAE9wml.jpg")</f>
        <v>http://pbs.twimg.com/media/Ff0jgjZXkAE9wml.jpg</v>
      </c>
      <c r="J337" t="str">
        <f>HYPERLINK("http://pbs.twimg.com/media/Ff0jglOWQAAvPtC.jpg", "http://pbs.twimg.com/media/Ff0jglOWQAAvPtC.jpg")</f>
        <v>http://pbs.twimg.com/media/Ff0jglOWQAAvPtC.jpg</v>
      </c>
      <c r="L337">
        <v>0.25</v>
      </c>
      <c r="M337">
        <v>0</v>
      </c>
      <c r="N337">
        <v>0.95</v>
      </c>
      <c r="O337">
        <v>0.05</v>
      </c>
    </row>
    <row r="338" spans="1:15" x14ac:dyDescent="0.2">
      <c r="A338" s="1" t="str">
        <f>HYPERLINK("http://www.twitter.com/banuakdenizli/status/1584451286447325189", "1584451286447325189")</f>
        <v>1584451286447325189</v>
      </c>
      <c r="B338" t="s">
        <v>15</v>
      </c>
      <c r="C338" s="2">
        <v>44858.324062500003</v>
      </c>
      <c r="D338">
        <v>0</v>
      </c>
      <c r="E338">
        <v>753</v>
      </c>
      <c r="F338" t="s">
        <v>19</v>
      </c>
      <c r="G338" t="s">
        <v>410</v>
      </c>
      <c r="H338" t="str">
        <f>HYPERLINK("http://pbs.twimg.com/media/Ffy-MKuWQAA07F_.jpg", "http://pbs.twimg.com/media/Ffy-MKuWQAA07F_.jpg")</f>
        <v>http://pbs.twimg.com/media/Ffy-MKuWQAA07F_.jpg</v>
      </c>
      <c r="L338">
        <v>0.68079999999999996</v>
      </c>
      <c r="M338">
        <v>0</v>
      </c>
      <c r="N338">
        <v>0.74099999999999999</v>
      </c>
      <c r="O338">
        <v>0.25900000000000001</v>
      </c>
    </row>
    <row r="339" spans="1:15" x14ac:dyDescent="0.2">
      <c r="A339" s="1" t="str">
        <f>HYPERLINK("http://www.twitter.com/banuakdenizli/status/1583566642831052801", "1583566642831052801")</f>
        <v>1583566642831052801</v>
      </c>
      <c r="B339" t="s">
        <v>15</v>
      </c>
      <c r="C339" s="2">
        <v>44855.882905092592</v>
      </c>
      <c r="D339">
        <v>0</v>
      </c>
      <c r="E339">
        <v>20</v>
      </c>
      <c r="F339" t="s">
        <v>18</v>
      </c>
      <c r="G339" t="s">
        <v>411</v>
      </c>
      <c r="H339" t="str">
        <f>HYPERLINK("http://pbs.twimg.com/media/FfmC40PXEAEuMSN.jpg", "http://pbs.twimg.com/media/FfmC40PXEAEuMSN.jpg")</f>
        <v>http://pbs.twimg.com/media/FfmC40PXEAEuMSN.jpg</v>
      </c>
      <c r="L339">
        <v>0</v>
      </c>
      <c r="M339">
        <v>0</v>
      </c>
      <c r="N339">
        <v>1</v>
      </c>
      <c r="O339">
        <v>0</v>
      </c>
    </row>
    <row r="340" spans="1:15" x14ac:dyDescent="0.2">
      <c r="A340" s="1" t="str">
        <f>HYPERLINK("http://www.twitter.com/banuakdenizli/status/1583343487096786944", "1583343487096786944")</f>
        <v>1583343487096786944</v>
      </c>
      <c r="B340" t="s">
        <v>15</v>
      </c>
      <c r="C340" s="2">
        <v>44855.267118055563</v>
      </c>
      <c r="D340">
        <v>0</v>
      </c>
      <c r="E340">
        <v>10</v>
      </c>
      <c r="F340" t="s">
        <v>412</v>
      </c>
      <c r="G340" t="s">
        <v>413</v>
      </c>
      <c r="H340" t="str">
        <f>HYPERLINK("http://pbs.twimg.com/media/FffNQFiXoAEqeP8.jpg", "http://pbs.twimg.com/media/FffNQFiXoAEqeP8.jpg")</f>
        <v>http://pbs.twimg.com/media/FffNQFiXoAEqeP8.jpg</v>
      </c>
      <c r="L340">
        <v>0</v>
      </c>
      <c r="M340">
        <v>0</v>
      </c>
      <c r="N340">
        <v>1</v>
      </c>
      <c r="O340">
        <v>0</v>
      </c>
    </row>
    <row r="341" spans="1:15" x14ac:dyDescent="0.2">
      <c r="A341" s="1" t="str">
        <f>HYPERLINK("http://www.twitter.com/banuakdenizli/status/1583152475120361472", "1583152475120361472")</f>
        <v>1583152475120361472</v>
      </c>
      <c r="B341" t="s">
        <v>15</v>
      </c>
      <c r="C341" s="2">
        <v>44854.740023148152</v>
      </c>
      <c r="D341">
        <v>3</v>
      </c>
      <c r="E341">
        <v>1</v>
      </c>
      <c r="G341" t="s">
        <v>414</v>
      </c>
      <c r="H341" t="str">
        <f>HYPERLINK("http://pbs.twimg.com/media/Ffh8xV2XEAYdatq.jpg", "http://pbs.twimg.com/media/Ffh8xV2XEAYdatq.jpg")</f>
        <v>http://pbs.twimg.com/media/Ffh8xV2XEAYdatq.jpg</v>
      </c>
      <c r="I341" t="str">
        <f>HYPERLINK("http://pbs.twimg.com/media/Ffh8xV9WAAAjWel.jpg", "http://pbs.twimg.com/media/Ffh8xV9WAAAjWel.jpg")</f>
        <v>http://pbs.twimg.com/media/Ffh8xV9WAAAjWel.jpg</v>
      </c>
      <c r="J341" t="str">
        <f>HYPERLINK("http://pbs.twimg.com/media/Ffh8xV2XwAgqnJ3.jpg", "http://pbs.twimg.com/media/Ffh8xV2XwAgqnJ3.jpg")</f>
        <v>http://pbs.twimg.com/media/Ffh8xV2XwAgqnJ3.jpg</v>
      </c>
      <c r="L341">
        <v>0</v>
      </c>
      <c r="M341">
        <v>0</v>
      </c>
      <c r="N341">
        <v>1</v>
      </c>
      <c r="O341">
        <v>0</v>
      </c>
    </row>
    <row r="342" spans="1:15" x14ac:dyDescent="0.2">
      <c r="A342" s="1" t="str">
        <f>HYPERLINK("http://www.twitter.com/banuakdenizli/status/1583117193948327941", "1583117193948327941")</f>
        <v>1583117193948327941</v>
      </c>
      <c r="B342" t="s">
        <v>15</v>
      </c>
      <c r="C342" s="2">
        <v>44854.64266203704</v>
      </c>
      <c r="D342">
        <v>0</v>
      </c>
      <c r="E342">
        <v>68</v>
      </c>
      <c r="F342" t="s">
        <v>415</v>
      </c>
      <c r="G342" t="s">
        <v>416</v>
      </c>
      <c r="H342" t="str">
        <f>HYPERLINK("https://video.twimg.com/ext_tw_video/1581969091614621696/pu/vid/1280x676/w1Ghg8mPl_pfT3aJ.mp4?tag=12", "https://video.twimg.com/ext_tw_video/1581969091614621696/pu/vid/1280x676/w1Ghg8mPl_pfT3aJ.mp4?tag=12")</f>
        <v>https://video.twimg.com/ext_tw_video/1581969091614621696/pu/vid/1280x676/w1Ghg8mPl_pfT3aJ.mp4?tag=12</v>
      </c>
      <c r="L342">
        <v>0</v>
      </c>
      <c r="M342">
        <v>0</v>
      </c>
      <c r="N342">
        <v>1</v>
      </c>
      <c r="O342">
        <v>0</v>
      </c>
    </row>
    <row r="343" spans="1:15" x14ac:dyDescent="0.2">
      <c r="A343" s="1" t="str">
        <f>HYPERLINK("http://www.twitter.com/banuakdenizli/status/1583116969774940160", "1583116969774940160")</f>
        <v>1583116969774940160</v>
      </c>
      <c r="B343" t="s">
        <v>15</v>
      </c>
      <c r="C343" s="2">
        <v>44854.642048611109</v>
      </c>
      <c r="D343">
        <v>0</v>
      </c>
      <c r="E343">
        <v>3</v>
      </c>
      <c r="F343" t="s">
        <v>417</v>
      </c>
      <c r="G343" t="s">
        <v>418</v>
      </c>
      <c r="L343">
        <v>0</v>
      </c>
      <c r="M343">
        <v>0</v>
      </c>
      <c r="N343">
        <v>1</v>
      </c>
      <c r="O343">
        <v>0</v>
      </c>
    </row>
    <row r="344" spans="1:15" x14ac:dyDescent="0.2">
      <c r="A344" s="1" t="str">
        <f>HYPERLINK("http://www.twitter.com/banuakdenizli/status/1583111554287173632", "1583111554287173632")</f>
        <v>1583111554287173632</v>
      </c>
      <c r="B344" t="s">
        <v>15</v>
      </c>
      <c r="C344" s="2">
        <v>44854.62709490741</v>
      </c>
      <c r="D344">
        <v>0</v>
      </c>
      <c r="E344">
        <v>18</v>
      </c>
      <c r="F344" t="s">
        <v>419</v>
      </c>
      <c r="G344" t="s">
        <v>420</v>
      </c>
      <c r="H344" t="str">
        <f>HYPERLINK("https://video.twimg.com/amplify_video/1582781948249837587/vid/1280x720/WJl38ByuCNCOqtWU.mp4?tag=14", "https://video.twimg.com/amplify_video/1582781948249837587/vid/1280x720/WJl38ByuCNCOqtWU.mp4?tag=14")</f>
        <v>https://video.twimg.com/amplify_video/1582781948249837587/vid/1280x720/WJl38ByuCNCOqtWU.mp4?tag=14</v>
      </c>
      <c r="L344">
        <v>0.9325</v>
      </c>
      <c r="M344">
        <v>0</v>
      </c>
      <c r="N344">
        <v>0.66700000000000004</v>
      </c>
      <c r="O344">
        <v>0.33300000000000002</v>
      </c>
    </row>
    <row r="345" spans="1:15" x14ac:dyDescent="0.2">
      <c r="A345" s="1" t="str">
        <f>HYPERLINK("http://www.twitter.com/banuakdenizli/status/1583099820314857475", "1583099820314857475")</f>
        <v>1583099820314857475</v>
      </c>
      <c r="B345" t="s">
        <v>15</v>
      </c>
      <c r="C345" s="2">
        <v>44854.594722222217</v>
      </c>
      <c r="D345">
        <v>0</v>
      </c>
      <c r="E345">
        <v>358</v>
      </c>
      <c r="F345" t="s">
        <v>421</v>
      </c>
      <c r="G345" t="s">
        <v>422</v>
      </c>
      <c r="H345" t="str">
        <f>HYPERLINK("http://pbs.twimg.com/media/FfgZBQEWIAAaVWB.jpg", "http://pbs.twimg.com/media/FfgZBQEWIAAaVWB.jpg")</f>
        <v>http://pbs.twimg.com/media/FfgZBQEWIAAaVWB.jpg</v>
      </c>
      <c r="L345">
        <v>0.88800000000000001</v>
      </c>
      <c r="M345">
        <v>0.04</v>
      </c>
      <c r="N345">
        <v>0.747</v>
      </c>
      <c r="O345">
        <v>0.21299999999999999</v>
      </c>
    </row>
    <row r="346" spans="1:15" x14ac:dyDescent="0.2">
      <c r="A346" s="1" t="str">
        <f>HYPERLINK("http://www.twitter.com/banuakdenizli/status/1583060894841393153", "1583060894841393153")</f>
        <v>1583060894841393153</v>
      </c>
      <c r="B346" t="s">
        <v>15</v>
      </c>
      <c r="C346" s="2">
        <v>44854.487303240741</v>
      </c>
      <c r="D346">
        <v>5</v>
      </c>
      <c r="E346">
        <v>3</v>
      </c>
      <c r="G346" t="s">
        <v>423</v>
      </c>
      <c r="H346" t="str">
        <f>HYPERLINK("http://pbs.twimg.com/media/FfgpdVYWYAEKdfs.jpg", "http://pbs.twimg.com/media/FfgpdVYWYAEKdfs.jpg")</f>
        <v>http://pbs.twimg.com/media/FfgpdVYWYAEKdfs.jpg</v>
      </c>
      <c r="I346" t="str">
        <f>HYPERLINK("http://pbs.twimg.com/media/FfgpeN4XoAENrbc.jpg", "http://pbs.twimg.com/media/FfgpeN4XoAENrbc.jpg")</f>
        <v>http://pbs.twimg.com/media/FfgpeN4XoAENrbc.jpg</v>
      </c>
      <c r="J346" t="str">
        <f>HYPERLINK("http://pbs.twimg.com/media/FfgpfFEWQAEZDtC.jpg", "http://pbs.twimg.com/media/FfgpfFEWQAEZDtC.jpg")</f>
        <v>http://pbs.twimg.com/media/FfgpfFEWQAEZDtC.jpg</v>
      </c>
      <c r="L346">
        <v>0</v>
      </c>
      <c r="M346">
        <v>0</v>
      </c>
      <c r="N346">
        <v>1</v>
      </c>
      <c r="O346">
        <v>0</v>
      </c>
    </row>
    <row r="347" spans="1:15" x14ac:dyDescent="0.2">
      <c r="A347" s="1" t="str">
        <f>HYPERLINK("http://www.twitter.com/banuakdenizli/status/1583041270380781568", "1583041270380781568")</f>
        <v>1583041270380781568</v>
      </c>
      <c r="B347" t="s">
        <v>15</v>
      </c>
      <c r="C347" s="2">
        <v>44854.433159722219</v>
      </c>
      <c r="D347">
        <v>0</v>
      </c>
      <c r="E347">
        <v>66</v>
      </c>
      <c r="F347" t="s">
        <v>415</v>
      </c>
      <c r="G347" t="s">
        <v>424</v>
      </c>
      <c r="H347" t="str">
        <f>HYPERLINK("https://video.twimg.com/ext_tw_video/1581950285152387073/pu/vid/1280x676/XbdUPLKxBkcj7UbG.mp4?tag=12", "https://video.twimg.com/ext_tw_video/1581950285152387073/pu/vid/1280x676/XbdUPLKxBkcj7UbG.mp4?tag=12")</f>
        <v>https://video.twimg.com/ext_tw_video/1581950285152387073/pu/vid/1280x676/XbdUPLKxBkcj7UbG.mp4?tag=12</v>
      </c>
      <c r="L347">
        <v>0</v>
      </c>
      <c r="M347">
        <v>0</v>
      </c>
      <c r="N347">
        <v>1</v>
      </c>
      <c r="O347">
        <v>0</v>
      </c>
    </row>
    <row r="348" spans="1:15" x14ac:dyDescent="0.2">
      <c r="A348" s="1" t="str">
        <f>HYPERLINK("http://www.twitter.com/banuakdenizli/status/1582559950550990849", "1582559950550990849")</f>
        <v>1582559950550990849</v>
      </c>
      <c r="B348" t="s">
        <v>15</v>
      </c>
      <c r="C348" s="2">
        <v>44853.10496527778</v>
      </c>
      <c r="D348">
        <v>0</v>
      </c>
      <c r="E348">
        <v>123</v>
      </c>
      <c r="F348" t="s">
        <v>425</v>
      </c>
      <c r="G348" t="s">
        <v>426</v>
      </c>
      <c r="H348" t="str">
        <f>HYPERLINK("http://pbs.twimg.com/media/FfBigx4XkAAVhSB.jpg", "http://pbs.twimg.com/media/FfBigx4XkAAVhSB.jpg")</f>
        <v>http://pbs.twimg.com/media/FfBigx4XkAAVhSB.jpg</v>
      </c>
      <c r="L348">
        <v>-0.26950000000000002</v>
      </c>
      <c r="M348">
        <v>5.2999999999999999E-2</v>
      </c>
      <c r="N348">
        <v>0.94699999999999995</v>
      </c>
      <c r="O348">
        <v>0</v>
      </c>
    </row>
    <row r="349" spans="1:15" x14ac:dyDescent="0.2">
      <c r="A349" s="1" t="str">
        <f>HYPERLINK("http://www.twitter.com/banuakdenizli/status/1582427751838937088", "1582427751838937088")</f>
        <v>1582427751838937088</v>
      </c>
      <c r="B349" t="s">
        <v>15</v>
      </c>
      <c r="C349" s="2">
        <v>44852.740162037036</v>
      </c>
      <c r="D349">
        <v>0</v>
      </c>
      <c r="E349">
        <v>34</v>
      </c>
      <c r="F349" t="s">
        <v>19</v>
      </c>
      <c r="G349" t="s">
        <v>427</v>
      </c>
      <c r="H349" t="str">
        <f>HYPERLINK("http://pbs.twimg.com/media/FfV_07MXoAAZD3E.jpg", "http://pbs.twimg.com/media/FfV_07MXoAAZD3E.jpg")</f>
        <v>http://pbs.twimg.com/media/FfV_07MXoAAZD3E.jpg</v>
      </c>
      <c r="L349">
        <v>0.95950000000000002</v>
      </c>
      <c r="M349">
        <v>0</v>
      </c>
      <c r="N349">
        <v>0.65800000000000003</v>
      </c>
      <c r="O349">
        <v>0.34200000000000003</v>
      </c>
    </row>
    <row r="350" spans="1:15" x14ac:dyDescent="0.2">
      <c r="A350" s="1" t="str">
        <f>HYPERLINK("http://www.twitter.com/banuakdenizli/status/1582403414893285376", "1582403414893285376")</f>
        <v>1582403414893285376</v>
      </c>
      <c r="B350" t="s">
        <v>15</v>
      </c>
      <c r="C350" s="2">
        <v>44852.673009259262</v>
      </c>
      <c r="D350">
        <v>0</v>
      </c>
      <c r="E350">
        <v>122</v>
      </c>
      <c r="F350" t="s">
        <v>428</v>
      </c>
      <c r="G350" t="s">
        <v>429</v>
      </c>
      <c r="H350" t="str">
        <f>HYPERLINK("http://pbs.twimg.com/media/FfXCMC7XkAI6AY0.jpg", "http://pbs.twimg.com/media/FfXCMC7XkAI6AY0.jpg")</f>
        <v>http://pbs.twimg.com/media/FfXCMC7XkAI6AY0.jpg</v>
      </c>
      <c r="L350">
        <v>0.78449999999999998</v>
      </c>
      <c r="M350">
        <v>0</v>
      </c>
      <c r="N350">
        <v>0.85599999999999998</v>
      </c>
      <c r="O350">
        <v>0.14399999999999999</v>
      </c>
    </row>
    <row r="351" spans="1:15" x14ac:dyDescent="0.2">
      <c r="A351" s="1" t="str">
        <f>HYPERLINK("http://www.twitter.com/banuakdenizli/status/1582348770720686080", "1582348770720686080")</f>
        <v>1582348770720686080</v>
      </c>
      <c r="B351" t="s">
        <v>15</v>
      </c>
      <c r="C351" s="2">
        <v>44852.522222222222</v>
      </c>
      <c r="D351">
        <v>0</v>
      </c>
      <c r="E351">
        <v>1</v>
      </c>
      <c r="F351" t="s">
        <v>430</v>
      </c>
      <c r="G351" t="s">
        <v>431</v>
      </c>
      <c r="H351" t="str">
        <f>HYPERLINK("http://pbs.twimg.com/media/FfWge9bXwAIpTX1.jpg", "http://pbs.twimg.com/media/FfWge9bXwAIpTX1.jpg")</f>
        <v>http://pbs.twimg.com/media/FfWge9bXwAIpTX1.jpg</v>
      </c>
      <c r="I351" t="str">
        <f>HYPERLINK("http://pbs.twimg.com/media/FfWgjZbX0AIClsq.jpg", "http://pbs.twimg.com/media/FfWgjZbX0AIClsq.jpg")</f>
        <v>http://pbs.twimg.com/media/FfWgjZbX0AIClsq.jpg</v>
      </c>
      <c r="J351" t="str">
        <f>HYPERLINK("http://pbs.twimg.com/media/FfWgkIeWQAAb8fK.jpg", "http://pbs.twimg.com/media/FfWgkIeWQAAb8fK.jpg")</f>
        <v>http://pbs.twimg.com/media/FfWgkIeWQAAb8fK.jpg</v>
      </c>
      <c r="K351" t="str">
        <f>HYPERLINK("http://pbs.twimg.com/media/FfWgk-LXkAYkwaZ.jpg", "http://pbs.twimg.com/media/FfWgk-LXkAYkwaZ.jpg")</f>
        <v>http://pbs.twimg.com/media/FfWgk-LXkAYkwaZ.jpg</v>
      </c>
      <c r="L351">
        <v>0</v>
      </c>
      <c r="M351">
        <v>0</v>
      </c>
      <c r="N351">
        <v>1</v>
      </c>
      <c r="O351">
        <v>0</v>
      </c>
    </row>
    <row r="352" spans="1:15" x14ac:dyDescent="0.2">
      <c r="A352" s="1" t="str">
        <f>HYPERLINK("http://www.twitter.com/banuakdenizli/status/1582332375669026816", "1582332375669026816")</f>
        <v>1582332375669026816</v>
      </c>
      <c r="B352" t="s">
        <v>15</v>
      </c>
      <c r="C352" s="2">
        <v>44852.476979166669</v>
      </c>
      <c r="D352">
        <v>0</v>
      </c>
      <c r="E352">
        <v>10</v>
      </c>
      <c r="F352" t="s">
        <v>25</v>
      </c>
      <c r="G352" t="s">
        <v>432</v>
      </c>
      <c r="H352" t="str">
        <f>HYPERLINK("http://pbs.twimg.com/media/FfWQ2tcXgAANc0z.jpg", "http://pbs.twimg.com/media/FfWQ2tcXgAANc0z.jpg")</f>
        <v>http://pbs.twimg.com/media/FfWQ2tcXgAANc0z.jpg</v>
      </c>
      <c r="L352">
        <v>0</v>
      </c>
      <c r="M352">
        <v>0</v>
      </c>
      <c r="N352">
        <v>1</v>
      </c>
      <c r="O352">
        <v>0</v>
      </c>
    </row>
    <row r="353" spans="1:15" x14ac:dyDescent="0.2">
      <c r="A353" s="1" t="str">
        <f>HYPERLINK("http://www.twitter.com/banuakdenizli/status/1582312503400226817", "1582312503400226817")</f>
        <v>1582312503400226817</v>
      </c>
      <c r="B353" t="s">
        <v>15</v>
      </c>
      <c r="C353" s="2">
        <v>44852.4221412037</v>
      </c>
      <c r="D353">
        <v>0</v>
      </c>
      <c r="E353">
        <v>2</v>
      </c>
      <c r="F353" t="s">
        <v>433</v>
      </c>
      <c r="G353" t="s">
        <v>434</v>
      </c>
      <c r="L353">
        <v>0</v>
      </c>
      <c r="M353">
        <v>0</v>
      </c>
      <c r="N353">
        <v>1</v>
      </c>
      <c r="O353">
        <v>0</v>
      </c>
    </row>
    <row r="354" spans="1:15" x14ac:dyDescent="0.2">
      <c r="A354" s="1" t="str">
        <f>HYPERLINK("http://www.twitter.com/banuakdenizli/status/1582305660452352002", "1582305660452352002")</f>
        <v>1582305660452352002</v>
      </c>
      <c r="B354" t="s">
        <v>15</v>
      </c>
      <c r="C354" s="2">
        <v>44852.403252314813</v>
      </c>
      <c r="D354">
        <v>6</v>
      </c>
      <c r="E354">
        <v>1</v>
      </c>
      <c r="G354" t="s">
        <v>435</v>
      </c>
      <c r="H354" t="str">
        <f>HYPERLINK("http://pbs.twimg.com/media/FfV6m55WAAAX_rs.jpg", "http://pbs.twimg.com/media/FfV6m55WAAAX_rs.jpg")</f>
        <v>http://pbs.twimg.com/media/FfV6m55WAAAX_rs.jpg</v>
      </c>
      <c r="L354">
        <v>0</v>
      </c>
      <c r="M354">
        <v>0</v>
      </c>
      <c r="N354">
        <v>1</v>
      </c>
      <c r="O354">
        <v>0</v>
      </c>
    </row>
    <row r="355" spans="1:15" x14ac:dyDescent="0.2">
      <c r="A355" s="1" t="str">
        <f>HYPERLINK("http://www.twitter.com/banuakdenizli/status/1582280867627483141", "1582280867627483141")</f>
        <v>1582280867627483141</v>
      </c>
      <c r="B355" t="s">
        <v>15</v>
      </c>
      <c r="C355" s="2">
        <v>44852.334837962961</v>
      </c>
      <c r="D355">
        <v>4</v>
      </c>
      <c r="E355">
        <v>2</v>
      </c>
      <c r="G355" t="s">
        <v>436</v>
      </c>
      <c r="H355" t="str">
        <f>HYPERLINK("http://pbs.twimg.com/media/FfViDT7XoAEDSUE.jpg", "http://pbs.twimg.com/media/FfViDT7XoAEDSUE.jpg")</f>
        <v>http://pbs.twimg.com/media/FfViDT7XoAEDSUE.jpg</v>
      </c>
      <c r="L355">
        <v>0</v>
      </c>
      <c r="M355">
        <v>0</v>
      </c>
      <c r="N355">
        <v>1</v>
      </c>
      <c r="O355">
        <v>0</v>
      </c>
    </row>
    <row r="356" spans="1:15" x14ac:dyDescent="0.2">
      <c r="A356" s="1" t="str">
        <f>HYPERLINK("http://www.twitter.com/banuakdenizli/status/1582270885821808640", "1582270885821808640")</f>
        <v>1582270885821808640</v>
      </c>
      <c r="B356" t="s">
        <v>15</v>
      </c>
      <c r="C356" s="2">
        <v>44852.307303240741</v>
      </c>
      <c r="D356">
        <v>13</v>
      </c>
      <c r="E356">
        <v>1</v>
      </c>
      <c r="G356" t="s">
        <v>437</v>
      </c>
      <c r="H356" t="str">
        <f>HYPERLINK("http://pbs.twimg.com/media/FfVapdHXwAEdsrx.jpg", "http://pbs.twimg.com/media/FfVapdHXwAEdsrx.jpg")</f>
        <v>http://pbs.twimg.com/media/FfVapdHXwAEdsrx.jpg</v>
      </c>
      <c r="L356">
        <v>0</v>
      </c>
      <c r="M356">
        <v>0</v>
      </c>
      <c r="N356">
        <v>1</v>
      </c>
      <c r="O356">
        <v>0</v>
      </c>
    </row>
    <row r="357" spans="1:15" x14ac:dyDescent="0.2">
      <c r="A357" s="1" t="str">
        <f>HYPERLINK("http://www.twitter.com/banuakdenizli/status/1582270140153896960", "1582270140153896960")</f>
        <v>1582270140153896960</v>
      </c>
      <c r="B357" t="s">
        <v>15</v>
      </c>
      <c r="C357" s="2">
        <v>44852.305243055547</v>
      </c>
      <c r="D357">
        <v>8</v>
      </c>
      <c r="E357">
        <v>0</v>
      </c>
      <c r="G357" t="s">
        <v>438</v>
      </c>
      <c r="H357" t="str">
        <f>HYPERLINK("http://pbs.twimg.com/media/FfVaTI0WAAENZqh.jpg", "http://pbs.twimg.com/media/FfVaTI0WAAENZqh.jpg")</f>
        <v>http://pbs.twimg.com/media/FfVaTI0WAAENZqh.jpg</v>
      </c>
      <c r="L357">
        <v>0.88049999999999995</v>
      </c>
      <c r="M357">
        <v>0</v>
      </c>
      <c r="N357">
        <v>0.76400000000000001</v>
      </c>
      <c r="O357">
        <v>0.23599999999999999</v>
      </c>
    </row>
    <row r="358" spans="1:15" x14ac:dyDescent="0.2">
      <c r="A358" s="1" t="str">
        <f>HYPERLINK("http://www.twitter.com/banuakdenizli/status/1582269706555170816", "1582269706555170816")</f>
        <v>1582269706555170816</v>
      </c>
      <c r="B358" t="s">
        <v>15</v>
      </c>
      <c r="C358" s="2">
        <v>44852.304039351853</v>
      </c>
      <c r="D358">
        <v>6</v>
      </c>
      <c r="E358">
        <v>0</v>
      </c>
      <c r="G358" t="s">
        <v>439</v>
      </c>
      <c r="H358" t="str">
        <f>HYPERLINK("http://pbs.twimg.com/media/FfVZ5zdX0AAdD47.jpg", "http://pbs.twimg.com/media/FfVZ5zdX0AAdD47.jpg")</f>
        <v>http://pbs.twimg.com/media/FfVZ5zdX0AAdD47.jpg</v>
      </c>
      <c r="L358">
        <v>0.58589999999999998</v>
      </c>
      <c r="M358">
        <v>0</v>
      </c>
      <c r="N358">
        <v>0.89400000000000002</v>
      </c>
      <c r="O358">
        <v>0.106</v>
      </c>
    </row>
    <row r="359" spans="1:15" x14ac:dyDescent="0.2">
      <c r="A359" s="1" t="str">
        <f>HYPERLINK("http://www.twitter.com/banuakdenizli/status/1582265890392788992", "1582265890392788992")</f>
        <v>1582265890392788992</v>
      </c>
      <c r="B359" t="s">
        <v>15</v>
      </c>
      <c r="C359" s="2">
        <v>44852.29351851852</v>
      </c>
      <c r="D359">
        <v>0</v>
      </c>
      <c r="E359">
        <v>808</v>
      </c>
      <c r="F359" t="s">
        <v>440</v>
      </c>
      <c r="G359" t="s">
        <v>441</v>
      </c>
      <c r="H359" t="str">
        <f>HYPERLINK("https://video.twimg.com/amplify_video/1582122339512238097/vid/1280x720/JEG3o4l-0MpUaaUk.mp4?tag=14", "https://video.twimg.com/amplify_video/1582122339512238097/vid/1280x720/JEG3o4l-0MpUaaUk.mp4?tag=14")</f>
        <v>https://video.twimg.com/amplify_video/1582122339512238097/vid/1280x720/JEG3o4l-0MpUaaUk.mp4?tag=14</v>
      </c>
      <c r="L359">
        <v>0</v>
      </c>
      <c r="M359">
        <v>0</v>
      </c>
      <c r="N359">
        <v>1</v>
      </c>
      <c r="O359">
        <v>0</v>
      </c>
    </row>
    <row r="360" spans="1:15" x14ac:dyDescent="0.2">
      <c r="A360" s="1" t="str">
        <f>HYPERLINK("http://www.twitter.com/banuakdenizli/status/1582265865944240129", "1582265865944240129")</f>
        <v>1582265865944240129</v>
      </c>
      <c r="B360" t="s">
        <v>15</v>
      </c>
      <c r="C360" s="2">
        <v>44852.293449074074</v>
      </c>
      <c r="D360">
        <v>0</v>
      </c>
      <c r="E360">
        <v>239</v>
      </c>
      <c r="F360" t="s">
        <v>322</v>
      </c>
      <c r="G360" t="s">
        <v>442</v>
      </c>
      <c r="H360" t="str">
        <f>HYPERLINK("https://video.twimg.com/amplify_video/1582037854993383425/vid/1280x720/ESXr6GjXUM83n7k6.mp4?tag=14", "https://video.twimg.com/amplify_video/1582037854993383425/vid/1280x720/ESXr6GjXUM83n7k6.mp4?tag=14")</f>
        <v>https://video.twimg.com/amplify_video/1582037854993383425/vid/1280x720/ESXr6GjXUM83n7k6.mp4?tag=14</v>
      </c>
      <c r="L360">
        <v>0</v>
      </c>
      <c r="M360">
        <v>0</v>
      </c>
      <c r="N360">
        <v>1</v>
      </c>
      <c r="O360">
        <v>0</v>
      </c>
    </row>
    <row r="361" spans="1:15" x14ac:dyDescent="0.2">
      <c r="A361" s="1" t="str">
        <f>HYPERLINK("http://www.twitter.com/banuakdenizli/status/1582103199368237057", "1582103199368237057")</f>
        <v>1582103199368237057</v>
      </c>
      <c r="B361" t="s">
        <v>15</v>
      </c>
      <c r="C361" s="2">
        <v>44851.844571759262</v>
      </c>
      <c r="D361">
        <v>0</v>
      </c>
      <c r="E361">
        <v>69049</v>
      </c>
      <c r="F361" t="s">
        <v>443</v>
      </c>
      <c r="G361" t="s">
        <v>444</v>
      </c>
      <c r="H361" t="str">
        <f>HYPERLINK("http://pbs.twimg.com/media/FfS7TPLWAB0MZjL.jpg", "http://pbs.twimg.com/media/FfS7TPLWAB0MZjL.jpg")</f>
        <v>http://pbs.twimg.com/media/FfS7TPLWAB0MZjL.jpg</v>
      </c>
      <c r="L361">
        <v>0</v>
      </c>
      <c r="M361">
        <v>0</v>
      </c>
      <c r="N361">
        <v>1</v>
      </c>
      <c r="O361">
        <v>0</v>
      </c>
    </row>
    <row r="362" spans="1:15" x14ac:dyDescent="0.2">
      <c r="A362" s="1" t="str">
        <f>HYPERLINK("http://www.twitter.com/banuakdenizli/status/1582102902868709377", "1582102902868709377")</f>
        <v>1582102902868709377</v>
      </c>
      <c r="B362" t="s">
        <v>15</v>
      </c>
      <c r="C362" s="2">
        <v>44851.84375</v>
      </c>
      <c r="D362">
        <v>0</v>
      </c>
      <c r="E362">
        <v>5867</v>
      </c>
      <c r="F362" t="s">
        <v>17</v>
      </c>
      <c r="G362" t="s">
        <v>445</v>
      </c>
      <c r="L362">
        <v>0</v>
      </c>
      <c r="M362">
        <v>0</v>
      </c>
      <c r="N362">
        <v>1</v>
      </c>
      <c r="O362">
        <v>0</v>
      </c>
    </row>
    <row r="363" spans="1:15" x14ac:dyDescent="0.2">
      <c r="A363" s="1" t="str">
        <f>HYPERLINK("http://www.twitter.com/banuakdenizli/status/1581903224797540352", "1581903224797540352")</f>
        <v>1581903224797540352</v>
      </c>
      <c r="B363" t="s">
        <v>15</v>
      </c>
      <c r="C363" s="2">
        <v>44851.292743055557</v>
      </c>
      <c r="D363">
        <v>7</v>
      </c>
      <c r="E363">
        <v>3</v>
      </c>
      <c r="G363" t="s">
        <v>446</v>
      </c>
      <c r="H363" t="str">
        <f>HYPERLINK("http://pbs.twimg.com/media/FfQMlaTWAAIw0y_.jpg", "http://pbs.twimg.com/media/FfQMlaTWAAIw0y_.jpg")</f>
        <v>http://pbs.twimg.com/media/FfQMlaTWAAIw0y_.jpg</v>
      </c>
      <c r="I363" t="str">
        <f>HYPERLINK("http://pbs.twimg.com/media/FfQMlaKWYAIqzCT.jpg", "http://pbs.twimg.com/media/FfQMlaKWYAIqzCT.jpg")</f>
        <v>http://pbs.twimg.com/media/FfQMlaKWYAIqzCT.jpg</v>
      </c>
      <c r="J363" t="str">
        <f>HYPERLINK("http://pbs.twimg.com/media/FfQMlaKXoAAEVTR.jpg", "http://pbs.twimg.com/media/FfQMlaKXoAAEVTR.jpg")</f>
        <v>http://pbs.twimg.com/media/FfQMlaKXoAAEVTR.jpg</v>
      </c>
      <c r="K363" t="str">
        <f>HYPERLINK("http://pbs.twimg.com/media/FfQMlaKWAAII1Fj.jpg", "http://pbs.twimg.com/media/FfQMlaKWAAII1Fj.jpg")</f>
        <v>http://pbs.twimg.com/media/FfQMlaKWAAII1Fj.jpg</v>
      </c>
      <c r="L363">
        <v>0</v>
      </c>
      <c r="M363">
        <v>0</v>
      </c>
      <c r="N363">
        <v>1</v>
      </c>
      <c r="O363">
        <v>0</v>
      </c>
    </row>
    <row r="364" spans="1:15" x14ac:dyDescent="0.2">
      <c r="A364" s="1" t="str">
        <f>HYPERLINK("http://www.twitter.com/banuakdenizli/status/1581712713298116609", "1581712713298116609")</f>
        <v>1581712713298116609</v>
      </c>
      <c r="B364" t="s">
        <v>15</v>
      </c>
      <c r="C364" s="2">
        <v>44850.76703703704</v>
      </c>
      <c r="D364">
        <v>7</v>
      </c>
      <c r="E364">
        <v>2</v>
      </c>
      <c r="G364" t="s">
        <v>447</v>
      </c>
      <c r="H364" t="str">
        <f>HYPERLINK("http://pbs.twimg.com/media/FfNfT2wXwAAlEt8.jpg", "http://pbs.twimg.com/media/FfNfT2wXwAAlEt8.jpg")</f>
        <v>http://pbs.twimg.com/media/FfNfT2wXwAAlEt8.jpg</v>
      </c>
      <c r="I364" t="str">
        <f>HYPERLINK("http://pbs.twimg.com/media/FfNfUQFX0AMlV1k.jpg", "http://pbs.twimg.com/media/FfNfUQFX0AMlV1k.jpg")</f>
        <v>http://pbs.twimg.com/media/FfNfUQFX0AMlV1k.jpg</v>
      </c>
      <c r="J364" t="str">
        <f>HYPERLINK("http://pbs.twimg.com/media/FfNfUnlWIAIsDiK.jpg", "http://pbs.twimg.com/media/FfNfUnlWIAIsDiK.jpg")</f>
        <v>http://pbs.twimg.com/media/FfNfUnlWIAIsDiK.jpg</v>
      </c>
      <c r="K364" t="str">
        <f>HYPERLINK("http://pbs.twimg.com/media/FfNfVEGWAAEheWr.jpg", "http://pbs.twimg.com/media/FfNfVEGWAAEheWr.jpg")</f>
        <v>http://pbs.twimg.com/media/FfNfVEGWAAEheWr.jpg</v>
      </c>
      <c r="L364">
        <v>0.9022</v>
      </c>
      <c r="M364">
        <v>0</v>
      </c>
      <c r="N364">
        <v>0.75800000000000001</v>
      </c>
      <c r="O364">
        <v>0.24199999999999999</v>
      </c>
    </row>
    <row r="365" spans="1:15" x14ac:dyDescent="0.2">
      <c r="A365" s="1" t="str">
        <f>HYPERLINK("http://www.twitter.com/banuakdenizli/status/1581711761446932480", "1581711761446932480")</f>
        <v>1581711761446932480</v>
      </c>
      <c r="B365" t="s">
        <v>15</v>
      </c>
      <c r="C365" s="2">
        <v>44850.764409722222</v>
      </c>
      <c r="D365">
        <v>12</v>
      </c>
      <c r="E365">
        <v>2</v>
      </c>
      <c r="G365" t="s">
        <v>448</v>
      </c>
      <c r="H365" t="str">
        <f>HYPERLINK("http://pbs.twimg.com/media/FfNecV0WYAEKKQP.jpg", "http://pbs.twimg.com/media/FfNecV0WYAEKKQP.jpg")</f>
        <v>http://pbs.twimg.com/media/FfNecV0WYAEKKQP.jpg</v>
      </c>
      <c r="I365" t="str">
        <f>HYPERLINK("http://pbs.twimg.com/media/FfNec0jXgAM8iY-.jpg", "http://pbs.twimg.com/media/FfNec0jXgAM8iY-.jpg")</f>
        <v>http://pbs.twimg.com/media/FfNec0jXgAM8iY-.jpg</v>
      </c>
      <c r="J365" t="str">
        <f>HYPERLINK("http://pbs.twimg.com/media/FfNedTYXoAEAjlB.jpg", "http://pbs.twimg.com/media/FfNedTYXoAEAjlB.jpg")</f>
        <v>http://pbs.twimg.com/media/FfNedTYXoAEAjlB.jpg</v>
      </c>
      <c r="K365" t="str">
        <f>HYPERLINK("http://pbs.twimg.com/media/FfNedp9WQAEMFHO.jpg", "http://pbs.twimg.com/media/FfNedp9WQAEMFHO.jpg")</f>
        <v>http://pbs.twimg.com/media/FfNedp9WQAEMFHO.jpg</v>
      </c>
      <c r="L365">
        <v>0</v>
      </c>
      <c r="M365">
        <v>0</v>
      </c>
      <c r="N365">
        <v>1</v>
      </c>
      <c r="O365">
        <v>0</v>
      </c>
    </row>
    <row r="366" spans="1:15" x14ac:dyDescent="0.2">
      <c r="A366" s="1" t="str">
        <f>HYPERLINK("http://www.twitter.com/banuakdenizli/status/1581680209207918594", "1581680209207918594")</f>
        <v>1581680209207918594</v>
      </c>
      <c r="B366" t="s">
        <v>15</v>
      </c>
      <c r="C366" s="2">
        <v>44850.677337962959</v>
      </c>
      <c r="D366">
        <v>0</v>
      </c>
      <c r="E366">
        <v>12</v>
      </c>
      <c r="F366" t="s">
        <v>31</v>
      </c>
      <c r="G366" t="s">
        <v>449</v>
      </c>
      <c r="H366" t="str">
        <f>HYPERLINK("http://pbs.twimg.com/media/FfM9KL6WIAA2bwf.jpg", "http://pbs.twimg.com/media/FfM9KL6WIAA2bwf.jpg")</f>
        <v>http://pbs.twimg.com/media/FfM9KL6WIAA2bwf.jpg</v>
      </c>
      <c r="L366">
        <v>0</v>
      </c>
      <c r="M366">
        <v>0</v>
      </c>
      <c r="N366">
        <v>1</v>
      </c>
      <c r="O366">
        <v>0</v>
      </c>
    </row>
    <row r="367" spans="1:15" x14ac:dyDescent="0.2">
      <c r="A367" s="1" t="str">
        <f>HYPERLINK("http://www.twitter.com/banuakdenizli/status/1580973566597640192", "1580973566597640192")</f>
        <v>1580973566597640192</v>
      </c>
      <c r="B367" t="s">
        <v>15</v>
      </c>
      <c r="C367" s="2">
        <v>44848.727384259262</v>
      </c>
      <c r="D367">
        <v>0</v>
      </c>
      <c r="E367">
        <v>7</v>
      </c>
      <c r="F367" t="s">
        <v>450</v>
      </c>
      <c r="G367" t="s">
        <v>451</v>
      </c>
      <c r="H367" t="str">
        <f>HYPERLINK("http://pbs.twimg.com/media/FfC-ak1WYAISp7q.jpg", "http://pbs.twimg.com/media/FfC-ak1WYAISp7q.jpg")</f>
        <v>http://pbs.twimg.com/media/FfC-ak1WYAISp7q.jpg</v>
      </c>
      <c r="I367" t="str">
        <f>HYPERLINK("http://pbs.twimg.com/media/FfC-brlX0AAuxnw.jpg", "http://pbs.twimg.com/media/FfC-brlX0AAuxnw.jpg")</f>
        <v>http://pbs.twimg.com/media/FfC-brlX0AAuxnw.jpg</v>
      </c>
      <c r="J367" t="str">
        <f>HYPERLINK("http://pbs.twimg.com/media/FfC-coPX0AAJ9X0.jpg", "http://pbs.twimg.com/media/FfC-coPX0AAJ9X0.jpg")</f>
        <v>http://pbs.twimg.com/media/FfC-coPX0AAJ9X0.jpg</v>
      </c>
      <c r="K367" t="str">
        <f>HYPERLINK("http://pbs.twimg.com/media/FfC-dYrWIAA7bFP.jpg", "http://pbs.twimg.com/media/FfC-dYrWIAA7bFP.jpg")</f>
        <v>http://pbs.twimg.com/media/FfC-dYrWIAA7bFP.jpg</v>
      </c>
      <c r="L367">
        <v>0</v>
      </c>
      <c r="M367">
        <v>0</v>
      </c>
      <c r="N367">
        <v>1</v>
      </c>
      <c r="O367">
        <v>0</v>
      </c>
    </row>
    <row r="368" spans="1:15" x14ac:dyDescent="0.2">
      <c r="A368" s="1" t="str">
        <f>HYPERLINK("http://www.twitter.com/banuakdenizli/status/1580884176647389184", "1580884176647389184")</f>
        <v>1580884176647389184</v>
      </c>
      <c r="B368" t="s">
        <v>15</v>
      </c>
      <c r="C368" s="2">
        <v>44848.480706018519</v>
      </c>
      <c r="D368">
        <v>0</v>
      </c>
      <c r="E368">
        <v>3</v>
      </c>
      <c r="F368" t="s">
        <v>452</v>
      </c>
      <c r="G368" t="s">
        <v>453</v>
      </c>
      <c r="L368">
        <v>0</v>
      </c>
      <c r="M368">
        <v>0</v>
      </c>
      <c r="N368">
        <v>1</v>
      </c>
      <c r="O368">
        <v>0</v>
      </c>
    </row>
    <row r="369" spans="1:15" x14ac:dyDescent="0.2">
      <c r="A369" s="1" t="str">
        <f>HYPERLINK("http://www.twitter.com/banuakdenizli/status/1580612092075208704", "1580612092075208704")</f>
        <v>1580612092075208704</v>
      </c>
      <c r="B369" t="s">
        <v>15</v>
      </c>
      <c r="C369" s="2">
        <v>44847.729895833327</v>
      </c>
      <c r="D369">
        <v>7</v>
      </c>
      <c r="E369">
        <v>1</v>
      </c>
      <c r="G369" t="s">
        <v>454</v>
      </c>
      <c r="H369" t="str">
        <f>HYPERLINK("https://video.twimg.com/ext_tw_video/1580612041336922112/pu/vid/480x848/ZlHMorLMJlui9Rk6.mp4?tag=12", "https://video.twimg.com/ext_tw_video/1580612041336922112/pu/vid/480x848/ZlHMorLMJlui9Rk6.mp4?tag=12")</f>
        <v>https://video.twimg.com/ext_tw_video/1580612041336922112/pu/vid/480x848/ZlHMorLMJlui9Rk6.mp4?tag=12</v>
      </c>
      <c r="L369">
        <v>0</v>
      </c>
      <c r="M369">
        <v>0</v>
      </c>
      <c r="N369">
        <v>1</v>
      </c>
      <c r="O369">
        <v>0</v>
      </c>
    </row>
    <row r="370" spans="1:15" x14ac:dyDescent="0.2">
      <c r="A370" s="1" t="str">
        <f>HYPERLINK("http://www.twitter.com/banuakdenizli/status/1580611749757079554", "1580611749757079554")</f>
        <v>1580611749757079554</v>
      </c>
      <c r="B370" t="s">
        <v>15</v>
      </c>
      <c r="C370" s="2">
        <v>44847.728958333333</v>
      </c>
      <c r="D370">
        <v>8</v>
      </c>
      <c r="E370">
        <v>2</v>
      </c>
      <c r="G370" t="s">
        <v>455</v>
      </c>
      <c r="H370" t="str">
        <f>HYPERLINK("https://video.twimg.com/ext_tw_video/1580611697680728066/pu/vid/480x848/XLBpX6Y2QxQdrxzK.mp4?tag=12", "https://video.twimg.com/ext_tw_video/1580611697680728066/pu/vid/480x848/XLBpX6Y2QxQdrxzK.mp4?tag=12")</f>
        <v>https://video.twimg.com/ext_tw_video/1580611697680728066/pu/vid/480x848/XLBpX6Y2QxQdrxzK.mp4?tag=12</v>
      </c>
      <c r="L370">
        <v>0</v>
      </c>
      <c r="M370">
        <v>0</v>
      </c>
      <c r="N370">
        <v>1</v>
      </c>
      <c r="O370">
        <v>0</v>
      </c>
    </row>
    <row r="371" spans="1:15" x14ac:dyDescent="0.2">
      <c r="A371" s="1" t="str">
        <f>HYPERLINK("http://www.twitter.com/banuakdenizli/status/1580611096477839360", "1580611096477839360")</f>
        <v>1580611096477839360</v>
      </c>
      <c r="B371" t="s">
        <v>15</v>
      </c>
      <c r="C371" s="2">
        <v>44847.727152777778</v>
      </c>
      <c r="D371">
        <v>3</v>
      </c>
      <c r="E371">
        <v>2</v>
      </c>
      <c r="G371" t="s">
        <v>456</v>
      </c>
      <c r="H371" t="str">
        <f>HYPERLINK("http://pbs.twimg.com/media/Fe91Zj3XEA0zApL.jpg", "http://pbs.twimg.com/media/Fe91Zj3XEA0zApL.jpg")</f>
        <v>http://pbs.twimg.com/media/Fe91Zj3XEA0zApL.jpg</v>
      </c>
      <c r="I371" t="str">
        <f>HYPERLINK("http://pbs.twimg.com/media/Fe91Z2YXEAcjvPP.jpg", "http://pbs.twimg.com/media/Fe91Z2YXEAcjvPP.jpg")</f>
        <v>http://pbs.twimg.com/media/Fe91Z2YXEAcjvPP.jpg</v>
      </c>
      <c r="J371" t="str">
        <f>HYPERLINK("http://pbs.twimg.com/media/Fe91aKsXEAY9Aog.jpg", "http://pbs.twimg.com/media/Fe91aKsXEAY9Aog.jpg")</f>
        <v>http://pbs.twimg.com/media/Fe91aKsXEAY9Aog.jpg</v>
      </c>
      <c r="K371" t="str">
        <f>HYPERLINK("http://pbs.twimg.com/media/Fe91adgXkAAD8q7.jpg", "http://pbs.twimg.com/media/Fe91adgXkAAD8q7.jpg")</f>
        <v>http://pbs.twimg.com/media/Fe91adgXkAAD8q7.jpg</v>
      </c>
      <c r="L371">
        <v>0</v>
      </c>
      <c r="M371">
        <v>0</v>
      </c>
      <c r="N371">
        <v>1</v>
      </c>
      <c r="O371">
        <v>0</v>
      </c>
    </row>
    <row r="372" spans="1:15" x14ac:dyDescent="0.2">
      <c r="A372" s="1" t="str">
        <f>HYPERLINK("http://www.twitter.com/banuakdenizli/status/1580610435627089921", "1580610435627089921")</f>
        <v>1580610435627089921</v>
      </c>
      <c r="B372" t="s">
        <v>15</v>
      </c>
      <c r="C372" s="2">
        <v>44847.725324074083</v>
      </c>
      <c r="D372">
        <v>5</v>
      </c>
      <c r="E372">
        <v>3</v>
      </c>
      <c r="G372" t="s">
        <v>457</v>
      </c>
      <c r="H372" t="str">
        <f>HYPERLINK("http://pbs.twimg.com/media/Fe90zHzWYAEyZWT.jpg", "http://pbs.twimg.com/media/Fe90zHzWYAEyZWT.jpg")</f>
        <v>http://pbs.twimg.com/media/Fe90zHzWYAEyZWT.jpg</v>
      </c>
      <c r="I372" t="str">
        <f>HYPERLINK("http://pbs.twimg.com/media/Fe90zemXEAA-Kmx.jpg", "http://pbs.twimg.com/media/Fe90zemXEAA-Kmx.jpg")</f>
        <v>http://pbs.twimg.com/media/Fe90zemXEAA-Kmx.jpg</v>
      </c>
      <c r="J372" t="str">
        <f>HYPERLINK("http://pbs.twimg.com/media/Fe90zyeWYAY20DX.jpg", "http://pbs.twimg.com/media/Fe90zyeWYAY20DX.jpg")</f>
        <v>http://pbs.twimg.com/media/Fe90zyeWYAY20DX.jpg</v>
      </c>
      <c r="K372" t="str">
        <f>HYPERLINK("http://pbs.twimg.com/media/Fe900GOWIAA8Eyy.jpg", "http://pbs.twimg.com/media/Fe900GOWIAA8Eyy.jpg")</f>
        <v>http://pbs.twimg.com/media/Fe900GOWIAA8Eyy.jpg</v>
      </c>
      <c r="L372">
        <v>0</v>
      </c>
      <c r="M372">
        <v>0</v>
      </c>
      <c r="N372">
        <v>1</v>
      </c>
      <c r="O372">
        <v>0</v>
      </c>
    </row>
    <row r="373" spans="1:15" x14ac:dyDescent="0.2">
      <c r="A373" s="1" t="str">
        <f>HYPERLINK("http://www.twitter.com/banuakdenizli/status/1580535441853362176", "1580535441853362176")</f>
        <v>1580535441853362176</v>
      </c>
      <c r="B373" t="s">
        <v>15</v>
      </c>
      <c r="C373" s="2">
        <v>44847.518379629633</v>
      </c>
      <c r="D373">
        <v>0</v>
      </c>
      <c r="E373">
        <v>5</v>
      </c>
      <c r="F373" t="s">
        <v>31</v>
      </c>
      <c r="G373" t="s">
        <v>458</v>
      </c>
      <c r="H373" t="str">
        <f>HYPERLINK("http://pbs.twimg.com/media/Fe8gKgVXoAIjfHB.jpg", "http://pbs.twimg.com/media/Fe8gKgVXoAIjfHB.jpg")</f>
        <v>http://pbs.twimg.com/media/Fe8gKgVXoAIjfHB.jpg</v>
      </c>
      <c r="I373" t="str">
        <f>HYPERLINK("http://pbs.twimg.com/media/Fe8gKgVXkAEiBaU.jpg", "http://pbs.twimg.com/media/Fe8gKgVXkAEiBaU.jpg")</f>
        <v>http://pbs.twimg.com/media/Fe8gKgVXkAEiBaU.jpg</v>
      </c>
      <c r="L373">
        <v>0</v>
      </c>
      <c r="M373">
        <v>0</v>
      </c>
      <c r="N373">
        <v>1</v>
      </c>
      <c r="O373">
        <v>0</v>
      </c>
    </row>
    <row r="374" spans="1:15" x14ac:dyDescent="0.2">
      <c r="A374" s="1" t="str">
        <f>HYPERLINK("http://www.twitter.com/banuakdenizli/status/1580499586811994117", "1580499586811994117")</f>
        <v>1580499586811994117</v>
      </c>
      <c r="B374" t="s">
        <v>15</v>
      </c>
      <c r="C374" s="2">
        <v>44847.419444444437</v>
      </c>
      <c r="D374">
        <v>65</v>
      </c>
      <c r="E374">
        <v>23</v>
      </c>
      <c r="G374" t="s">
        <v>459</v>
      </c>
      <c r="H374" t="str">
        <f>HYPERLINK("https://video.twimg.com/ext_tw_video/1580499545695436800/pu/vid/352x640/Ir0ojcg6SAcpiP1L.mp4?tag=12", "https://video.twimg.com/ext_tw_video/1580499545695436800/pu/vid/352x640/Ir0ojcg6SAcpiP1L.mp4?tag=12")</f>
        <v>https://video.twimg.com/ext_tw_video/1580499545695436800/pu/vid/352x640/Ir0ojcg6SAcpiP1L.mp4?tag=12</v>
      </c>
      <c r="L374">
        <v>0</v>
      </c>
      <c r="M374">
        <v>0</v>
      </c>
      <c r="N374">
        <v>1</v>
      </c>
      <c r="O374">
        <v>0</v>
      </c>
    </row>
    <row r="375" spans="1:15" x14ac:dyDescent="0.2">
      <c r="A375" s="1" t="str">
        <f>HYPERLINK("http://www.twitter.com/banuakdenizli/status/1580485575441686530", "1580485575441686530")</f>
        <v>1580485575441686530</v>
      </c>
      <c r="B375" t="s">
        <v>15</v>
      </c>
      <c r="C375" s="2">
        <v>44847.38077546296</v>
      </c>
      <c r="D375">
        <v>0</v>
      </c>
      <c r="E375">
        <v>3</v>
      </c>
      <c r="F375" t="s">
        <v>16</v>
      </c>
      <c r="G375" t="s">
        <v>460</v>
      </c>
      <c r="H375" t="str">
        <f>HYPERLINK("https://video.twimg.com/ext_tw_video/1580465900435767296/pu/vid/720x720/_f5-Y-wfxWACpDaR.mp4?tag=12", "https://video.twimg.com/ext_tw_video/1580465900435767296/pu/vid/720x720/_f5-Y-wfxWACpDaR.mp4?tag=12")</f>
        <v>https://video.twimg.com/ext_tw_video/1580465900435767296/pu/vid/720x720/_f5-Y-wfxWACpDaR.mp4?tag=12</v>
      </c>
      <c r="L375">
        <v>0</v>
      </c>
      <c r="M375">
        <v>0</v>
      </c>
      <c r="N375">
        <v>1</v>
      </c>
      <c r="O375">
        <v>0</v>
      </c>
    </row>
    <row r="376" spans="1:15" x14ac:dyDescent="0.2">
      <c r="A376" s="1" t="str">
        <f>HYPERLINK("http://www.twitter.com/banuakdenizli/status/1580462395654565889", "1580462395654565889")</f>
        <v>1580462395654565889</v>
      </c>
      <c r="B376" t="s">
        <v>15</v>
      </c>
      <c r="C376" s="2">
        <v>44847.316817129627</v>
      </c>
      <c r="D376">
        <v>0</v>
      </c>
      <c r="E376">
        <v>122</v>
      </c>
      <c r="F376" t="s">
        <v>28</v>
      </c>
      <c r="G376" t="s">
        <v>461</v>
      </c>
      <c r="H376" t="str">
        <f>HYPERLINK("http://pbs.twimg.com/media/Fe5bMGeXoBcW9Ts.jpg", "http://pbs.twimg.com/media/Fe5bMGeXoBcW9Ts.jpg")</f>
        <v>http://pbs.twimg.com/media/Fe5bMGeXoBcW9Ts.jpg</v>
      </c>
      <c r="L376">
        <v>0</v>
      </c>
      <c r="M376">
        <v>0</v>
      </c>
      <c r="N376">
        <v>1</v>
      </c>
      <c r="O376">
        <v>0</v>
      </c>
    </row>
    <row r="377" spans="1:15" x14ac:dyDescent="0.2">
      <c r="A377" s="1" t="str">
        <f>HYPERLINK("http://www.twitter.com/banuakdenizli/status/1580462217186934784", "1580462217186934784")</f>
        <v>1580462217186934784</v>
      </c>
      <c r="B377" t="s">
        <v>15</v>
      </c>
      <c r="C377" s="2">
        <v>44847.316319444442</v>
      </c>
      <c r="D377">
        <v>0</v>
      </c>
      <c r="E377">
        <v>76</v>
      </c>
      <c r="F377" t="s">
        <v>462</v>
      </c>
      <c r="G377" t="s">
        <v>463</v>
      </c>
      <c r="H377" t="str">
        <f>HYPERLINK("http://pbs.twimg.com/media/Fe5WgczXoCExvbu.jpg", "http://pbs.twimg.com/media/Fe5WgczXoCExvbu.jpg")</f>
        <v>http://pbs.twimg.com/media/Fe5WgczXoCExvbu.jpg</v>
      </c>
      <c r="L377">
        <v>-0.2177</v>
      </c>
      <c r="M377">
        <v>8.3000000000000004E-2</v>
      </c>
      <c r="N377">
        <v>0.83099999999999996</v>
      </c>
      <c r="O377">
        <v>8.5999999999999993E-2</v>
      </c>
    </row>
    <row r="378" spans="1:15" x14ac:dyDescent="0.2">
      <c r="A378" s="1" t="str">
        <f>HYPERLINK("http://www.twitter.com/banuakdenizli/status/1580448118620844038", "1580448118620844038")</f>
        <v>1580448118620844038</v>
      </c>
      <c r="B378" t="s">
        <v>15</v>
      </c>
      <c r="C378" s="2">
        <v>44847.277418981481</v>
      </c>
      <c r="D378">
        <v>0</v>
      </c>
      <c r="E378">
        <v>0</v>
      </c>
      <c r="G378" t="s">
        <v>464</v>
      </c>
      <c r="L378">
        <v>0</v>
      </c>
      <c r="M378">
        <v>0</v>
      </c>
      <c r="N378">
        <v>1</v>
      </c>
      <c r="O378">
        <v>0</v>
      </c>
    </row>
    <row r="379" spans="1:15" x14ac:dyDescent="0.2">
      <c r="A379" s="1" t="str">
        <f>HYPERLINK("http://www.twitter.com/banuakdenizli/status/1580447792157585408", "1580447792157585408")</f>
        <v>1580447792157585408</v>
      </c>
      <c r="B379" t="s">
        <v>15</v>
      </c>
      <c r="C379" s="2">
        <v>44847.276516203703</v>
      </c>
      <c r="D379">
        <v>2</v>
      </c>
      <c r="E379">
        <v>0</v>
      </c>
      <c r="G379" t="s">
        <v>465</v>
      </c>
      <c r="H379" t="str">
        <f>HYPERLINK("http://pbs.twimg.com/media/Fe7g4tgXEAI0u8k.jpg", "http://pbs.twimg.com/media/Fe7g4tgXEAI0u8k.jpg")</f>
        <v>http://pbs.twimg.com/media/Fe7g4tgXEAI0u8k.jpg</v>
      </c>
      <c r="I379" t="str">
        <f>HYPERLINK("http://pbs.twimg.com/media/Fe7g4tYXgAEytzI.jpg", "http://pbs.twimg.com/media/Fe7g4tYXgAEytzI.jpg")</f>
        <v>http://pbs.twimg.com/media/Fe7g4tYXgAEytzI.jpg</v>
      </c>
      <c r="J379" t="str">
        <f>HYPERLINK("http://pbs.twimg.com/media/Fe7g4tcXEAAjbPf.jpg", "http://pbs.twimg.com/media/Fe7g4tcXEAAjbPf.jpg")</f>
        <v>http://pbs.twimg.com/media/Fe7g4tcXEAAjbPf.jpg</v>
      </c>
      <c r="K379" t="str">
        <f>HYPERLINK("http://pbs.twimg.com/media/Fe7g4taXwAEvU8z.jpg", "http://pbs.twimg.com/media/Fe7g4taXwAEvU8z.jpg")</f>
        <v>http://pbs.twimg.com/media/Fe7g4taXwAEvU8z.jpg</v>
      </c>
      <c r="L379">
        <v>0</v>
      </c>
      <c r="M379">
        <v>0</v>
      </c>
      <c r="N379">
        <v>1</v>
      </c>
      <c r="O379">
        <v>0</v>
      </c>
    </row>
    <row r="380" spans="1:15" x14ac:dyDescent="0.2">
      <c r="A380" s="1" t="str">
        <f>HYPERLINK("http://www.twitter.com/banuakdenizli/status/1580306089299484672", "1580306089299484672")</f>
        <v>1580306089299484672</v>
      </c>
      <c r="B380" t="s">
        <v>15</v>
      </c>
      <c r="C380" s="2">
        <v>44846.885497685187</v>
      </c>
      <c r="D380">
        <v>0</v>
      </c>
      <c r="E380">
        <v>4</v>
      </c>
      <c r="F380" t="s">
        <v>213</v>
      </c>
      <c r="G380" t="s">
        <v>466</v>
      </c>
      <c r="H380" t="str">
        <f>HYPERLINK("http://pbs.twimg.com/media/Fe5XwhUXoAsSK5V.jpg", "http://pbs.twimg.com/media/Fe5XwhUXoAsSK5V.jpg")</f>
        <v>http://pbs.twimg.com/media/Fe5XwhUXoAsSK5V.jpg</v>
      </c>
      <c r="L380">
        <v>0</v>
      </c>
      <c r="M380">
        <v>0</v>
      </c>
      <c r="N380">
        <v>1</v>
      </c>
      <c r="O380">
        <v>0</v>
      </c>
    </row>
    <row r="381" spans="1:15" x14ac:dyDescent="0.2">
      <c r="A381" s="1" t="str">
        <f>HYPERLINK("http://www.twitter.com/banuakdenizli/status/1580275846400471041", "1580275846400471041")</f>
        <v>1580275846400471041</v>
      </c>
      <c r="B381" t="s">
        <v>15</v>
      </c>
      <c r="C381" s="2">
        <v>44846.802037037043</v>
      </c>
      <c r="D381">
        <v>0</v>
      </c>
      <c r="E381">
        <v>0</v>
      </c>
      <c r="G381" t="s">
        <v>464</v>
      </c>
      <c r="L381">
        <v>0</v>
      </c>
      <c r="M381">
        <v>0</v>
      </c>
      <c r="N381">
        <v>1</v>
      </c>
      <c r="O381">
        <v>0</v>
      </c>
    </row>
    <row r="382" spans="1:15" x14ac:dyDescent="0.2">
      <c r="A382" s="1" t="str">
        <f>HYPERLINK("http://www.twitter.com/banuakdenizli/status/1580275796350205952", "1580275796350205952")</f>
        <v>1580275796350205952</v>
      </c>
      <c r="B382" t="s">
        <v>15</v>
      </c>
      <c r="C382" s="2">
        <v>44846.801898148151</v>
      </c>
      <c r="D382">
        <v>0</v>
      </c>
      <c r="E382">
        <v>0</v>
      </c>
      <c r="G382" t="s">
        <v>464</v>
      </c>
      <c r="L382">
        <v>0</v>
      </c>
      <c r="M382">
        <v>0</v>
      </c>
      <c r="N382">
        <v>1</v>
      </c>
      <c r="O382">
        <v>0</v>
      </c>
    </row>
    <row r="383" spans="1:15" x14ac:dyDescent="0.2">
      <c r="A383" s="1" t="str">
        <f>HYPERLINK("http://www.twitter.com/banuakdenizli/status/1580275348599472128", "1580275348599472128")</f>
        <v>1580275348599472128</v>
      </c>
      <c r="B383" t="s">
        <v>15</v>
      </c>
      <c r="C383" s="2">
        <v>44846.800659722219</v>
      </c>
      <c r="D383">
        <v>1</v>
      </c>
      <c r="E383">
        <v>0</v>
      </c>
      <c r="G383" t="s">
        <v>467</v>
      </c>
      <c r="H383" t="str">
        <f>HYPERLINK("http://pbs.twimg.com/media/Fe5EDJUXEA0vAfB.jpg", "http://pbs.twimg.com/media/Fe5EDJUXEA0vAfB.jpg")</f>
        <v>http://pbs.twimg.com/media/Fe5EDJUXEA0vAfB.jpg</v>
      </c>
      <c r="L383">
        <v>0</v>
      </c>
      <c r="M383">
        <v>0</v>
      </c>
      <c r="N383">
        <v>1</v>
      </c>
      <c r="O383">
        <v>0</v>
      </c>
    </row>
    <row r="384" spans="1:15" x14ac:dyDescent="0.2">
      <c r="A384" s="1" t="str">
        <f>HYPERLINK("http://www.twitter.com/banuakdenizli/status/1580271272486846464", "1580271272486846464")</f>
        <v>1580271272486846464</v>
      </c>
      <c r="B384" t="s">
        <v>15</v>
      </c>
      <c r="C384" s="2">
        <v>44846.789421296293</v>
      </c>
      <c r="D384">
        <v>2</v>
      </c>
      <c r="E384">
        <v>0</v>
      </c>
      <c r="G384" t="s">
        <v>468</v>
      </c>
      <c r="H384" t="str">
        <f>HYPERLINK("http://pbs.twimg.com/media/Fe5AU8FXoAoASYW.jpg", "http://pbs.twimg.com/media/Fe5AU8FXoAoASYW.jpg")</f>
        <v>http://pbs.twimg.com/media/Fe5AU8FXoAoASYW.jpg</v>
      </c>
      <c r="I384" t="str">
        <f>HYPERLINK("http://pbs.twimg.com/media/Fe5AU8HXEBkXVJ-.jpg", "http://pbs.twimg.com/media/Fe5AU8HXEBkXVJ-.jpg")</f>
        <v>http://pbs.twimg.com/media/Fe5AU8HXEBkXVJ-.jpg</v>
      </c>
      <c r="J384" t="str">
        <f>HYPERLINK("http://pbs.twimg.com/media/Fe5AU8FWYAE6HeM.jpg", "http://pbs.twimg.com/media/Fe5AU8FWYAE6HeM.jpg")</f>
        <v>http://pbs.twimg.com/media/Fe5AU8FWYAE6HeM.jpg</v>
      </c>
      <c r="K384" t="str">
        <f>HYPERLINK("http://pbs.twimg.com/media/Fe5AU8EXEBoHmb5.jpg", "http://pbs.twimg.com/media/Fe5AU8EXEBoHmb5.jpg")</f>
        <v>http://pbs.twimg.com/media/Fe5AU8EXEBoHmb5.jpg</v>
      </c>
      <c r="L384">
        <v>0</v>
      </c>
      <c r="M384">
        <v>0</v>
      </c>
      <c r="N384">
        <v>1</v>
      </c>
      <c r="O384">
        <v>0</v>
      </c>
    </row>
    <row r="385" spans="1:15" x14ac:dyDescent="0.2">
      <c r="A385" s="1" t="str">
        <f>HYPERLINK("http://www.twitter.com/banuakdenizli/status/1580262701343080449", "1580262701343080449")</f>
        <v>1580262701343080449</v>
      </c>
      <c r="B385" t="s">
        <v>15</v>
      </c>
      <c r="C385" s="2">
        <v>44846.765763888892</v>
      </c>
      <c r="D385">
        <v>1</v>
      </c>
      <c r="E385">
        <v>0</v>
      </c>
      <c r="G385" t="s">
        <v>469</v>
      </c>
      <c r="L385">
        <v>0</v>
      </c>
      <c r="M385">
        <v>0</v>
      </c>
      <c r="N385">
        <v>1</v>
      </c>
      <c r="O385">
        <v>0</v>
      </c>
    </row>
    <row r="386" spans="1:15" x14ac:dyDescent="0.2">
      <c r="A386" s="1" t="str">
        <f>HYPERLINK("http://www.twitter.com/banuakdenizli/status/1580262697475928064", "1580262697475928064")</f>
        <v>1580262697475928064</v>
      </c>
      <c r="B386" t="s">
        <v>15</v>
      </c>
      <c r="C386" s="2">
        <v>44846.765752314823</v>
      </c>
      <c r="D386">
        <v>11</v>
      </c>
      <c r="E386">
        <v>5</v>
      </c>
      <c r="G386" t="s">
        <v>470</v>
      </c>
      <c r="H386" t="str">
        <f>HYPERLINK("http://pbs.twimg.com/media/Fe44hvwWQAkW3T8.jpg", "http://pbs.twimg.com/media/Fe44hvwWQAkW3T8.jpg")</f>
        <v>http://pbs.twimg.com/media/Fe44hvwWQAkW3T8.jpg</v>
      </c>
      <c r="I386" t="str">
        <f>HYPERLINK("http://pbs.twimg.com/media/Fe44iLLWQBIdCtx.jpg", "http://pbs.twimg.com/media/Fe44iLLWQBIdCtx.jpg")</f>
        <v>http://pbs.twimg.com/media/Fe44iLLWQBIdCtx.jpg</v>
      </c>
      <c r="J386" t="str">
        <f>HYPERLINK("http://pbs.twimg.com/media/Fe44ilKWQBES9t8.jpg", "http://pbs.twimg.com/media/Fe44ilKWQBES9t8.jpg")</f>
        <v>http://pbs.twimg.com/media/Fe44ilKWQBES9t8.jpg</v>
      </c>
      <c r="K386" t="str">
        <f>HYPERLINK("http://pbs.twimg.com/media/Fe44jB2XwAAsGB_.jpg", "http://pbs.twimg.com/media/Fe44jB2XwAAsGB_.jpg")</f>
        <v>http://pbs.twimg.com/media/Fe44jB2XwAAsGB_.jpg</v>
      </c>
      <c r="L386">
        <v>0</v>
      </c>
      <c r="M386">
        <v>0</v>
      </c>
      <c r="N386">
        <v>1</v>
      </c>
      <c r="O386">
        <v>0</v>
      </c>
    </row>
    <row r="387" spans="1:15" x14ac:dyDescent="0.2">
      <c r="A387" s="1" t="str">
        <f>HYPERLINK("http://www.twitter.com/banuakdenizli/status/1580261424936685568", "1580261424936685568")</f>
        <v>1580261424936685568</v>
      </c>
      <c r="B387" t="s">
        <v>15</v>
      </c>
      <c r="C387" s="2">
        <v>44846.762245370373</v>
      </c>
      <c r="D387">
        <v>1</v>
      </c>
      <c r="E387">
        <v>0</v>
      </c>
      <c r="G387" t="s">
        <v>464</v>
      </c>
      <c r="L387">
        <v>0</v>
      </c>
      <c r="M387">
        <v>0</v>
      </c>
      <c r="N387">
        <v>1</v>
      </c>
      <c r="O387">
        <v>0</v>
      </c>
    </row>
    <row r="388" spans="1:15" x14ac:dyDescent="0.2">
      <c r="A388" s="1" t="str">
        <f>HYPERLINK("http://www.twitter.com/banuakdenizli/status/1580261421098872832", "1580261421098872832")</f>
        <v>1580261421098872832</v>
      </c>
      <c r="B388" t="s">
        <v>15</v>
      </c>
      <c r="C388" s="2">
        <v>44846.762233796297</v>
      </c>
      <c r="D388">
        <v>19</v>
      </c>
      <c r="E388">
        <v>11</v>
      </c>
      <c r="G388" t="s">
        <v>471</v>
      </c>
      <c r="H388" t="str">
        <f>HYPERLINK("http://pbs.twimg.com/media/Fe43Yz4WAAMYjtt.jpg", "http://pbs.twimg.com/media/Fe43Yz4WAAMYjtt.jpg")</f>
        <v>http://pbs.twimg.com/media/Fe43Yz4WAAMYjtt.jpg</v>
      </c>
      <c r="L388">
        <v>0.31819999999999998</v>
      </c>
      <c r="M388">
        <v>0</v>
      </c>
      <c r="N388">
        <v>0.95099999999999996</v>
      </c>
      <c r="O388">
        <v>4.9000000000000002E-2</v>
      </c>
    </row>
    <row r="389" spans="1:15" x14ac:dyDescent="0.2">
      <c r="A389" s="1" t="str">
        <f>HYPERLINK("http://www.twitter.com/banuakdenizli/status/1580259355056013312", "1580259355056013312")</f>
        <v>1580259355056013312</v>
      </c>
      <c r="B389" t="s">
        <v>15</v>
      </c>
      <c r="C389" s="2">
        <v>44846.756527777783</v>
      </c>
      <c r="D389">
        <v>10</v>
      </c>
      <c r="E389">
        <v>4</v>
      </c>
      <c r="G389" t="s">
        <v>472</v>
      </c>
      <c r="H389" t="str">
        <f>HYPERLINK("http://pbs.twimg.com/media/Fe41fUNWABgcCZ3.jpg", "http://pbs.twimg.com/media/Fe41fUNWABgcCZ3.jpg")</f>
        <v>http://pbs.twimg.com/media/Fe41fUNWABgcCZ3.jpg</v>
      </c>
      <c r="I389" t="str">
        <f>HYPERLINK("http://pbs.twimg.com/media/Fe41fspWAAQEdhP.jpg", "http://pbs.twimg.com/media/Fe41fspWAAQEdhP.jpg")</f>
        <v>http://pbs.twimg.com/media/Fe41fspWAAQEdhP.jpg</v>
      </c>
      <c r="J389" t="str">
        <f>HYPERLINK("http://pbs.twimg.com/media/Fe41gExWAA0EEpf.jpg", "http://pbs.twimg.com/media/Fe41gExWAA0EEpf.jpg")</f>
        <v>http://pbs.twimg.com/media/Fe41gExWAA0EEpf.jpg</v>
      </c>
      <c r="K389" t="str">
        <f>HYPERLINK("http://pbs.twimg.com/media/Fe41gf_WABkEaCO.jpg", "http://pbs.twimg.com/media/Fe41gf_WABkEaCO.jpg")</f>
        <v>http://pbs.twimg.com/media/Fe41gf_WABkEaCO.jpg</v>
      </c>
      <c r="L389">
        <v>0</v>
      </c>
      <c r="M389">
        <v>0</v>
      </c>
      <c r="N389">
        <v>1</v>
      </c>
      <c r="O389">
        <v>0</v>
      </c>
    </row>
    <row r="390" spans="1:15" x14ac:dyDescent="0.2">
      <c r="A390" s="1" t="str">
        <f>HYPERLINK("http://www.twitter.com/banuakdenizli/status/1580159400597106688", "1580159400597106688")</f>
        <v>1580159400597106688</v>
      </c>
      <c r="B390" t="s">
        <v>15</v>
      </c>
      <c r="C390" s="2">
        <v>44846.480706018519</v>
      </c>
      <c r="D390">
        <v>6</v>
      </c>
      <c r="E390">
        <v>3</v>
      </c>
      <c r="G390" t="s">
        <v>473</v>
      </c>
      <c r="H390" t="str">
        <f>HYPERLINK("http://pbs.twimg.com/media/Fe3amNKWAAAbJ8p.jpg", "http://pbs.twimg.com/media/Fe3amNKWAAAbJ8p.jpg")</f>
        <v>http://pbs.twimg.com/media/Fe3amNKWAAAbJ8p.jpg</v>
      </c>
      <c r="L390">
        <v>0</v>
      </c>
      <c r="M390">
        <v>0</v>
      </c>
      <c r="N390">
        <v>1</v>
      </c>
      <c r="O390">
        <v>0</v>
      </c>
    </row>
    <row r="391" spans="1:15" x14ac:dyDescent="0.2">
      <c r="A391" s="1" t="str">
        <f>HYPERLINK("http://www.twitter.com/banuakdenizli/status/1580148506018615301", "1580148506018615301")</f>
        <v>1580148506018615301</v>
      </c>
      <c r="B391" t="s">
        <v>15</v>
      </c>
      <c r="C391" s="2">
        <v>44846.450648148151</v>
      </c>
      <c r="D391">
        <v>3</v>
      </c>
      <c r="E391">
        <v>1</v>
      </c>
      <c r="G391" t="s">
        <v>474</v>
      </c>
      <c r="L391">
        <v>0</v>
      </c>
      <c r="M391">
        <v>0</v>
      </c>
      <c r="N391">
        <v>1</v>
      </c>
      <c r="O391">
        <v>0</v>
      </c>
    </row>
    <row r="392" spans="1:15" x14ac:dyDescent="0.2">
      <c r="A392" s="1" t="str">
        <f>HYPERLINK("http://www.twitter.com/banuakdenizli/status/1580148499512848384", "1580148499512848384")</f>
        <v>1580148499512848384</v>
      </c>
      <c r="B392" t="s">
        <v>15</v>
      </c>
      <c r="C392" s="2">
        <v>44846.450624999998</v>
      </c>
      <c r="D392">
        <v>11</v>
      </c>
      <c r="E392">
        <v>8</v>
      </c>
      <c r="G392" t="s">
        <v>475</v>
      </c>
      <c r="H392" t="str">
        <f>HYPERLINK("http://pbs.twimg.com/media/Fe3OUL2XgAAhact.jpg", "http://pbs.twimg.com/media/Fe3OUL2XgAAhact.jpg")</f>
        <v>http://pbs.twimg.com/media/Fe3OUL2XgAAhact.jpg</v>
      </c>
      <c r="L392">
        <v>0</v>
      </c>
      <c r="M392">
        <v>0</v>
      </c>
      <c r="N392">
        <v>1</v>
      </c>
      <c r="O392">
        <v>0</v>
      </c>
    </row>
    <row r="393" spans="1:15" x14ac:dyDescent="0.2">
      <c r="A393" s="1" t="str">
        <f>HYPERLINK("http://www.twitter.com/banuakdenizli/status/1580139003667705856", "1580139003667705856")</f>
        <v>1580139003667705856</v>
      </c>
      <c r="B393" t="s">
        <v>15</v>
      </c>
      <c r="C393" s="2">
        <v>44846.424421296288</v>
      </c>
      <c r="D393">
        <v>0</v>
      </c>
      <c r="E393">
        <v>1</v>
      </c>
      <c r="F393" t="s">
        <v>32</v>
      </c>
      <c r="G393" t="s">
        <v>476</v>
      </c>
      <c r="H393" t="str">
        <f>HYPERLINK("http://pbs.twimg.com/media/Fe3GTvDXoAEc1OY.jpg", "http://pbs.twimg.com/media/Fe3GTvDXoAEc1OY.jpg")</f>
        <v>http://pbs.twimg.com/media/Fe3GTvDXoAEc1OY.jpg</v>
      </c>
      <c r="L393">
        <v>0</v>
      </c>
      <c r="M393">
        <v>0</v>
      </c>
      <c r="N393">
        <v>1</v>
      </c>
      <c r="O393">
        <v>0</v>
      </c>
    </row>
    <row r="394" spans="1:15" x14ac:dyDescent="0.2">
      <c r="A394" s="1" t="str">
        <f>HYPERLINK("http://www.twitter.com/banuakdenizli/status/1580133932049174528", "1580133932049174528")</f>
        <v>1580133932049174528</v>
      </c>
      <c r="B394" t="s">
        <v>15</v>
      </c>
      <c r="C394" s="2">
        <v>44846.410428240742</v>
      </c>
      <c r="D394">
        <v>2</v>
      </c>
      <c r="E394">
        <v>1</v>
      </c>
      <c r="G394" t="s">
        <v>477</v>
      </c>
      <c r="L394">
        <v>0</v>
      </c>
      <c r="M394">
        <v>0</v>
      </c>
      <c r="N394">
        <v>1</v>
      </c>
      <c r="O394">
        <v>0</v>
      </c>
    </row>
    <row r="395" spans="1:15" x14ac:dyDescent="0.2">
      <c r="A395" s="1" t="str">
        <f>HYPERLINK("http://www.twitter.com/banuakdenizli/status/1580092571610513408", "1580092571610513408")</f>
        <v>1580092571610513408</v>
      </c>
      <c r="B395" t="s">
        <v>15</v>
      </c>
      <c r="C395" s="2">
        <v>44846.296296296299</v>
      </c>
      <c r="D395">
        <v>4</v>
      </c>
      <c r="E395">
        <v>2</v>
      </c>
      <c r="G395" t="s">
        <v>478</v>
      </c>
      <c r="L395">
        <v>0.62490000000000001</v>
      </c>
      <c r="M395">
        <v>0</v>
      </c>
      <c r="N395">
        <v>0.90300000000000002</v>
      </c>
      <c r="O395">
        <v>9.7000000000000003E-2</v>
      </c>
    </row>
    <row r="396" spans="1:15" x14ac:dyDescent="0.2">
      <c r="A396" s="1" t="str">
        <f>HYPERLINK("http://www.twitter.com/banuakdenizli/status/1580087475728715776", "1580087475728715776")</f>
        <v>1580087475728715776</v>
      </c>
      <c r="B396" t="s">
        <v>15</v>
      </c>
      <c r="C396" s="2">
        <v>44846.282233796293</v>
      </c>
      <c r="D396">
        <v>0</v>
      </c>
      <c r="E396">
        <v>3</v>
      </c>
      <c r="F396" t="s">
        <v>16</v>
      </c>
      <c r="G396" t="s">
        <v>479</v>
      </c>
      <c r="H396" t="str">
        <f>HYPERLINK("https://video.twimg.com/ext_tw_video/1580087302839214080/pu/vid/720x720/_Tw0OOup3e9bLXrx.mp4?tag=12", "https://video.twimg.com/ext_tw_video/1580087302839214080/pu/vid/720x720/_Tw0OOup3e9bLXrx.mp4?tag=12")</f>
        <v>https://video.twimg.com/ext_tw_video/1580087302839214080/pu/vid/720x720/_Tw0OOup3e9bLXrx.mp4?tag=12</v>
      </c>
      <c r="L396">
        <v>-0.128</v>
      </c>
      <c r="M396">
        <v>7.6999999999999999E-2</v>
      </c>
      <c r="N396">
        <v>0.92300000000000004</v>
      </c>
      <c r="O396">
        <v>0</v>
      </c>
    </row>
    <row r="397" spans="1:15" x14ac:dyDescent="0.2">
      <c r="A397" s="1" t="str">
        <f>HYPERLINK("http://www.twitter.com/banuakdenizli/status/1580085863513366529", "1580085863513366529")</f>
        <v>1580085863513366529</v>
      </c>
      <c r="B397" t="s">
        <v>15</v>
      </c>
      <c r="C397" s="2">
        <v>44846.277789351851</v>
      </c>
      <c r="D397">
        <v>0</v>
      </c>
      <c r="E397">
        <v>3</v>
      </c>
      <c r="F397" t="s">
        <v>30</v>
      </c>
      <c r="G397" t="s">
        <v>480</v>
      </c>
      <c r="H397" t="str">
        <f>HYPERLINK("https://video.twimg.com/ext_tw_video/1580070023292387328/pu/vid/1280x720/9zwSYCeVm__WCG1j.mp4?tag=12", "https://video.twimg.com/ext_tw_video/1580070023292387328/pu/vid/1280x720/9zwSYCeVm__WCG1j.mp4?tag=12")</f>
        <v>https://video.twimg.com/ext_tw_video/1580070023292387328/pu/vid/1280x720/9zwSYCeVm__WCG1j.mp4?tag=12</v>
      </c>
      <c r="L397">
        <v>0.15110000000000001</v>
      </c>
      <c r="M397">
        <v>0</v>
      </c>
      <c r="N397">
        <v>0.96</v>
      </c>
      <c r="O397">
        <v>0.04</v>
      </c>
    </row>
    <row r="398" spans="1:15" x14ac:dyDescent="0.2">
      <c r="A398" s="1" t="str">
        <f>HYPERLINK("http://www.twitter.com/banuakdenizli/status/1580085533119692800", "1580085533119692800")</f>
        <v>1580085533119692800</v>
      </c>
      <c r="B398" t="s">
        <v>15</v>
      </c>
      <c r="C398" s="2">
        <v>44846.276875000003</v>
      </c>
      <c r="D398">
        <v>0</v>
      </c>
      <c r="E398">
        <v>1</v>
      </c>
      <c r="F398" t="s">
        <v>481</v>
      </c>
      <c r="G398" t="s">
        <v>482</v>
      </c>
      <c r="L398">
        <v>0</v>
      </c>
      <c r="M398">
        <v>0</v>
      </c>
      <c r="N398">
        <v>1</v>
      </c>
      <c r="O398">
        <v>0</v>
      </c>
    </row>
    <row r="399" spans="1:15" x14ac:dyDescent="0.2">
      <c r="A399" s="1" t="str">
        <f>HYPERLINK("http://www.twitter.com/banuakdenizli/status/1580081500594536449", "1580081500594536449")</f>
        <v>1580081500594536449</v>
      </c>
      <c r="B399" t="s">
        <v>15</v>
      </c>
      <c r="C399" s="2">
        <v>44846.265740740739</v>
      </c>
      <c r="D399">
        <v>0</v>
      </c>
      <c r="E399">
        <v>1</v>
      </c>
      <c r="F399" t="s">
        <v>30</v>
      </c>
      <c r="G399" t="s">
        <v>483</v>
      </c>
      <c r="H399" t="str">
        <f>HYPERLINK("https://video.twimg.com/ext_tw_video/1580068301417447430/pu/vid/1280x720/3_ImHlYtx7_P53i-.mp4?tag=12", "https://video.twimg.com/ext_tw_video/1580068301417447430/pu/vid/1280x720/3_ImHlYtx7_P53i-.mp4?tag=12")</f>
        <v>https://video.twimg.com/ext_tw_video/1580068301417447430/pu/vid/1280x720/3_ImHlYtx7_P53i-.mp4?tag=12</v>
      </c>
      <c r="L399">
        <v>0</v>
      </c>
      <c r="M399">
        <v>0</v>
      </c>
      <c r="N399">
        <v>1</v>
      </c>
      <c r="O399">
        <v>0</v>
      </c>
    </row>
    <row r="400" spans="1:15" x14ac:dyDescent="0.2">
      <c r="A400" s="1" t="str">
        <f>HYPERLINK("http://www.twitter.com/banuakdenizli/status/1580067459100725249", "1580067459100725249")</f>
        <v>1580067459100725249</v>
      </c>
      <c r="B400" t="s">
        <v>15</v>
      </c>
      <c r="C400" s="2">
        <v>44846.227002314823</v>
      </c>
      <c r="D400">
        <v>0</v>
      </c>
      <c r="E400">
        <v>5</v>
      </c>
      <c r="F400" t="s">
        <v>484</v>
      </c>
      <c r="G400" t="s">
        <v>485</v>
      </c>
      <c r="H400" t="str">
        <f>HYPERLINK("https://video.twimg.com/ext_tw_video/1579885330303488005/pu/vid/848x480/8GRKTbIBm7VQf6HH.mp4?tag=12", "https://video.twimg.com/ext_tw_video/1579885330303488005/pu/vid/848x480/8GRKTbIBm7VQf6HH.mp4?tag=12")</f>
        <v>https://video.twimg.com/ext_tw_video/1579885330303488005/pu/vid/848x480/8GRKTbIBm7VQf6HH.mp4?tag=12</v>
      </c>
      <c r="L400">
        <v>0</v>
      </c>
      <c r="M400">
        <v>0</v>
      </c>
      <c r="N400">
        <v>1</v>
      </c>
      <c r="O400">
        <v>0</v>
      </c>
    </row>
    <row r="401" spans="1:15" x14ac:dyDescent="0.2">
      <c r="A401" s="1" t="str">
        <f>HYPERLINK("http://www.twitter.com/banuakdenizli/status/1579882367824859136", "1579882367824859136")</f>
        <v>1579882367824859136</v>
      </c>
      <c r="B401" t="s">
        <v>15</v>
      </c>
      <c r="C401" s="2">
        <v>44845.716238425928</v>
      </c>
      <c r="D401">
        <v>0</v>
      </c>
      <c r="E401">
        <v>34</v>
      </c>
      <c r="F401" t="s">
        <v>19</v>
      </c>
      <c r="G401" t="s">
        <v>486</v>
      </c>
      <c r="H401" t="str">
        <f>HYPERLINK("http://pbs.twimg.com/media/Fey7MraWIAEBjl5.jpg", "http://pbs.twimg.com/media/Fey7MraWIAEBjl5.jpg")</f>
        <v>http://pbs.twimg.com/media/Fey7MraWIAEBjl5.jpg</v>
      </c>
      <c r="L401">
        <v>-0.29599999999999999</v>
      </c>
      <c r="M401">
        <v>9.5000000000000001E-2</v>
      </c>
      <c r="N401">
        <v>0.90500000000000003</v>
      </c>
      <c r="O401">
        <v>0</v>
      </c>
    </row>
    <row r="402" spans="1:15" x14ac:dyDescent="0.2">
      <c r="A402" s="1" t="str">
        <f>HYPERLINK("http://www.twitter.com/banuakdenizli/status/1579837476708880389", "1579837476708880389")</f>
        <v>1579837476708880389</v>
      </c>
      <c r="B402" t="s">
        <v>15</v>
      </c>
      <c r="C402" s="2">
        <v>44845.592372685183</v>
      </c>
      <c r="D402">
        <v>0</v>
      </c>
      <c r="E402">
        <v>3</v>
      </c>
      <c r="F402" t="s">
        <v>30</v>
      </c>
      <c r="G402" t="s">
        <v>487</v>
      </c>
      <c r="H402" t="str">
        <f>HYPERLINK("http://pbs.twimg.com/media/Feyo76hWYAcjgCm.jpg", "http://pbs.twimg.com/media/Feyo76hWYAcjgCm.jpg")</f>
        <v>http://pbs.twimg.com/media/Feyo76hWYAcjgCm.jpg</v>
      </c>
      <c r="L402">
        <v>0.80159999999999998</v>
      </c>
      <c r="M402">
        <v>0</v>
      </c>
      <c r="N402">
        <v>0.81</v>
      </c>
      <c r="O402">
        <v>0.19</v>
      </c>
    </row>
    <row r="403" spans="1:15" x14ac:dyDescent="0.2">
      <c r="A403" s="1" t="str">
        <f>HYPERLINK("http://www.twitter.com/banuakdenizli/status/1579818429565243392", "1579818429565243392")</f>
        <v>1579818429565243392</v>
      </c>
      <c r="B403" t="s">
        <v>15</v>
      </c>
      <c r="C403" s="2">
        <v>44845.539803240739</v>
      </c>
      <c r="D403">
        <v>0</v>
      </c>
      <c r="E403">
        <v>1</v>
      </c>
      <c r="F403" t="s">
        <v>433</v>
      </c>
      <c r="G403" t="s">
        <v>488</v>
      </c>
      <c r="L403">
        <v>0</v>
      </c>
      <c r="M403">
        <v>0</v>
      </c>
      <c r="N403">
        <v>1</v>
      </c>
      <c r="O403">
        <v>0</v>
      </c>
    </row>
    <row r="404" spans="1:15" x14ac:dyDescent="0.2">
      <c r="A404" s="1" t="str">
        <f>HYPERLINK("http://www.twitter.com/banuakdenizli/status/1579459493892886529", "1579459493892886529")</f>
        <v>1579459493892886529</v>
      </c>
      <c r="B404" t="s">
        <v>15</v>
      </c>
      <c r="C404" s="2">
        <v>44844.549328703702</v>
      </c>
      <c r="D404">
        <v>4</v>
      </c>
      <c r="E404">
        <v>0</v>
      </c>
      <c r="G404" t="s">
        <v>489</v>
      </c>
      <c r="H404" t="str">
        <f>HYPERLINK("http://pbs.twimg.com/media/FeteCNVWIAciW-0.jpg", "http://pbs.twimg.com/media/FeteCNVWIAciW-0.jpg")</f>
        <v>http://pbs.twimg.com/media/FeteCNVWIAciW-0.jpg</v>
      </c>
      <c r="I404" t="str">
        <f>HYPERLINK("http://pbs.twimg.com/media/FeteCNSX0AAt9db.jpg", "http://pbs.twimg.com/media/FeteCNSX0AAt9db.jpg")</f>
        <v>http://pbs.twimg.com/media/FeteCNSX0AAt9db.jpg</v>
      </c>
      <c r="J404" t="str">
        <f>HYPERLINK("http://pbs.twimg.com/media/FeteCNRWAAAP0tR.jpg", "http://pbs.twimg.com/media/FeteCNRWAAAP0tR.jpg")</f>
        <v>http://pbs.twimg.com/media/FeteCNRWAAAP0tR.jpg</v>
      </c>
      <c r="L404">
        <v>0</v>
      </c>
      <c r="M404">
        <v>0</v>
      </c>
      <c r="N404">
        <v>1</v>
      </c>
      <c r="O404">
        <v>0</v>
      </c>
    </row>
    <row r="405" spans="1:15" x14ac:dyDescent="0.2">
      <c r="A405" s="1" t="str">
        <f>HYPERLINK("http://www.twitter.com/banuakdenizli/status/1579457566601809921", "1579457566601809921")</f>
        <v>1579457566601809921</v>
      </c>
      <c r="B405" t="s">
        <v>15</v>
      </c>
      <c r="C405" s="2">
        <v>44844.544016203698</v>
      </c>
      <c r="D405">
        <v>1</v>
      </c>
      <c r="E405">
        <v>0</v>
      </c>
      <c r="G405" t="s">
        <v>490</v>
      </c>
      <c r="H405" t="str">
        <f>HYPERLINK("http://pbs.twimg.com/media/FetcRqCX0Acl7BA.jpg", "http://pbs.twimg.com/media/FetcRqCX0Acl7BA.jpg")</f>
        <v>http://pbs.twimg.com/media/FetcRqCX0Acl7BA.jpg</v>
      </c>
      <c r="L405">
        <v>0</v>
      </c>
      <c r="M405">
        <v>0</v>
      </c>
      <c r="N405">
        <v>1</v>
      </c>
      <c r="O405">
        <v>0</v>
      </c>
    </row>
    <row r="406" spans="1:15" x14ac:dyDescent="0.2">
      <c r="A406" s="1" t="str">
        <f>HYPERLINK("http://www.twitter.com/banuakdenizli/status/1579447903516786689", "1579447903516786689")</f>
        <v>1579447903516786689</v>
      </c>
      <c r="B406" t="s">
        <v>15</v>
      </c>
      <c r="C406" s="2">
        <v>44844.51734953704</v>
      </c>
      <c r="D406">
        <v>0</v>
      </c>
      <c r="E406">
        <v>1</v>
      </c>
      <c r="F406" t="s">
        <v>491</v>
      </c>
      <c r="G406" t="s">
        <v>492</v>
      </c>
      <c r="H406" t="str">
        <f>HYPERLINK("http://pbs.twimg.com/media/FetSsF8XoAA9L26.jpg", "http://pbs.twimg.com/media/FetSsF8XoAA9L26.jpg")</f>
        <v>http://pbs.twimg.com/media/FetSsF8XoAA9L26.jpg</v>
      </c>
      <c r="I406" t="str">
        <f>HYPERLINK("http://pbs.twimg.com/media/FetSs1WXgAIQK2T.jpg", "http://pbs.twimg.com/media/FetSs1WXgAIQK2T.jpg")</f>
        <v>http://pbs.twimg.com/media/FetSs1WXgAIQK2T.jpg</v>
      </c>
      <c r="J406" t="str">
        <f>HYPERLINK("http://pbs.twimg.com/media/FetStyaWAAA9xEh.jpg", "http://pbs.twimg.com/media/FetStyaWAAA9xEh.jpg")</f>
        <v>http://pbs.twimg.com/media/FetStyaWAAA9xEh.jpg</v>
      </c>
      <c r="K406" t="str">
        <f>HYPERLINK("http://pbs.twimg.com/media/FetSuPOWQAEU7Ut.jpg", "http://pbs.twimg.com/media/FetSuPOWQAEU7Ut.jpg")</f>
        <v>http://pbs.twimg.com/media/FetSuPOWQAEU7Ut.jpg</v>
      </c>
      <c r="L406">
        <v>0.9153</v>
      </c>
      <c r="M406">
        <v>0</v>
      </c>
      <c r="N406">
        <v>0.74299999999999999</v>
      </c>
      <c r="O406">
        <v>0.25700000000000001</v>
      </c>
    </row>
    <row r="407" spans="1:15" x14ac:dyDescent="0.2">
      <c r="A407" s="1" t="str">
        <f>HYPERLINK("http://www.twitter.com/banuakdenizli/status/1579446265989201923", "1579446265989201923")</f>
        <v>1579446265989201923</v>
      </c>
      <c r="B407" t="s">
        <v>15</v>
      </c>
      <c r="C407" s="2">
        <v>44844.512835648151</v>
      </c>
      <c r="D407">
        <v>8</v>
      </c>
      <c r="E407">
        <v>0</v>
      </c>
      <c r="G407" t="s">
        <v>493</v>
      </c>
      <c r="H407" t="str">
        <f>HYPERLINK("http://pbs.twimg.com/media/FetSAMTXkAIihld.jpg", "http://pbs.twimg.com/media/FetSAMTXkAIihld.jpg")</f>
        <v>http://pbs.twimg.com/media/FetSAMTXkAIihld.jpg</v>
      </c>
      <c r="I407" t="str">
        <f>HYPERLINK("http://pbs.twimg.com/media/FetSAMNWAAAEtMy.jpg", "http://pbs.twimg.com/media/FetSAMNWAAAEtMy.jpg")</f>
        <v>http://pbs.twimg.com/media/FetSAMNWAAAEtMy.jpg</v>
      </c>
      <c r="J407" t="str">
        <f>HYPERLINK("http://pbs.twimg.com/media/FetSAMPWAAAvA5g.jpg", "http://pbs.twimg.com/media/FetSAMPWAAAvA5g.jpg")</f>
        <v>http://pbs.twimg.com/media/FetSAMPWAAAvA5g.jpg</v>
      </c>
      <c r="K407" t="str">
        <f>HYPERLINK("http://pbs.twimg.com/media/FetSAMOXkAYbQ3h.jpg", "http://pbs.twimg.com/media/FetSAMOXkAYbQ3h.jpg")</f>
        <v>http://pbs.twimg.com/media/FetSAMOXkAYbQ3h.jpg</v>
      </c>
      <c r="L407">
        <v>0</v>
      </c>
      <c r="M407">
        <v>0</v>
      </c>
      <c r="N407">
        <v>1</v>
      </c>
      <c r="O407">
        <v>0</v>
      </c>
    </row>
    <row r="408" spans="1:15" x14ac:dyDescent="0.2">
      <c r="A408" s="1" t="str">
        <f>HYPERLINK("http://www.twitter.com/banuakdenizli/status/1579444529098559488", "1579444529098559488")</f>
        <v>1579444529098559488</v>
      </c>
      <c r="B408" t="s">
        <v>15</v>
      </c>
      <c r="C408" s="2">
        <v>44844.508043981477</v>
      </c>
      <c r="D408">
        <v>9</v>
      </c>
      <c r="E408">
        <v>1</v>
      </c>
      <c r="G408" t="s">
        <v>494</v>
      </c>
      <c r="H408" t="str">
        <f>HYPERLINK("http://pbs.twimg.com/media/FetQaMlXwAAGDwF.jpg", "http://pbs.twimg.com/media/FetQaMlXwAAGDwF.jpg")</f>
        <v>http://pbs.twimg.com/media/FetQaMlXwAAGDwF.jpg</v>
      </c>
      <c r="I408" t="str">
        <f>HYPERLINK("http://pbs.twimg.com/media/FetQQ6JXoAA_X4A.jpg", "http://pbs.twimg.com/media/FetQQ6JXoAA_X4A.jpg")</f>
        <v>http://pbs.twimg.com/media/FetQQ6JXoAA_X4A.jpg</v>
      </c>
      <c r="J408" t="str">
        <f>HYPERLINK("http://pbs.twimg.com/media/FetQJHsXgAI6hgq.jpg", "http://pbs.twimg.com/media/FetQJHsXgAI6hgq.jpg")</f>
        <v>http://pbs.twimg.com/media/FetQJHsXgAI6hgq.jpg</v>
      </c>
      <c r="L408">
        <v>0</v>
      </c>
      <c r="M408">
        <v>0</v>
      </c>
      <c r="N408">
        <v>1</v>
      </c>
      <c r="O408">
        <v>0</v>
      </c>
    </row>
    <row r="409" spans="1:15" x14ac:dyDescent="0.2">
      <c r="A409" s="1" t="str">
        <f>HYPERLINK("http://www.twitter.com/banuakdenizli/status/1579443249089249285", "1579443249089249285")</f>
        <v>1579443249089249285</v>
      </c>
      <c r="B409" t="s">
        <v>15</v>
      </c>
      <c r="C409" s="2">
        <v>44844.504502314812</v>
      </c>
      <c r="D409">
        <v>23</v>
      </c>
      <c r="E409">
        <v>2</v>
      </c>
      <c r="G409" t="s">
        <v>495</v>
      </c>
      <c r="H409" t="str">
        <f>HYPERLINK("http://pbs.twimg.com/media/FetPBhuWIAIYhHX.jpg", "http://pbs.twimg.com/media/FetPBhuWIAIYhHX.jpg")</f>
        <v>http://pbs.twimg.com/media/FetPBhuWIAIYhHX.jpg</v>
      </c>
      <c r="L409">
        <v>2.58E-2</v>
      </c>
      <c r="M409">
        <v>0</v>
      </c>
      <c r="N409">
        <v>0.97399999999999998</v>
      </c>
      <c r="O409">
        <v>2.5999999999999999E-2</v>
      </c>
    </row>
    <row r="410" spans="1:15" x14ac:dyDescent="0.2">
      <c r="A410" s="1" t="str">
        <f>HYPERLINK("http://www.twitter.com/banuakdenizli/status/1579442518210785284", "1579442518210785284")</f>
        <v>1579442518210785284</v>
      </c>
      <c r="B410" t="s">
        <v>15</v>
      </c>
      <c r="C410" s="2">
        <v>44844.502488425933</v>
      </c>
      <c r="D410">
        <v>7</v>
      </c>
      <c r="E410">
        <v>2</v>
      </c>
      <c r="G410" t="s">
        <v>496</v>
      </c>
      <c r="H410" t="str">
        <f>HYPERLINK("http://pbs.twimg.com/media/FetNhXgXkAIJ5H0.jpg", "http://pbs.twimg.com/media/FetNhXgXkAIJ5H0.jpg")</f>
        <v>http://pbs.twimg.com/media/FetNhXgXkAIJ5H0.jpg</v>
      </c>
      <c r="I410" t="str">
        <f>HYPERLINK("http://pbs.twimg.com/media/FetNhdZXEAAVMub.jpg", "http://pbs.twimg.com/media/FetNhdZXEAAVMub.jpg")</f>
        <v>http://pbs.twimg.com/media/FetNhdZXEAAVMub.jpg</v>
      </c>
      <c r="J410" t="str">
        <f>HYPERLINK("http://pbs.twimg.com/media/FetNhcxWAAIZPCF.jpg", "http://pbs.twimg.com/media/FetNhcxWAAIZPCF.jpg")</f>
        <v>http://pbs.twimg.com/media/FetNhcxWAAIZPCF.jpg</v>
      </c>
      <c r="K410" t="str">
        <f>HYPERLINK("http://pbs.twimg.com/media/FetNhfZWIAEdTKN.jpg", "http://pbs.twimg.com/media/FetNhfZWIAEdTKN.jpg")</f>
        <v>http://pbs.twimg.com/media/FetNhfZWIAEdTKN.jpg</v>
      </c>
      <c r="L410">
        <v>0</v>
      </c>
      <c r="M410">
        <v>0</v>
      </c>
      <c r="N410">
        <v>1</v>
      </c>
      <c r="O410">
        <v>0</v>
      </c>
    </row>
    <row r="411" spans="1:15" x14ac:dyDescent="0.2">
      <c r="A411" s="1" t="str">
        <f>HYPERLINK("http://www.twitter.com/banuakdenizli/status/1579047721750519809", "1579047721750519809")</f>
        <v>1579047721750519809</v>
      </c>
      <c r="B411" t="s">
        <v>15</v>
      </c>
      <c r="C411" s="2">
        <v>44843.413055555553</v>
      </c>
      <c r="D411">
        <v>2</v>
      </c>
      <c r="E411">
        <v>3</v>
      </c>
      <c r="G411" t="s">
        <v>497</v>
      </c>
      <c r="H411" t="str">
        <f>HYPERLINK("http://pbs.twimg.com/media/Fennh98WQAAH_gb.jpg", "http://pbs.twimg.com/media/Fennh98WQAAH_gb.jpg")</f>
        <v>http://pbs.twimg.com/media/Fennh98WQAAH_gb.jpg</v>
      </c>
      <c r="L411">
        <v>0</v>
      </c>
      <c r="M411">
        <v>0</v>
      </c>
      <c r="N411">
        <v>1</v>
      </c>
      <c r="O411">
        <v>0</v>
      </c>
    </row>
    <row r="412" spans="1:15" x14ac:dyDescent="0.2">
      <c r="A412" s="1" t="str">
        <f>HYPERLINK("http://www.twitter.com/banuakdenizli/status/1579046356022591490", "1579046356022591490")</f>
        <v>1579046356022591490</v>
      </c>
      <c r="B412" t="s">
        <v>15</v>
      </c>
      <c r="C412" s="2">
        <v>44843.40929398148</v>
      </c>
      <c r="D412">
        <v>14</v>
      </c>
      <c r="E412">
        <v>6</v>
      </c>
      <c r="G412" t="s">
        <v>498</v>
      </c>
      <c r="H412" t="str">
        <f>HYPERLINK("http://pbs.twimg.com/media/FenmSejXoAIsu4J.jpg", "http://pbs.twimg.com/media/FenmSejXoAIsu4J.jpg")</f>
        <v>http://pbs.twimg.com/media/FenmSejXoAIsu4J.jpg</v>
      </c>
      <c r="L412">
        <v>0</v>
      </c>
      <c r="M412">
        <v>0</v>
      </c>
      <c r="N412">
        <v>1</v>
      </c>
      <c r="O412">
        <v>0</v>
      </c>
    </row>
    <row r="413" spans="1:15" x14ac:dyDescent="0.2">
      <c r="A413" s="1" t="str">
        <f>HYPERLINK("http://www.twitter.com/banuakdenizli/status/1578068501692039169", "1578068501692039169")</f>
        <v>1578068501692039169</v>
      </c>
      <c r="B413" t="s">
        <v>15</v>
      </c>
      <c r="C413" s="2">
        <v>44840.710925925923</v>
      </c>
      <c r="D413">
        <v>0</v>
      </c>
      <c r="E413">
        <v>12545</v>
      </c>
      <c r="F413" t="s">
        <v>499</v>
      </c>
      <c r="G413" t="s">
        <v>500</v>
      </c>
      <c r="H413" t="str">
        <f>HYPERLINK("http://pbs.twimg.com/media/FeYZG8tXoAAihcJ.jpg", "http://pbs.twimg.com/media/FeYZG8tXoAAihcJ.jpg")</f>
        <v>http://pbs.twimg.com/media/FeYZG8tXoAAihcJ.jpg</v>
      </c>
      <c r="L413">
        <v>0.70960000000000001</v>
      </c>
      <c r="M413">
        <v>0</v>
      </c>
      <c r="N413">
        <v>0.84799999999999998</v>
      </c>
      <c r="O413">
        <v>0.152</v>
      </c>
    </row>
    <row r="414" spans="1:15" x14ac:dyDescent="0.2">
      <c r="A414" s="1" t="str">
        <f>HYPERLINK("http://www.twitter.com/banuakdenizli/status/1578008641218572288", "1578008641218572288")</f>
        <v>1578008641218572288</v>
      </c>
      <c r="B414" t="s">
        <v>15</v>
      </c>
      <c r="C414" s="2">
        <v>44840.545740740738</v>
      </c>
      <c r="D414">
        <v>38</v>
      </c>
      <c r="E414">
        <v>18</v>
      </c>
      <c r="G414" t="s">
        <v>501</v>
      </c>
      <c r="H414" t="str">
        <f>HYPERLINK("https://video.twimg.com/ext_tw_video/1578008515335045122/pu/vid/720x720/jMdyVtLxLid9n9za.mp4?tag=12", "https://video.twimg.com/ext_tw_video/1578008515335045122/pu/vid/720x720/jMdyVtLxLid9n9za.mp4?tag=12")</f>
        <v>https://video.twimg.com/ext_tw_video/1578008515335045122/pu/vid/720x720/jMdyVtLxLid9n9za.mp4?tag=12</v>
      </c>
      <c r="L414">
        <v>0</v>
      </c>
      <c r="M414">
        <v>0</v>
      </c>
      <c r="N414">
        <v>1</v>
      </c>
      <c r="O414">
        <v>0</v>
      </c>
    </row>
    <row r="415" spans="1:15" x14ac:dyDescent="0.2">
      <c r="A415" s="1" t="str">
        <f>HYPERLINK("http://www.twitter.com/banuakdenizli/status/1578000827716878337", "1578000827716878337")</f>
        <v>1578000827716878337</v>
      </c>
      <c r="B415" t="s">
        <v>15</v>
      </c>
      <c r="C415" s="2">
        <v>44840.524178240739</v>
      </c>
      <c r="D415">
        <v>13</v>
      </c>
      <c r="E415">
        <v>6</v>
      </c>
      <c r="G415" t="s">
        <v>502</v>
      </c>
      <c r="H415" t="str">
        <f>HYPERLINK("http://pbs.twimg.com/media/FeYvYuYX0AAfzgt.jpg", "http://pbs.twimg.com/media/FeYvYuYX0AAfzgt.jpg")</f>
        <v>http://pbs.twimg.com/media/FeYvYuYX0AAfzgt.jpg</v>
      </c>
      <c r="L415">
        <v>0.50929999999999997</v>
      </c>
      <c r="M415">
        <v>0</v>
      </c>
      <c r="N415">
        <v>0.90100000000000002</v>
      </c>
      <c r="O415">
        <v>9.9000000000000005E-2</v>
      </c>
    </row>
    <row r="416" spans="1:15" x14ac:dyDescent="0.2">
      <c r="A416" s="1" t="str">
        <f>HYPERLINK("http://www.twitter.com/banuakdenizli/status/1577562310318735360", "1577562310318735360")</f>
        <v>1577562310318735360</v>
      </c>
      <c r="B416" t="s">
        <v>15</v>
      </c>
      <c r="C416" s="2">
        <v>44839.314108796287</v>
      </c>
      <c r="D416">
        <v>0</v>
      </c>
      <c r="E416">
        <v>2</v>
      </c>
      <c r="F416" t="s">
        <v>30</v>
      </c>
      <c r="G416" t="s">
        <v>503</v>
      </c>
      <c r="H416" t="str">
        <f>HYPERLINK("http://pbs.twimg.com/media/FeSenDRWQAIemDD.jpg", "http://pbs.twimg.com/media/FeSenDRWQAIemDD.jpg")</f>
        <v>http://pbs.twimg.com/media/FeSenDRWQAIemDD.jpg</v>
      </c>
      <c r="L416">
        <v>0</v>
      </c>
      <c r="M416">
        <v>0</v>
      </c>
      <c r="N416">
        <v>1</v>
      </c>
      <c r="O416">
        <v>0</v>
      </c>
    </row>
    <row r="417" spans="1:15" x14ac:dyDescent="0.2">
      <c r="A417" s="1" t="str">
        <f>HYPERLINK("http://www.twitter.com/banuakdenizli/status/1577316783429718017", "1577316783429718017")</f>
        <v>1577316783429718017</v>
      </c>
      <c r="B417" t="s">
        <v>15</v>
      </c>
      <c r="C417" s="2">
        <v>44838.636574074073</v>
      </c>
      <c r="D417">
        <v>0</v>
      </c>
      <c r="E417">
        <v>8</v>
      </c>
      <c r="F417" t="s">
        <v>504</v>
      </c>
      <c r="G417" t="s">
        <v>505</v>
      </c>
      <c r="H417" t="str">
        <f>HYPERLINK("https://video.twimg.com/ext_tw_video/1577238554224246784/pu/vid/1280x720/6iRc2CE3uJAglap9.mp4?tag=12", "https://video.twimg.com/ext_tw_video/1577238554224246784/pu/vid/1280x720/6iRc2CE3uJAglap9.mp4?tag=12")</f>
        <v>https://video.twimg.com/ext_tw_video/1577238554224246784/pu/vid/1280x720/6iRc2CE3uJAglap9.mp4?tag=12</v>
      </c>
      <c r="L417">
        <v>0</v>
      </c>
      <c r="M417">
        <v>0</v>
      </c>
      <c r="N417">
        <v>1</v>
      </c>
      <c r="O417">
        <v>0</v>
      </c>
    </row>
    <row r="418" spans="1:15" x14ac:dyDescent="0.2">
      <c r="A418" s="1" t="str">
        <f>HYPERLINK("http://www.twitter.com/banuakdenizli/status/1577314121892110340", "1577314121892110340")</f>
        <v>1577314121892110340</v>
      </c>
      <c r="B418" t="s">
        <v>15</v>
      </c>
      <c r="C418" s="2">
        <v>44838.629236111112</v>
      </c>
      <c r="D418">
        <v>0</v>
      </c>
      <c r="E418">
        <v>1</v>
      </c>
      <c r="F418" t="s">
        <v>78</v>
      </c>
      <c r="G418" t="s">
        <v>506</v>
      </c>
      <c r="H418" t="str">
        <f>HYPERLINK("https://video.twimg.com/ext_tw_video/1577250609748656128/pu/vid/1280x720/vkXFZ0PLQCtt8ct6.mp4?tag=12", "https://video.twimg.com/ext_tw_video/1577250609748656128/pu/vid/1280x720/vkXFZ0PLQCtt8ct6.mp4?tag=12")</f>
        <v>https://video.twimg.com/ext_tw_video/1577250609748656128/pu/vid/1280x720/vkXFZ0PLQCtt8ct6.mp4?tag=12</v>
      </c>
      <c r="L418">
        <v>0</v>
      </c>
      <c r="M418">
        <v>0</v>
      </c>
      <c r="N418">
        <v>1</v>
      </c>
      <c r="O418">
        <v>0</v>
      </c>
    </row>
    <row r="419" spans="1:15" x14ac:dyDescent="0.2">
      <c r="A419" s="1" t="str">
        <f>HYPERLINK("http://www.twitter.com/banuakdenizli/status/1577314103474913282", "1577314103474913282")</f>
        <v>1577314103474913282</v>
      </c>
      <c r="B419" t="s">
        <v>15</v>
      </c>
      <c r="C419" s="2">
        <v>44838.629189814812</v>
      </c>
      <c r="D419">
        <v>0</v>
      </c>
      <c r="E419">
        <v>3</v>
      </c>
      <c r="F419" t="s">
        <v>384</v>
      </c>
      <c r="G419" t="s">
        <v>507</v>
      </c>
      <c r="H419" t="str">
        <f>HYPERLINK("http://pbs.twimg.com/media/FeN-1l3WQAI1_J8.jpg", "http://pbs.twimg.com/media/FeN-1l3WQAI1_J8.jpg")</f>
        <v>http://pbs.twimg.com/media/FeN-1l3WQAI1_J8.jpg</v>
      </c>
      <c r="L419">
        <v>0</v>
      </c>
      <c r="M419">
        <v>0</v>
      </c>
      <c r="N419">
        <v>1</v>
      </c>
      <c r="O419">
        <v>0</v>
      </c>
    </row>
    <row r="420" spans="1:15" x14ac:dyDescent="0.2">
      <c r="A420" s="1" t="str">
        <f>HYPERLINK("http://www.twitter.com/banuakdenizli/status/1577138545000873984", "1577138545000873984")</f>
        <v>1577138545000873984</v>
      </c>
      <c r="B420" t="s">
        <v>15</v>
      </c>
      <c r="C420" s="2">
        <v>44838.144733796304</v>
      </c>
      <c r="D420">
        <v>0</v>
      </c>
      <c r="E420">
        <v>3</v>
      </c>
      <c r="F420" t="s">
        <v>144</v>
      </c>
      <c r="G420" t="s">
        <v>508</v>
      </c>
      <c r="H420" t="str">
        <f>HYPERLINK("http://pbs.twimg.com/media/FeJBwd4XEAI4-HI.jpg", "http://pbs.twimg.com/media/FeJBwd4XEAI4-HI.jpg")</f>
        <v>http://pbs.twimg.com/media/FeJBwd4XEAI4-HI.jpg</v>
      </c>
      <c r="L420">
        <v>0.62490000000000001</v>
      </c>
      <c r="M420">
        <v>0</v>
      </c>
      <c r="N420">
        <v>0.90500000000000003</v>
      </c>
      <c r="O420">
        <v>9.5000000000000001E-2</v>
      </c>
    </row>
    <row r="421" spans="1:15" x14ac:dyDescent="0.2">
      <c r="A421" s="1" t="str">
        <f>HYPERLINK("http://www.twitter.com/banuakdenizli/status/1577010262904709120", "1577010262904709120")</f>
        <v>1577010262904709120</v>
      </c>
      <c r="B421" t="s">
        <v>15</v>
      </c>
      <c r="C421" s="2">
        <v>44837.79074074074</v>
      </c>
      <c r="D421">
        <v>9</v>
      </c>
      <c r="E421">
        <v>6</v>
      </c>
      <c r="G421" t="s">
        <v>509</v>
      </c>
      <c r="L421">
        <v>0.4753</v>
      </c>
      <c r="M421">
        <v>0</v>
      </c>
      <c r="N421">
        <v>0.89400000000000002</v>
      </c>
      <c r="O421">
        <v>0.106</v>
      </c>
    </row>
    <row r="422" spans="1:15" x14ac:dyDescent="0.2">
      <c r="A422" s="1" t="str">
        <f>HYPERLINK("http://www.twitter.com/banuakdenizli/status/1577007076416450560", "1577007076416450560")</f>
        <v>1577007076416450560</v>
      </c>
      <c r="B422" t="s">
        <v>15</v>
      </c>
      <c r="C422" s="2">
        <v>44837.781956018523</v>
      </c>
      <c r="D422">
        <v>0</v>
      </c>
      <c r="E422">
        <v>1</v>
      </c>
      <c r="F422" t="s">
        <v>30</v>
      </c>
      <c r="G422" t="s">
        <v>510</v>
      </c>
      <c r="H422" t="str">
        <f>HYPERLINK("https://video.twimg.com/ext_tw_video/1576908912799977477/pu/vid/720x720/TeGjGshnDa6gLaT8.mp4?tag=12", "https://video.twimg.com/ext_tw_video/1576908912799977477/pu/vid/720x720/TeGjGshnDa6gLaT8.mp4?tag=12")</f>
        <v>https://video.twimg.com/ext_tw_video/1576908912799977477/pu/vid/720x720/TeGjGshnDa6gLaT8.mp4?tag=12</v>
      </c>
      <c r="L422">
        <v>0</v>
      </c>
      <c r="M422">
        <v>0</v>
      </c>
      <c r="N422">
        <v>1</v>
      </c>
      <c r="O422">
        <v>0</v>
      </c>
    </row>
    <row r="423" spans="1:15" x14ac:dyDescent="0.2">
      <c r="A423" s="1" t="str">
        <f>HYPERLINK("http://www.twitter.com/banuakdenizli/status/1577007061883551744", "1577007061883551744")</f>
        <v>1577007061883551744</v>
      </c>
      <c r="B423" t="s">
        <v>15</v>
      </c>
      <c r="C423" s="2">
        <v>44837.781909722216</v>
      </c>
      <c r="D423">
        <v>0</v>
      </c>
      <c r="E423">
        <v>2</v>
      </c>
      <c r="F423" t="s">
        <v>30</v>
      </c>
      <c r="G423" t="s">
        <v>511</v>
      </c>
      <c r="H423" t="str">
        <f>HYPERLINK("https://video.twimg.com/ext_tw_video/1576911202059534336/pu/vid/720x720/yzXFvdOPWvhII4cP.mp4?tag=12", "https://video.twimg.com/ext_tw_video/1576911202059534336/pu/vid/720x720/yzXFvdOPWvhII4cP.mp4?tag=12")</f>
        <v>https://video.twimg.com/ext_tw_video/1576911202059534336/pu/vid/720x720/yzXFvdOPWvhII4cP.mp4?tag=12</v>
      </c>
      <c r="L423">
        <v>0.81179999999999997</v>
      </c>
      <c r="M423">
        <v>0</v>
      </c>
      <c r="N423">
        <v>0.81899999999999995</v>
      </c>
      <c r="O423">
        <v>0.18099999999999999</v>
      </c>
    </row>
    <row r="424" spans="1:15" x14ac:dyDescent="0.2">
      <c r="A424" s="1" t="str">
        <f>HYPERLINK("http://www.twitter.com/banuakdenizli/status/1576920297780826114", "1576920297780826114")</f>
        <v>1576920297780826114</v>
      </c>
      <c r="B424" t="s">
        <v>15</v>
      </c>
      <c r="C424" s="2">
        <v>44837.542488425926</v>
      </c>
      <c r="D424">
        <v>35</v>
      </c>
      <c r="E424">
        <v>18</v>
      </c>
      <c r="G424" t="s">
        <v>512</v>
      </c>
      <c r="H424" t="str">
        <f>HYPERLINK("https://video.twimg.com/ext_tw_video/1576920257016594432/pu/vid/480x480/thrc4QNyhxgN5ssr.mp4?tag=12", "https://video.twimg.com/ext_tw_video/1576920257016594432/pu/vid/480x480/thrc4QNyhxgN5ssr.mp4?tag=12")</f>
        <v>https://video.twimg.com/ext_tw_video/1576920257016594432/pu/vid/480x480/thrc4QNyhxgN5ssr.mp4?tag=12</v>
      </c>
      <c r="L424">
        <v>0</v>
      </c>
      <c r="M424">
        <v>0</v>
      </c>
      <c r="N424">
        <v>1</v>
      </c>
      <c r="O424">
        <v>0</v>
      </c>
    </row>
    <row r="425" spans="1:15" x14ac:dyDescent="0.2">
      <c r="A425" s="1" t="str">
        <f>HYPERLINK("http://www.twitter.com/banuakdenizli/status/1576912991248793602", "1576912991248793602")</f>
        <v>1576912991248793602</v>
      </c>
      <c r="B425" t="s">
        <v>15</v>
      </c>
      <c r="C425" s="2">
        <v>44837.522326388891</v>
      </c>
      <c r="D425">
        <v>0</v>
      </c>
      <c r="E425">
        <v>3</v>
      </c>
      <c r="F425" t="s">
        <v>25</v>
      </c>
      <c r="G425" t="s">
        <v>513</v>
      </c>
      <c r="H425" t="str">
        <f>HYPERLINK("http://pbs.twimg.com/media/FeI7ybYXEAAnRUX.jpg", "http://pbs.twimg.com/media/FeI7ybYXEAAnRUX.jpg")</f>
        <v>http://pbs.twimg.com/media/FeI7ybYXEAAnRUX.jpg</v>
      </c>
      <c r="I425" t="str">
        <f>HYPERLINK("http://pbs.twimg.com/media/FeI7ybbXgAAD_Ed.jpg", "http://pbs.twimg.com/media/FeI7ybbXgAAD_Ed.jpg")</f>
        <v>http://pbs.twimg.com/media/FeI7ybbXgAAD_Ed.jpg</v>
      </c>
      <c r="L425">
        <v>0.59940000000000004</v>
      </c>
      <c r="M425">
        <v>4.5999999999999999E-2</v>
      </c>
      <c r="N425">
        <v>0.82399999999999995</v>
      </c>
      <c r="O425">
        <v>0.13</v>
      </c>
    </row>
    <row r="426" spans="1:15" x14ac:dyDescent="0.2">
      <c r="A426" s="1" t="str">
        <f>HYPERLINK("http://www.twitter.com/banuakdenizli/status/1576587882344505347", "1576587882344505347")</f>
        <v>1576587882344505347</v>
      </c>
      <c r="B426" t="s">
        <v>15</v>
      </c>
      <c r="C426" s="2">
        <v>44836.625196759262</v>
      </c>
      <c r="D426">
        <v>4</v>
      </c>
      <c r="E426">
        <v>0</v>
      </c>
      <c r="G426" t="s">
        <v>514</v>
      </c>
      <c r="L426">
        <v>0</v>
      </c>
      <c r="M426">
        <v>0</v>
      </c>
      <c r="N426">
        <v>1</v>
      </c>
      <c r="O426">
        <v>0</v>
      </c>
    </row>
    <row r="427" spans="1:15" x14ac:dyDescent="0.2">
      <c r="A427" s="1" t="str">
        <f>HYPERLINK("http://www.twitter.com/banuakdenizli/status/1576478453657837568", "1576478453657837568")</f>
        <v>1576478453657837568</v>
      </c>
      <c r="B427" t="s">
        <v>15</v>
      </c>
      <c r="C427" s="2">
        <v>44836.323229166657</v>
      </c>
      <c r="D427">
        <v>0</v>
      </c>
      <c r="E427">
        <v>0</v>
      </c>
      <c r="G427" t="s">
        <v>515</v>
      </c>
      <c r="L427">
        <v>0</v>
      </c>
      <c r="M427">
        <v>0</v>
      </c>
      <c r="N427">
        <v>1</v>
      </c>
      <c r="O427">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2023-03-27T09:45:47Z</dcterms:created>
  <dcterms:modified xsi:type="dcterms:W3CDTF">2023-04-03T11:51:10Z</dcterms:modified>
</cp:coreProperties>
</file>