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27E59409-9931-0246-A4BF-C9D3B26AF5D2}"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4" i="1" l="1"/>
  <c r="A444" i="1"/>
  <c r="H443" i="1"/>
  <c r="A443" i="1"/>
  <c r="K442" i="1"/>
  <c r="J442" i="1"/>
  <c r="I442" i="1"/>
  <c r="H442" i="1"/>
  <c r="A442" i="1"/>
  <c r="H441" i="1"/>
  <c r="A441" i="1"/>
  <c r="J440" i="1"/>
  <c r="I440" i="1"/>
  <c r="H440" i="1"/>
  <c r="A440" i="1"/>
  <c r="H439" i="1"/>
  <c r="A439" i="1"/>
  <c r="A438" i="1"/>
  <c r="H437" i="1"/>
  <c r="A437" i="1"/>
  <c r="H436" i="1"/>
  <c r="A436" i="1"/>
  <c r="A435" i="1"/>
  <c r="H434" i="1"/>
  <c r="A434" i="1"/>
  <c r="A433" i="1"/>
  <c r="A432" i="1"/>
  <c r="H431" i="1"/>
  <c r="A431" i="1"/>
  <c r="J430" i="1"/>
  <c r="I430" i="1"/>
  <c r="H430" i="1"/>
  <c r="A430" i="1"/>
  <c r="H429" i="1"/>
  <c r="A429" i="1"/>
  <c r="A428" i="1"/>
  <c r="A427" i="1"/>
  <c r="H426" i="1"/>
  <c r="A426" i="1"/>
  <c r="H425" i="1"/>
  <c r="A425" i="1"/>
  <c r="H424" i="1"/>
  <c r="A424" i="1"/>
  <c r="I423" i="1"/>
  <c r="H423" i="1"/>
  <c r="A423" i="1"/>
  <c r="A422" i="1"/>
  <c r="A421" i="1"/>
  <c r="H420" i="1"/>
  <c r="A420" i="1"/>
  <c r="A419" i="1"/>
  <c r="J418" i="1"/>
  <c r="I418" i="1"/>
  <c r="H418" i="1"/>
  <c r="A418" i="1"/>
  <c r="H417" i="1"/>
  <c r="A417" i="1"/>
  <c r="H416" i="1"/>
  <c r="A416" i="1"/>
  <c r="J415" i="1"/>
  <c r="I415" i="1"/>
  <c r="H415" i="1"/>
  <c r="A415" i="1"/>
  <c r="I414" i="1"/>
  <c r="H414" i="1"/>
  <c r="A414" i="1"/>
  <c r="H413" i="1"/>
  <c r="A413" i="1"/>
  <c r="A412" i="1"/>
  <c r="A411" i="1"/>
  <c r="H410" i="1"/>
  <c r="A410" i="1"/>
  <c r="A409" i="1"/>
  <c r="K408" i="1"/>
  <c r="J408" i="1"/>
  <c r="I408" i="1"/>
  <c r="H408" i="1"/>
  <c r="A408" i="1"/>
  <c r="H407" i="1"/>
  <c r="A407" i="1"/>
  <c r="I406" i="1"/>
  <c r="H406" i="1"/>
  <c r="A406" i="1"/>
  <c r="A405" i="1"/>
  <c r="H404" i="1"/>
  <c r="A404" i="1"/>
  <c r="J403" i="1"/>
  <c r="I403" i="1"/>
  <c r="H403" i="1"/>
  <c r="A403" i="1"/>
  <c r="H402" i="1"/>
  <c r="A402" i="1"/>
  <c r="K401" i="1"/>
  <c r="J401" i="1"/>
  <c r="I401" i="1"/>
  <c r="H401" i="1"/>
  <c r="A401" i="1"/>
  <c r="A400" i="1"/>
  <c r="H399" i="1"/>
  <c r="A399" i="1"/>
  <c r="A398" i="1"/>
  <c r="J397" i="1"/>
  <c r="I397" i="1"/>
  <c r="H397" i="1"/>
  <c r="A397" i="1"/>
  <c r="J396" i="1"/>
  <c r="I396" i="1"/>
  <c r="H396" i="1"/>
  <c r="A396" i="1"/>
  <c r="H395" i="1"/>
  <c r="A395" i="1"/>
  <c r="H394" i="1"/>
  <c r="A394" i="1"/>
  <c r="A393" i="1"/>
  <c r="H392" i="1"/>
  <c r="A392" i="1"/>
  <c r="I391" i="1"/>
  <c r="H391" i="1"/>
  <c r="A391" i="1"/>
  <c r="I390" i="1"/>
  <c r="H390" i="1"/>
  <c r="A390" i="1"/>
  <c r="A389" i="1"/>
  <c r="H388" i="1"/>
  <c r="A388" i="1"/>
  <c r="H387" i="1"/>
  <c r="A387" i="1"/>
  <c r="J386" i="1"/>
  <c r="I386" i="1"/>
  <c r="H386" i="1"/>
  <c r="A386" i="1"/>
  <c r="A385" i="1"/>
  <c r="H384" i="1"/>
  <c r="A384" i="1"/>
  <c r="A383" i="1"/>
  <c r="A382" i="1"/>
  <c r="H381" i="1"/>
  <c r="A381" i="1"/>
  <c r="H380" i="1"/>
  <c r="A380" i="1"/>
  <c r="H379" i="1"/>
  <c r="A379" i="1"/>
  <c r="A378" i="1"/>
  <c r="H377" i="1"/>
  <c r="A377" i="1"/>
  <c r="A376" i="1"/>
  <c r="A375" i="1"/>
  <c r="A374" i="1"/>
  <c r="I373" i="1"/>
  <c r="H373" i="1"/>
  <c r="A373" i="1"/>
  <c r="H372" i="1"/>
  <c r="A372" i="1"/>
  <c r="A371" i="1"/>
  <c r="I370" i="1"/>
  <c r="H370" i="1"/>
  <c r="A370" i="1"/>
  <c r="A369" i="1"/>
  <c r="K368" i="1"/>
  <c r="J368" i="1"/>
  <c r="I368" i="1"/>
  <c r="H368" i="1"/>
  <c r="A368" i="1"/>
  <c r="A367" i="1"/>
  <c r="J366" i="1"/>
  <c r="I366" i="1"/>
  <c r="H366" i="1"/>
  <c r="A366" i="1"/>
  <c r="H365" i="1"/>
  <c r="A365" i="1"/>
  <c r="A364" i="1"/>
  <c r="J363" i="1"/>
  <c r="I363" i="1"/>
  <c r="H363" i="1"/>
  <c r="A363" i="1"/>
  <c r="K362" i="1"/>
  <c r="J362" i="1"/>
  <c r="I362" i="1"/>
  <c r="H362" i="1"/>
  <c r="A362" i="1"/>
  <c r="H361" i="1"/>
  <c r="A361" i="1"/>
  <c r="H360" i="1"/>
  <c r="A360" i="1"/>
  <c r="A359" i="1"/>
  <c r="K358" i="1"/>
  <c r="J358" i="1"/>
  <c r="I358" i="1"/>
  <c r="H358" i="1"/>
  <c r="A358" i="1"/>
  <c r="A357" i="1"/>
  <c r="A356" i="1"/>
  <c r="H355" i="1"/>
  <c r="A355" i="1"/>
  <c r="H354" i="1"/>
  <c r="A354" i="1"/>
  <c r="H353" i="1"/>
  <c r="A353" i="1"/>
  <c r="A352" i="1"/>
  <c r="H351" i="1"/>
  <c r="A351" i="1"/>
  <c r="H350" i="1"/>
  <c r="A350" i="1"/>
  <c r="H349" i="1"/>
  <c r="A349" i="1"/>
  <c r="H348" i="1"/>
  <c r="A348" i="1"/>
  <c r="H347" i="1"/>
  <c r="A347" i="1"/>
  <c r="A346" i="1"/>
  <c r="H345" i="1"/>
  <c r="A345" i="1"/>
  <c r="K344" i="1"/>
  <c r="J344" i="1"/>
  <c r="I344" i="1"/>
  <c r="H344" i="1"/>
  <c r="A344" i="1"/>
  <c r="J343" i="1"/>
  <c r="I343" i="1"/>
  <c r="H343" i="1"/>
  <c r="A343" i="1"/>
  <c r="I342" i="1"/>
  <c r="H342" i="1"/>
  <c r="A342" i="1"/>
  <c r="I341" i="1"/>
  <c r="H341" i="1"/>
  <c r="A341" i="1"/>
  <c r="H340" i="1"/>
  <c r="A340" i="1"/>
  <c r="H339" i="1"/>
  <c r="A339" i="1"/>
  <c r="H338" i="1"/>
  <c r="A338" i="1"/>
  <c r="H337" i="1"/>
  <c r="A337" i="1"/>
  <c r="H336" i="1"/>
  <c r="A336" i="1"/>
  <c r="H335" i="1"/>
  <c r="A335" i="1"/>
  <c r="A334" i="1"/>
  <c r="I333" i="1"/>
  <c r="H333" i="1"/>
  <c r="A333" i="1"/>
  <c r="H332" i="1"/>
  <c r="A332" i="1"/>
  <c r="K331" i="1"/>
  <c r="J331" i="1"/>
  <c r="I331" i="1"/>
  <c r="H331" i="1"/>
  <c r="A331" i="1"/>
  <c r="H330" i="1"/>
  <c r="A330" i="1"/>
  <c r="K329" i="1"/>
  <c r="J329" i="1"/>
  <c r="I329" i="1"/>
  <c r="H329" i="1"/>
  <c r="A329" i="1"/>
  <c r="H328" i="1"/>
  <c r="A328" i="1"/>
  <c r="K327" i="1"/>
  <c r="J327" i="1"/>
  <c r="I327" i="1"/>
  <c r="H327" i="1"/>
  <c r="A327" i="1"/>
  <c r="H326" i="1"/>
  <c r="A326" i="1"/>
  <c r="H325" i="1"/>
  <c r="A325" i="1"/>
  <c r="A324" i="1"/>
  <c r="A323" i="1"/>
  <c r="I322" i="1"/>
  <c r="H322" i="1"/>
  <c r="A322" i="1"/>
  <c r="H321" i="1"/>
  <c r="A321" i="1"/>
  <c r="H320" i="1"/>
  <c r="A320" i="1"/>
  <c r="A319" i="1"/>
  <c r="I318" i="1"/>
  <c r="H318" i="1"/>
  <c r="A318" i="1"/>
  <c r="H317" i="1"/>
  <c r="A317" i="1"/>
  <c r="H316" i="1"/>
  <c r="A316" i="1"/>
  <c r="I315" i="1"/>
  <c r="H315" i="1"/>
  <c r="A315" i="1"/>
  <c r="H314" i="1"/>
  <c r="A314" i="1"/>
  <c r="H313" i="1"/>
  <c r="A313" i="1"/>
  <c r="J312" i="1"/>
  <c r="I312" i="1"/>
  <c r="H312" i="1"/>
  <c r="A312" i="1"/>
  <c r="H311" i="1"/>
  <c r="A311" i="1"/>
  <c r="I310" i="1"/>
  <c r="H310" i="1"/>
  <c r="A310" i="1"/>
  <c r="J309" i="1"/>
  <c r="I309" i="1"/>
  <c r="H309" i="1"/>
  <c r="A309" i="1"/>
  <c r="H308" i="1"/>
  <c r="A308" i="1"/>
  <c r="H307" i="1"/>
  <c r="A307" i="1"/>
  <c r="H306" i="1"/>
  <c r="A306" i="1"/>
  <c r="H305" i="1"/>
  <c r="A305" i="1"/>
  <c r="H304" i="1"/>
  <c r="A304" i="1"/>
  <c r="H303" i="1"/>
  <c r="A303" i="1"/>
  <c r="H302" i="1"/>
  <c r="A302" i="1"/>
  <c r="A301" i="1"/>
  <c r="H300" i="1"/>
  <c r="A300" i="1"/>
  <c r="H299" i="1"/>
  <c r="A299" i="1"/>
  <c r="H298" i="1"/>
  <c r="A298" i="1"/>
  <c r="J297" i="1"/>
  <c r="I297" i="1"/>
  <c r="H297" i="1"/>
  <c r="A297" i="1"/>
  <c r="I296" i="1"/>
  <c r="H296" i="1"/>
  <c r="A296" i="1"/>
  <c r="I295" i="1"/>
  <c r="H295" i="1"/>
  <c r="A295" i="1"/>
  <c r="A294" i="1"/>
  <c r="H293" i="1"/>
  <c r="A293" i="1"/>
  <c r="H292" i="1"/>
  <c r="A292" i="1"/>
  <c r="H291" i="1"/>
  <c r="A291" i="1"/>
  <c r="I290" i="1"/>
  <c r="H290" i="1"/>
  <c r="A290" i="1"/>
  <c r="A289" i="1"/>
  <c r="A288" i="1"/>
  <c r="A287" i="1"/>
  <c r="H286" i="1"/>
  <c r="A286" i="1"/>
  <c r="H285" i="1"/>
  <c r="A285" i="1"/>
  <c r="H284" i="1"/>
  <c r="A284" i="1"/>
  <c r="A283" i="1"/>
  <c r="A282" i="1"/>
  <c r="I281" i="1"/>
  <c r="H281" i="1"/>
  <c r="A281" i="1"/>
  <c r="H280" i="1"/>
  <c r="A280" i="1"/>
  <c r="J279" i="1"/>
  <c r="I279" i="1"/>
  <c r="H279" i="1"/>
  <c r="A279" i="1"/>
  <c r="H278" i="1"/>
  <c r="A278" i="1"/>
  <c r="H277" i="1"/>
  <c r="A277" i="1"/>
  <c r="H276" i="1"/>
  <c r="A276" i="1"/>
  <c r="H275" i="1"/>
  <c r="A275" i="1"/>
  <c r="A274" i="1"/>
  <c r="A273" i="1"/>
  <c r="I272" i="1"/>
  <c r="H272" i="1"/>
  <c r="A272" i="1"/>
  <c r="H271" i="1"/>
  <c r="A271" i="1"/>
  <c r="H270" i="1"/>
  <c r="A270" i="1"/>
  <c r="H269" i="1"/>
  <c r="A269" i="1"/>
  <c r="A268" i="1"/>
  <c r="J267" i="1"/>
  <c r="I267" i="1"/>
  <c r="H267" i="1"/>
  <c r="A267" i="1"/>
  <c r="A266" i="1"/>
  <c r="H265" i="1"/>
  <c r="A265" i="1"/>
  <c r="H264" i="1"/>
  <c r="A264" i="1"/>
  <c r="H263" i="1"/>
  <c r="A263" i="1"/>
  <c r="H262" i="1"/>
  <c r="A262" i="1"/>
  <c r="A261" i="1"/>
  <c r="A260" i="1"/>
  <c r="A259" i="1"/>
  <c r="A258" i="1"/>
  <c r="H257" i="1"/>
  <c r="A257" i="1"/>
  <c r="H256" i="1"/>
  <c r="A256" i="1"/>
  <c r="H255" i="1"/>
  <c r="A255" i="1"/>
  <c r="A254" i="1"/>
  <c r="H253" i="1"/>
  <c r="A253" i="1"/>
  <c r="H252" i="1"/>
  <c r="A252" i="1"/>
  <c r="H251" i="1"/>
  <c r="A251" i="1"/>
  <c r="H250" i="1"/>
  <c r="A250" i="1"/>
  <c r="H249" i="1"/>
  <c r="A249" i="1"/>
  <c r="I248" i="1"/>
  <c r="H248" i="1"/>
  <c r="A248" i="1"/>
  <c r="H247" i="1"/>
  <c r="A247" i="1"/>
  <c r="A246" i="1"/>
  <c r="A245" i="1"/>
  <c r="A244" i="1"/>
  <c r="H243" i="1"/>
  <c r="A243" i="1"/>
  <c r="H242" i="1"/>
  <c r="A242" i="1"/>
  <c r="H241" i="1"/>
  <c r="A241" i="1"/>
  <c r="A240" i="1"/>
  <c r="H239" i="1"/>
  <c r="A239" i="1"/>
  <c r="A238" i="1"/>
  <c r="H237" i="1"/>
  <c r="A237" i="1"/>
  <c r="H236" i="1"/>
  <c r="A236" i="1"/>
  <c r="H235" i="1"/>
  <c r="A235" i="1"/>
  <c r="H234" i="1"/>
  <c r="A234" i="1"/>
  <c r="H233" i="1"/>
  <c r="A233" i="1"/>
  <c r="H232" i="1"/>
  <c r="A232" i="1"/>
  <c r="H231" i="1"/>
  <c r="A231" i="1"/>
  <c r="H230" i="1"/>
  <c r="A230" i="1"/>
  <c r="H229" i="1"/>
  <c r="A229" i="1"/>
  <c r="H228" i="1"/>
  <c r="A228" i="1"/>
  <c r="H227" i="1"/>
  <c r="A227" i="1"/>
  <c r="A226" i="1"/>
  <c r="A225" i="1"/>
  <c r="H224" i="1"/>
  <c r="A224" i="1"/>
  <c r="H223" i="1"/>
  <c r="A223" i="1"/>
  <c r="J222" i="1"/>
  <c r="I222" i="1"/>
  <c r="H222" i="1"/>
  <c r="A222" i="1"/>
  <c r="J221" i="1"/>
  <c r="I221" i="1"/>
  <c r="H221" i="1"/>
  <c r="A221" i="1"/>
  <c r="H220" i="1"/>
  <c r="A220" i="1"/>
  <c r="H219" i="1"/>
  <c r="A219" i="1"/>
  <c r="A218" i="1"/>
  <c r="A217" i="1"/>
  <c r="H216" i="1"/>
  <c r="A216" i="1"/>
  <c r="H215" i="1"/>
  <c r="A215" i="1"/>
  <c r="H214" i="1"/>
  <c r="A214" i="1"/>
  <c r="H213" i="1"/>
  <c r="A213" i="1"/>
  <c r="H212" i="1"/>
  <c r="A212" i="1"/>
  <c r="H211" i="1"/>
  <c r="A211" i="1"/>
  <c r="H210" i="1"/>
  <c r="A210" i="1"/>
  <c r="A209" i="1"/>
  <c r="H208" i="1"/>
  <c r="A208" i="1"/>
  <c r="H207" i="1"/>
  <c r="A207" i="1"/>
  <c r="K206" i="1"/>
  <c r="J206" i="1"/>
  <c r="I206" i="1"/>
  <c r="H206" i="1"/>
  <c r="A206" i="1"/>
  <c r="K205" i="1"/>
  <c r="J205" i="1"/>
  <c r="I205" i="1"/>
  <c r="H205" i="1"/>
  <c r="A205" i="1"/>
  <c r="H204" i="1"/>
  <c r="A204" i="1"/>
  <c r="A203" i="1"/>
  <c r="A202" i="1"/>
  <c r="H201" i="1"/>
  <c r="A201" i="1"/>
  <c r="H200" i="1"/>
  <c r="A200" i="1"/>
  <c r="A199" i="1"/>
  <c r="H198" i="1"/>
  <c r="A198" i="1"/>
  <c r="A197" i="1"/>
  <c r="A196" i="1"/>
  <c r="A195" i="1"/>
  <c r="K194" i="1"/>
  <c r="J194" i="1"/>
  <c r="I194" i="1"/>
  <c r="H194" i="1"/>
  <c r="A194" i="1"/>
  <c r="H193" i="1"/>
  <c r="A193" i="1"/>
  <c r="H192" i="1"/>
  <c r="A192" i="1"/>
  <c r="H191" i="1"/>
  <c r="A191" i="1"/>
  <c r="A190" i="1"/>
  <c r="H189" i="1"/>
  <c r="A189" i="1"/>
  <c r="H188" i="1"/>
  <c r="A188" i="1"/>
  <c r="A187" i="1"/>
  <c r="A186" i="1"/>
  <c r="H185" i="1"/>
  <c r="A185" i="1"/>
  <c r="H184" i="1"/>
  <c r="A184" i="1"/>
  <c r="H183" i="1"/>
  <c r="A183" i="1"/>
  <c r="H182" i="1"/>
  <c r="A182" i="1"/>
  <c r="A181" i="1"/>
  <c r="H180" i="1"/>
  <c r="A180" i="1"/>
  <c r="H179" i="1"/>
  <c r="A179" i="1"/>
  <c r="H178" i="1"/>
  <c r="A178" i="1"/>
  <c r="H177" i="1"/>
  <c r="A177" i="1"/>
  <c r="H176" i="1"/>
  <c r="A176" i="1"/>
  <c r="I175" i="1"/>
  <c r="H175" i="1"/>
  <c r="A175" i="1"/>
  <c r="H174" i="1"/>
  <c r="A174" i="1"/>
  <c r="A173" i="1"/>
  <c r="H172" i="1"/>
  <c r="A172" i="1"/>
  <c r="I171" i="1"/>
  <c r="H171" i="1"/>
  <c r="A171" i="1"/>
  <c r="I170" i="1"/>
  <c r="H170" i="1"/>
  <c r="A170" i="1"/>
  <c r="K169" i="1"/>
  <c r="J169" i="1"/>
  <c r="I169" i="1"/>
  <c r="H169" i="1"/>
  <c r="A169" i="1"/>
  <c r="A168" i="1"/>
  <c r="A167" i="1"/>
  <c r="A166" i="1"/>
  <c r="H165" i="1"/>
  <c r="A165" i="1"/>
  <c r="A164" i="1"/>
  <c r="H163" i="1"/>
  <c r="A163" i="1"/>
  <c r="H162" i="1"/>
  <c r="A162" i="1"/>
  <c r="K161" i="1"/>
  <c r="J161" i="1"/>
  <c r="I161" i="1"/>
  <c r="H161" i="1"/>
  <c r="A161" i="1"/>
  <c r="H160" i="1"/>
  <c r="A160" i="1"/>
  <c r="H159" i="1"/>
  <c r="A159" i="1"/>
  <c r="A158" i="1"/>
  <c r="H157" i="1"/>
  <c r="A157" i="1"/>
  <c r="H156" i="1"/>
  <c r="A156" i="1"/>
  <c r="A155" i="1"/>
  <c r="H154" i="1"/>
  <c r="A154" i="1"/>
  <c r="H153" i="1"/>
  <c r="A153" i="1"/>
  <c r="I152" i="1"/>
  <c r="H152" i="1"/>
  <c r="A152" i="1"/>
  <c r="H151" i="1"/>
  <c r="A151" i="1"/>
  <c r="I150" i="1"/>
  <c r="H150" i="1"/>
  <c r="A150" i="1"/>
  <c r="A149" i="1"/>
  <c r="A148" i="1"/>
  <c r="H147" i="1"/>
  <c r="A147" i="1"/>
  <c r="H146" i="1"/>
  <c r="A146" i="1"/>
  <c r="H145" i="1"/>
  <c r="A145" i="1"/>
  <c r="A144" i="1"/>
  <c r="A143" i="1"/>
  <c r="A142" i="1"/>
  <c r="K141" i="1"/>
  <c r="J141" i="1"/>
  <c r="I141" i="1"/>
  <c r="H141" i="1"/>
  <c r="A141" i="1"/>
  <c r="H140" i="1"/>
  <c r="A140" i="1"/>
  <c r="H139" i="1"/>
  <c r="A139" i="1"/>
  <c r="A138" i="1"/>
  <c r="H137" i="1"/>
  <c r="A137" i="1"/>
  <c r="H136" i="1"/>
  <c r="A136" i="1"/>
  <c r="A135" i="1"/>
  <c r="H134" i="1"/>
  <c r="A134" i="1"/>
  <c r="H133" i="1"/>
  <c r="A133" i="1"/>
  <c r="H132" i="1"/>
  <c r="A132" i="1"/>
  <c r="H131" i="1"/>
  <c r="A131" i="1"/>
  <c r="A130" i="1"/>
  <c r="I129" i="1"/>
  <c r="H129" i="1"/>
  <c r="A129" i="1"/>
  <c r="I128" i="1"/>
  <c r="H128" i="1"/>
  <c r="A128" i="1"/>
  <c r="H127" i="1"/>
  <c r="A127" i="1"/>
  <c r="H126" i="1"/>
  <c r="A126" i="1"/>
  <c r="H125" i="1"/>
  <c r="A125" i="1"/>
  <c r="H124" i="1"/>
  <c r="A124" i="1"/>
  <c r="H123" i="1"/>
  <c r="A123" i="1"/>
  <c r="H122" i="1"/>
  <c r="A122" i="1"/>
  <c r="K121" i="1"/>
  <c r="J121" i="1"/>
  <c r="I121" i="1"/>
  <c r="H121" i="1"/>
  <c r="A121" i="1"/>
  <c r="J120" i="1"/>
  <c r="I120" i="1"/>
  <c r="H120" i="1"/>
  <c r="A120" i="1"/>
  <c r="H119" i="1"/>
  <c r="A119" i="1"/>
  <c r="I118" i="1"/>
  <c r="H118" i="1"/>
  <c r="A118" i="1"/>
  <c r="J117" i="1"/>
  <c r="I117" i="1"/>
  <c r="H117" i="1"/>
  <c r="A117" i="1"/>
  <c r="H116" i="1"/>
  <c r="A116" i="1"/>
  <c r="H115" i="1"/>
  <c r="A115" i="1"/>
  <c r="H114" i="1"/>
  <c r="A114" i="1"/>
  <c r="A113" i="1"/>
  <c r="H112" i="1"/>
  <c r="A112" i="1"/>
  <c r="H111" i="1"/>
  <c r="A111" i="1"/>
  <c r="H110" i="1"/>
  <c r="A110" i="1"/>
  <c r="H109" i="1"/>
  <c r="A109" i="1"/>
  <c r="A108" i="1"/>
  <c r="H107" i="1"/>
  <c r="A107" i="1"/>
  <c r="H106" i="1"/>
  <c r="A106" i="1"/>
  <c r="I105" i="1"/>
  <c r="H105" i="1"/>
  <c r="A105" i="1"/>
  <c r="H104" i="1"/>
  <c r="A104" i="1"/>
  <c r="I103" i="1"/>
  <c r="H103" i="1"/>
  <c r="A103" i="1"/>
  <c r="H102" i="1"/>
  <c r="A102" i="1"/>
  <c r="H101" i="1"/>
  <c r="A101" i="1"/>
  <c r="A100" i="1"/>
  <c r="H99" i="1"/>
  <c r="A99" i="1"/>
  <c r="A98" i="1"/>
  <c r="A97" i="1"/>
  <c r="I96" i="1"/>
  <c r="H96" i="1"/>
  <c r="A96" i="1"/>
  <c r="I95" i="1"/>
  <c r="H95" i="1"/>
  <c r="A95" i="1"/>
  <c r="H94" i="1"/>
  <c r="A94" i="1"/>
  <c r="A93" i="1"/>
  <c r="H92" i="1"/>
  <c r="A92" i="1"/>
  <c r="H91" i="1"/>
  <c r="A91" i="1"/>
  <c r="K90" i="1"/>
  <c r="J90" i="1"/>
  <c r="I90" i="1"/>
  <c r="H90" i="1"/>
  <c r="A90" i="1"/>
  <c r="A89" i="1"/>
  <c r="H88" i="1"/>
  <c r="A88" i="1"/>
  <c r="A87" i="1"/>
  <c r="A86" i="1"/>
  <c r="H85" i="1"/>
  <c r="A85" i="1"/>
  <c r="I84" i="1"/>
  <c r="H84" i="1"/>
  <c r="A84" i="1"/>
  <c r="H83" i="1"/>
  <c r="A83" i="1"/>
  <c r="I82" i="1"/>
  <c r="H82" i="1"/>
  <c r="A82" i="1"/>
  <c r="A81" i="1"/>
  <c r="H80" i="1"/>
  <c r="A80" i="1"/>
  <c r="A79" i="1"/>
  <c r="A78" i="1"/>
  <c r="H77" i="1"/>
  <c r="A77" i="1"/>
  <c r="H76" i="1"/>
  <c r="A76" i="1"/>
  <c r="A75" i="1"/>
  <c r="A74" i="1"/>
  <c r="H73" i="1"/>
  <c r="A73" i="1"/>
  <c r="K72" i="1"/>
  <c r="J72" i="1"/>
  <c r="I72" i="1"/>
  <c r="H72" i="1"/>
  <c r="A72" i="1"/>
  <c r="A71" i="1"/>
  <c r="K70" i="1"/>
  <c r="J70" i="1"/>
  <c r="I70" i="1"/>
  <c r="H70" i="1"/>
  <c r="A70" i="1"/>
  <c r="H69" i="1"/>
  <c r="A69" i="1"/>
  <c r="A68" i="1"/>
  <c r="H67" i="1"/>
  <c r="A67" i="1"/>
  <c r="A66" i="1"/>
  <c r="A65" i="1"/>
  <c r="I64" i="1"/>
  <c r="H64" i="1"/>
  <c r="A64" i="1"/>
  <c r="J63" i="1"/>
  <c r="I63" i="1"/>
  <c r="H63" i="1"/>
  <c r="A63" i="1"/>
  <c r="I62" i="1"/>
  <c r="H62" i="1"/>
  <c r="A62" i="1"/>
  <c r="I61" i="1"/>
  <c r="H61" i="1"/>
  <c r="A61" i="1"/>
  <c r="H60" i="1"/>
  <c r="A60" i="1"/>
  <c r="K59" i="1"/>
  <c r="J59" i="1"/>
  <c r="I59" i="1"/>
  <c r="H59" i="1"/>
  <c r="A59" i="1"/>
  <c r="I58" i="1"/>
  <c r="H58" i="1"/>
  <c r="A58" i="1"/>
  <c r="H57" i="1"/>
  <c r="A57" i="1"/>
  <c r="I56" i="1"/>
  <c r="H56" i="1"/>
  <c r="A56" i="1"/>
  <c r="H55" i="1"/>
  <c r="A55" i="1"/>
  <c r="K54" i="1"/>
  <c r="J54" i="1"/>
  <c r="I54" i="1"/>
  <c r="H54" i="1"/>
  <c r="A54" i="1"/>
  <c r="K53" i="1"/>
  <c r="J53" i="1"/>
  <c r="I53" i="1"/>
  <c r="H53" i="1"/>
  <c r="A53" i="1"/>
  <c r="J52" i="1"/>
  <c r="I52" i="1"/>
  <c r="H52" i="1"/>
  <c r="A52" i="1"/>
  <c r="A51" i="1"/>
  <c r="K50" i="1"/>
  <c r="J50" i="1"/>
  <c r="I50" i="1"/>
  <c r="H50" i="1"/>
  <c r="A50" i="1"/>
  <c r="H49" i="1"/>
  <c r="A49" i="1"/>
  <c r="H48" i="1"/>
  <c r="A48" i="1"/>
  <c r="K47" i="1"/>
  <c r="J47" i="1"/>
  <c r="I47" i="1"/>
  <c r="H47" i="1"/>
  <c r="A47" i="1"/>
  <c r="H46" i="1"/>
  <c r="A46" i="1"/>
  <c r="I45" i="1"/>
  <c r="H45" i="1"/>
  <c r="A45" i="1"/>
  <c r="H44" i="1"/>
  <c r="A44" i="1"/>
  <c r="H43" i="1"/>
  <c r="A43" i="1"/>
  <c r="K42" i="1"/>
  <c r="J42" i="1"/>
  <c r="I42" i="1"/>
  <c r="H42" i="1"/>
  <c r="A42" i="1"/>
  <c r="I41" i="1"/>
  <c r="H41" i="1"/>
  <c r="A41" i="1"/>
  <c r="H40" i="1"/>
  <c r="A40" i="1"/>
  <c r="H39" i="1"/>
  <c r="A39" i="1"/>
  <c r="J38" i="1"/>
  <c r="I38" i="1"/>
  <c r="H38" i="1"/>
  <c r="A38" i="1"/>
  <c r="A37" i="1"/>
  <c r="K36" i="1"/>
  <c r="J36" i="1"/>
  <c r="I36" i="1"/>
  <c r="H36" i="1"/>
  <c r="A36" i="1"/>
  <c r="J35" i="1"/>
  <c r="I35" i="1"/>
  <c r="H35" i="1"/>
  <c r="A35" i="1"/>
  <c r="I34" i="1"/>
  <c r="H34" i="1"/>
  <c r="A34" i="1"/>
  <c r="H33" i="1"/>
  <c r="A33" i="1"/>
  <c r="K32" i="1"/>
  <c r="J32" i="1"/>
  <c r="I32" i="1"/>
  <c r="H32" i="1"/>
  <c r="A32" i="1"/>
  <c r="I31" i="1"/>
  <c r="H31" i="1"/>
  <c r="A31" i="1"/>
  <c r="K30" i="1"/>
  <c r="J30" i="1"/>
  <c r="I30" i="1"/>
  <c r="H30" i="1"/>
  <c r="A30" i="1"/>
  <c r="J29" i="1"/>
  <c r="I29" i="1"/>
  <c r="H29" i="1"/>
  <c r="A29" i="1"/>
  <c r="H28" i="1"/>
  <c r="A28" i="1"/>
  <c r="H27" i="1"/>
  <c r="A27" i="1"/>
  <c r="H26" i="1"/>
  <c r="A26" i="1"/>
  <c r="H25" i="1"/>
  <c r="A25" i="1"/>
  <c r="J24" i="1"/>
  <c r="I24" i="1"/>
  <c r="H24" i="1"/>
  <c r="A24" i="1"/>
  <c r="H23" i="1"/>
  <c r="A23" i="1"/>
  <c r="H22" i="1"/>
  <c r="A22" i="1"/>
  <c r="I21" i="1"/>
  <c r="H21" i="1"/>
  <c r="A21" i="1"/>
  <c r="H20" i="1"/>
  <c r="A20" i="1"/>
  <c r="H19" i="1"/>
  <c r="A19" i="1"/>
  <c r="H18" i="1"/>
  <c r="A18" i="1"/>
  <c r="H17" i="1"/>
  <c r="A17" i="1"/>
  <c r="H16" i="1"/>
  <c r="A16" i="1"/>
  <c r="I15" i="1"/>
  <c r="H15" i="1"/>
  <c r="A15" i="1"/>
  <c r="A14" i="1"/>
  <c r="H13" i="1"/>
  <c r="A13" i="1"/>
  <c r="H12" i="1"/>
  <c r="A12" i="1"/>
  <c r="A11" i="1"/>
  <c r="J10" i="1"/>
  <c r="I10" i="1"/>
  <c r="H10" i="1"/>
  <c r="A10" i="1"/>
  <c r="H9" i="1"/>
  <c r="A9" i="1"/>
  <c r="H8" i="1"/>
  <c r="A8" i="1"/>
  <c r="H7" i="1"/>
  <c r="A7" i="1"/>
  <c r="H6" i="1"/>
  <c r="A6" i="1"/>
  <c r="A5" i="1"/>
  <c r="H4" i="1"/>
  <c r="A4" i="1"/>
  <c r="A3" i="1"/>
  <c r="K2" i="1"/>
  <c r="J2" i="1"/>
  <c r="I2" i="1"/>
  <c r="H2" i="1"/>
  <c r="A2" i="1"/>
</calcChain>
</file>

<file path=xl/sharedStrings.xml><?xml version="1.0" encoding="utf-8"?>
<sst xmlns="http://schemas.openxmlformats.org/spreadsheetml/2006/main" count="1188" uniqueCount="497">
  <si>
    <t>id</t>
  </si>
  <si>
    <t>screen_name</t>
  </si>
  <si>
    <t>created_at</t>
  </si>
  <si>
    <t>fav</t>
  </si>
  <si>
    <t>rt</t>
  </si>
  <si>
    <t>RTed</t>
  </si>
  <si>
    <t>text</t>
  </si>
  <si>
    <t>media1</t>
  </si>
  <si>
    <t>media2</t>
  </si>
  <si>
    <t>media3</t>
  </si>
  <si>
    <t>media4</t>
  </si>
  <si>
    <t>compound</t>
  </si>
  <si>
    <t>neg</t>
  </si>
  <si>
    <t>neu</t>
  </si>
  <si>
    <t>pos</t>
  </si>
  <si>
    <t>EmbaMexQatar</t>
  </si>
  <si>
    <t>ordorica_g</t>
  </si>
  <si>
    <t>SRE_mx</t>
  </si>
  <si>
    <t>DiplomaciaPubl</t>
  </si>
  <si>
    <t>DDeportivaMx</t>
  </si>
  <si>
    <t>IME_SRE</t>
  </si>
  <si>
    <t>m_ebrard</t>
  </si>
  <si>
    <t>AngieYollox</t>
  </si>
  <si>
    <t>imatiasromero</t>
  </si>
  <si>
    <t>vcalva</t>
  </si>
  <si>
    <t>3/3 Agradezco y reconozco a mis colegas en consulados y embajadas por la atención excepcional que ofrecen 🙌🏽 Seguiremos fortaleciendo nuestras acciones de #ProtecciónConsular 🇲🇽 para brindar asistencia puntual en línea con las instrucciones del Canciller @m_ebrard y @r_velascoa https://t.co/KcajM4flCS</t>
  </si>
  <si>
    <t>Lamento mucho el fallecimiento de Pelé . Tuve en suerte verlo jugar en 1970 y recibirlo en la Jefatura de Gobierno como visitante distinguido. Jugador inigualable y símbolo de muchos sueños logrados de Latinoamérica .Condolencias a sus familiares ,numerosos seguidores y amigos.</t>
  </si>
  <si>
    <t>Descanse en Paz, Pelé. En la memoria de Mexico se quedará su inigualable carrera y el campeonato ganado en 1970. https://t.co/QCRqGt0oG1</t>
  </si>
  <si>
    <t>#EstrategiaYDiplomaciaPública @SRE_mx agradece profundamente a las 34 Embajadas🇲🇽 en 🇩🇪🇦🇷🇦🇹🇨🇺🇪🇸🇳🇴🇫🇷🇧🇷🇯🇵🇵🇭🇹🇷🇨🇷🇩🇴🇪🇹🇵🇱🇨🇴🇺🇾🇷🇺🇩🇿🇱🇧🇦🇪🇮🇱🇧🇪🇨🇱🇬🇧🇭🇳🇮🇳🇮🇩🇶🇦🇨🇿🇷🇴🇻🇪🇻🇳🇳🇱 por su gran labor en proyectar los #EspaciosPúblicosMéxico en el 🌎.
#DiplomaciaPúblicaMX
@m_ebrard https://t.co/wxtFxZ7XMK</t>
  </si>
  <si>
    <t>#MásOportunidades con la plataforma “#AprendeEnCasaEnElExterior” 🏠 🇲🇽  📚 una opción de #EducaciónADistancia para las niñas, niños y adolescentes que viven en el extranjero Más info: https://t.co/YYa4VZ4hkL @SEP_mx @IME_SRE  #EducaciónParaTodasyTodos #EducaciónIME https://t.co/HGR2blVqel</t>
  </si>
  <si>
    <t>🎄🎊🪅 https://t.co/CgfIGSmCcN</t>
  </si>
  <si>
    <t>📌 La @SRE_mx les desea una feliz Navidad a todas y todos, especialmente a nuestras y nuestros paisanos en el exterior.
🇲🇽🤝🌍🎄 https://t.co/Rap0Sd2zrR</t>
  </si>
  <si>
    <t>El Comité Olímpico de Qatar convoca a las y los mexicanos en Doha 🇲🇽 a participar en la Liga de Waterpolo🤽‍♂️🤽‍♀️  para comunidades, organizada por la @Qatar_swimming 
La Liga 🤽‍♂️🤽‍♀️ será de enero a mayo, 2023. ¡Habrá medallas y trofeos!
Enlace de inscripción: https://t.co/IdHXVLvISR https://t.co/NkiK3dSf70</t>
  </si>
  <si>
    <t>FJ_Marmolejo</t>
  </si>
  <si>
    <t>¿Sabías que varios de los edificios universitarios de la #EducationCity en Qatar fueron diseñados por arquitectos mexicanos?. Aquí, Víctor Legorreta (@LEGORRETA_ARQS) comparte recuerdos en su visita a @Qf en Doha.
@TAMUQ @GUQatar @NUQatar @CarnegieMellonQ 
https://t.co/dX4QfYWbnA https://t.co/kRAOM0GY1p</t>
  </si>
  <si>
    <t>fmarmole</t>
  </si>
  <si>
    <t>@LEGORRETA_ARQS @TAMUQ Tanto @TAMUQ como @HBKU son universidades diferentes que forman parte de la #EducationCity en Qatar, junto con @VCUQatar, @NUQatar, @GUQatar y @WCMQatar. Todas se integran en la #Multiversity de @QF. El legado de @LEGORRETA_ARQS y de #México en Qatar está presente.
@EmbaMexQatar</t>
  </si>
  <si>
    <t>Concluye la tarea de Centro México Qatar Mundial 2022 , inicia cuenta regresiva para 2026 . Gracias !!! https://t.co/2wPcYzNVV3</t>
  </si>
  <si>
    <t>¡Gran equipo! Todas las y los colegas de @EmbaMexQatar trabajamos 24/7 con intensidad y compromiso durante la #CopaFIFA2022⚽️Como maquinita, jalamos parejo. Siempre entusiastas, sumamos a favor de México. ¡Mil gracias! #CentroMéxicoQatar2022 #OrgulloSEM #EquidadDeGénero 🇲🇽🤝🇶🇦 https://t.co/YA2pAGw2qX</t>
  </si>
  <si>
    <t>jaime_vbt</t>
  </si>
  <si>
    <t>Después de 35 días de operación ininterrumpida, ayer concluyeron las labores del #CentroMéxicoQatar.
Gracias a nuestros cónsules de documentación, Luis Arellano y Fernando Valdés, que trabajaron sin descanso y atendieron a cientos de aficionados. ¡Nos vemos en 2026 🇲🇽🇺🇸🇨🇦! https://t.co/Hx2MgkHwC8</t>
  </si>
  <si>
    <t>El turismo es palanca de desarrollo, opción para la inversión y gran atractivo de #México para el mundo. Así lo dije hoy a Hassan Al-Emadi, CEO y a
Mario Anthony, Group Managing Director, de la afamada empresa #ArabianAdventures.   #Amistad #Cooperación #BuenasPrácticas. 🇲🇽🤝🇶🇦 https://t.co/EEbFXpGvdC</t>
  </si>
  <si>
    <t>USAmbUN</t>
  </si>
  <si>
    <t>Leaving Doha with a profound appreciation for the world's most popular sport ⚽️. A sport that transcends languages and borders. That brings us together. That helps us see our common humanity.
So excited for the next games in North America!
#FIFAWorldCup https://t.co/FeLTigXWuM</t>
  </si>
  <si>
    <t>📄México, Estados Unidos y Canadá asumen la organización de la próxima Copa Mundial FIFA 2026 en Norteamérica.
https://t.co/5PMJnhw6PB https://t.co/ki94iHLKF9</t>
  </si>
  <si>
    <t>El @GobiernoMX, a través de la @SRE_mx, envía sus felicitaciones al Gobierno y pueblo de Qatar🇶🇦, por la celebración de su Día Nacional. https://t.co/IWzBngYn67</t>
  </si>
  <si>
    <t>التهاني والتبريكات لدولة قطر الحبيبة وشعبها الكريمة بمناسبة اليوم الوطني! 🇶🇦🎊
Felicidades al Estado de #Qatar en su Día Nacional
#QatarNationalDay #qatarnationalday2022
#اليوم_الوطني_القطري 🇶🇦🎉
@TamimBinHamad @MOFAQatar_ES @AmiriDiwan https://t.co/l72Ul5iasI</t>
  </si>
  <si>
    <t>En Qatar 🇶🇦 con mis queridos colegas embajadores de @CanEmbQatar y de @USEmbassyDoha. Amigos y socios, nuestros tres países ofrecen innovación, competitividad y libre comercio. #TMEC   🇲🇽 🤝🇺🇸🤝🇨🇦 https://t.co/yDPWreo8PJ</t>
  </si>
  <si>
    <t>🏆 Equipo de resultados.
El inédito acompañamiento de la afición #MX 🇲🇽 que viajó a #Qatar2022 por parte de #CentroMéxicoQatar2022 y de esta Embajada, acredita el compromiso del @GobiernoMX @SRE_mx con la defensa de los intereses de 🇲🇽 y personas mexicanas en el exterior. 🇲🇽🤝🇶🇦 https://t.co/u4S61zLVo8</t>
  </si>
  <si>
    <t>📢 ¿Ya conoces las ventajas de afiliarte como derechohabiente de @Tu_IMSS si vives en el exterior?
A partir de 2023 contarás con este beneficio en las oficinas consulares mexicanas @SRE_mx 🇲🇽
Consulta toda la información 👇 https://t.co/uXGJKThJN6</t>
  </si>
  <si>
    <t>¡El sueño está a punto de cumplirse🌠! Como parte de estás últimas fases de la @FIFAWorldCup🏆 se utilizará el nuevo balón ⚽️Al Hilm "El Sueño", mismo que estará presente en el partido liderado por el árbitro mexicano🇲🇽César Ramos entre 🇫🇷 y 🇲🇦.
@m_ebrard @SRE_mx https://t.co/xDsiBuU7rR</t>
  </si>
  <si>
    <t>ALFZEGBE</t>
  </si>
  <si>
    <t>A nombre de #CentroMéxicoQatar2022 @SRE_mx y la @GN_MEXICO_ agradecimos al Dr. Sulaiti @Drkalsulaiti, presidente de la Fundación @kataraqatar y de @gpdnetorg, el apoyo para instalar el #CMQ2022 en @VillageKatara corazón cultural de #Doha para apoyo a la afición de🇲🇽en #Qatar2022. https://t.co/ZEnl0u6Ajc</t>
  </si>
  <si>
    <t>"Mi🇲🇽querido vivirá por siempre en los colores de mi bandera y en los latidos de mi corazón💚🤍❤️."
La bandera de🇲🇽ilumina las calles de #Doha🇶🇦 y en la fundación @kataraqatar, donde se localiza el #CentroMéxicoQatar2022, continúa maravillando a todo el🌍. @SRE_mx @m_ebrard https://t.co/Dx0uVMQHMP</t>
  </si>
  <si>
    <t>Vas al partido #MarruecosvsFrancia?
Recuerda 😌
🟢Llevar copia de tu pasaporte y Hayya Card 
🟢Llevar sólo tu boleto 
🔴La venta/compra de boletos en reventa es un crimen penado con prisión y/o multa
Ten a la mano los ☎️ de emergencia 
#CentroMéxicoQatar2022 🇲🇽
#Qatar2022 https://t.co/YFr2PIRbzt</t>
  </si>
  <si>
    <t>🗣️¡Atenta invitación!
Acompaña a @MisionMexOI al evento conmemorativo virtual del 40° aniversario del otorgamiento del Premio Nobel de la Paz @NobelPrize al Embajador Alfonso García Robles. 🏅
📅Hoy, 14 de diciembre, 5PM
👉Regístrate en: mexicounoge@sre.gob.mx 
🇲🇽🤝🌎🕊️ https://t.co/5qXQrChadk</t>
  </si>
  <si>
    <t>🧵1/3 Albergar un #mundial va más allá que solo partidos, es un tema geopolítico y de #DiplomaciaPúblicaMX relevante para renovar y fortalecer la imagen país. En 🇶🇦@kataraqatar se conservan algunos #ColoresAromasySabores que 🇲🇽ha dejado en su paso en la historia de los mundiales: https://t.co/i1I4ROvu81</t>
  </si>
  <si>
    <t>Recibimos en #CentroMéxicoQatar2022 a @fersch_4  @FOXSportsMX toda una leyenda viviente en el fútbol 🥅🇲🇽 y ¡siempre presente en los mundiales desde #Argentina78! !Ya🌧️Fer!😀 
Conversamos de lo que involucra por parte de los gobiernos el próximo mundial #Norteamérica2026🇲🇽🇺🇸🇨🇦. https://t.co/3TCRPnNx3f</t>
  </si>
  <si>
    <t>Un gustazo contar con el entusiasmo y compromiso de @LuisLara en el equipo de protección de #CentroMéxicoQatar2022 @SRE_mx. Todo un acervo y experiencia como enviado de @SRE_mx en #Sudáfrica2010🇿🇦 #Brasil2014🇧🇷 #Rusia2018🇷🇺 y @Qatar2022🇶🇦.
@m_ebrard  @r_velascoa  @vcalva https://t.co/nDt3qYG1SA</t>
  </si>
  <si>
    <t>Nos visitó en #CentroMéxicoQatar2022 el amigo @LRZague, leyenda futbolística @miseleccionmx.
Conversamos sobre el legado de la afición mexicana en la @FIFAWorldCup y el ambiente de #Qatar2022 , los planes rumbo a #Norteamérica2026🇲🇽🇺🇸🇨🇦⚽️y de paso ¡qué nos graba este video! https://t.co/cMSQwZ4ciC https://t.co/0ghLYxWK1J</t>
  </si>
  <si>
    <t>📅 40 years ago, on Dec. 1982, 🇲🇽diplomat Alfonso García Robles received the Nobel Peace Prize, becoming the first Mexican to receive the @NobelPrize. 🏅
His dedication to working towards disarmament was enshrined in the Treaty of Tlatelolco (1967) @OPANAL 
🇲🇽🤝🌎🕊️ https://t.co/dinJ3OLQgc</t>
  </si>
  <si>
    <t>▶️ Desde Doha, @LRZague te recuerda que cuentas con el #CentroMéxicoQatar2022 para cualquier eventualidad que te ocurra en el Mundial de #Qatar2022. Disfrutemos de la última etapa de la fiesta mundialista con responsabilidad. 
🇲🇽🤝🇶🇦⚽️ https://t.co/oQlwYic30a</t>
  </si>
  <si>
    <t>En el popular programa de radio 📻 en lengua española #ElDespertador de @holaqatar92 hablé hoy sobre la formación de la identidad nacional de México. La cultura acerca y permite un mejor conocimiento entre países amigos. ¡La vasta cultura mexicana es muy apreciada en Qatar!🇲🇽🤝🇶🇦 https://t.co/EsJM5WcqJJ</t>
  </si>
  <si>
    <t>Agradecemos a Dr.Darwish Al Shebani @DSAlshebani, SG del @gpdnetorg el apoyo a la delegación de🇲🇽en la instalación del #CentroMéxicoQatar2022 en @kataraqatar, encomienda del @GobiernoMX vía @SRE_mx en apoyo a la afición, así como fortalecer la alianza #DiplomaciaPública🇲🇽🤝🇶🇦.1/2 https://t.co/llnDW89o7S</t>
  </si>
  <si>
    <t>Recibimos a nuestro amigo Darwish Al Shebani, SG del Global Public Diplomacy Network @gpdnetorg a quien agradecemos el gran apoyo de la Fundación @kataraqatar para cedernos el espacio para instalar el #CentroMéxicoQatar2022 y así atender a la numerosa afición🇲🇽#Qatar2022.1/4 https://t.co/KuPjrj4DmC</t>
  </si>
  <si>
    <t>Sumando esfuerzos se avanza en la consolidación de los ricos lazos de amistad y cooperación entre 🇲🇽🤝🇶🇦 https://t.co/WMltDCo6Q0</t>
  </si>
  <si>
    <t>📸 El Emb. @ordorica_g de @EmbaMexQatar asistió al evento dedicado a la comunidad latina en Doha, organizado por @MOCQatar en colaboración con @holaqatar92. La agrupación «Los Mexiquenses de Tultepec» amenizaron la tarde con música mexicana tradicional.
🇲🇽🤝🇶🇦 https://t.co/mRCAAHCrGV</t>
  </si>
  <si>
    <t>La afición 🇲🇽 es única, pues entre bailes💃, música🎶 y cantos mantiene la alegría en las calles de Doha, además es una de las aficiones más numerosas y queridas por la @FIFAWorldCup #Qatar2022. Por ello te presentamos algunos elementos icónicos de la misma💚.
@m_ebrard @SRE_mx https://t.co/8kNvz2xPVr</t>
  </si>
  <si>
    <t>📄Inician trabajos de transición para la Copa Mundial Norteamérica 2026.
https://t.co/Ee23Uq3qD0 https://t.co/e4e1e10U5h</t>
  </si>
  <si>
    <t>El día de hoy, en #Qonexion #GaleríaM7 @Qatar_Museums nos reunimos con los jóvenes creadores Agustín Vélez 🇲🇽 y Fahad Al-Obaidly 🇶🇦 para hablar de iniciativas de promoción de cultura mexicana y su potencial para estimular un mejor conocimiento de nuestro país en Qatar. 🇲🇽🤝🇶🇦 https://t.co/zjHNNK3fQi</t>
  </si>
  <si>
    <t>En #Qatar2022 dejan 🐾 los #ColoresOloresSabores y tonalidades de 🇲🇽 en un despliegue de @DiplomaciaPubl. @CarameloMX_ es una figura de este mundial ⚽️ y lo podemos ver hasta en la publicidad en 🇶🇦.Hoy nos visitó en el #CentroMéxicoQatar2022 @SRE_mx @IME_SRE en @VillageKatara https://t.co/YlgKbXJ68B</t>
  </si>
  <si>
    <t>En camino a #Norteamérica2026  ⚽️ 🇲🇽🇺🇸🇨🇦 nos reunimos con @massimontanarii CEO de @The_ICSS que en el marco de @UN @UNICRI @UNAOC conducen el legado para la seguridad de grandes eventos deportivos del🌎. @SRE_mx @m_ebrard @marthadelgado @r_velascoa @ejaramillon @DiplomaciaPubl https://t.co/k1lgZNNG8l</t>
  </si>
  <si>
    <t>Con el gran @hugosanchez_9 ⚽️ 🇲🇽 conversamos hoy acerca del fútbol mexicano y del acompañamiento de @GobiernoMX @SRE_mx a la afición mexicana que está en #Qatar para que no tenga contratiempos y disfrute la Copa FIFA 2022. #CentroMexicoQatar2022 @DiplomaciaPubl @IME_SRE https://t.co/dvTnv8fzMg</t>
  </si>
  <si>
    <t>Conoce lo que la Ventanilla de Salud #VDS⚕️ en #Qatar2022⚽️🇶🇦  puede hacer por ti. ▶️https://t.co/gv1np8hxWz
Ante cualquier emergencia comunícate con el #CentroMéxicoQatar
📞 principal: (+974) 4012 0590
📞 protección: (+974) 4012 0586 o (+974) 4012 0587
@SRE_mx @luisgure https://t.co/LPc6hq5TK9</t>
  </si>
  <si>
    <t>📌Si estás en Doha, el personal del #CentroMéxicoQatar2022 está preparado para asistirte en caso de requerirlo, incluso, si extravías tu pasaporte mexicano.
Para más información, visita #MiConsulado.
🔗https://t.co/OhtnDzhfRH
🇲🇽🤝🇶🇦⚽️ https://t.co/h9jnYItmVH</t>
  </si>
  <si>
    <t>En #Qatar además de #Futbol hay #Literatura. En la notable @QNLib asistí a evento sobre obra de la italiana #GraziaDeledda. Avanzada de su tiempo ganó el Nobel de Literatura en 1926, un año después del nacimiento de #RosarioCastellanos, orgullo de las letras de México. 🇲🇽🤝🇮🇹🤝🇶🇦 https://t.co/LuMQL4uD6F</t>
  </si>
  <si>
    <t>📢A la comunidad mexicana en Qatar:
👉¡Súmate a este programa especial en el que juntos limpiaremos un bello rincón histórico de Qatar, nos divertiremos y fomentaremos la conciencia ambiental!🍀 #DEAPQatar
☎️Registro y mayores informes al:
4450 8005 / 8008
mbernal@sre.gob.mx https://t.co/vgNSqAtpfu</t>
  </si>
  <si>
    <t>La relación entre #México y #Qatar es promisoria. Hay notables ventanas de oportunidad y gran amistad entre sus pueblos y gobiernos. Son tiempos para seguir sumando en beneficio mutuo. Así lo señalé hoy a @holaqatar92 @qmc_qa conocida estación radiofónica de habla hispana. 🇲🇽🤝🇶🇦 https://t.co/VVao5Jd9iq</t>
  </si>
  <si>
    <t>📸 🇲🇽, 🇺🇲 y 🇨🇦 asumirán el próximo Mundial de futbol en #Norteamérica2026. Los tres países se preparan en temas de seguridad, comunicación, logística e innovación, como parte del legado de #Qatar2022, a través del Programa de Observación del Ministerio del Interior @MOI_Qatar. https://t.co/YdQQbget0W</t>
  </si>
  <si>
    <t>#CentroMexicoQatar2022 🇲🇽🤝🇶🇦 https://t.co/osZg9a54eI</t>
  </si>
  <si>
    <t>📸 El canciller @m_ebrard y el director general de @Tu_IMSS, @zoerobledo, realizaron la firma del convenio para la afiliación al Seguro Social de personas trabajadoras mexicanas que residen en el exterior. El secretario destacó que, en 2023, las y los paisanos contarán con:
🧵 https://t.co/leqviO7O2E</t>
  </si>
  <si>
    <t>Agradecimos al Cor. Al-Kaabi el apoyo y coordinación con #CentroMéxicoQatar2022 @SRE_mx y @GN_MEXICO_ a través del #InternationalPoliceCooperationCenter @SeCommittee2022 por su vinculación con la afición de🇲🇽 y legado rumbo al mundial #Norteamérica2026🇲🇽🇺🇸🇨🇦 @m_ebrard @r_velascoa https://t.co/yX1UBWy7x4</t>
  </si>
  <si>
    <t>Afición 🇲🇽 si te encuentras en la @FIFAWorldCup 🏆 #Qatar2022, recuerda que el #CMQ2022 continúa operando hasta el 20 de diciembre, a través de servicios consulares, protección, diplomacia pública y ventanilla de salud. 
📞atención: (+974)4012 0590 
📞protección: (+974)4012 0586 https://t.co/0GiGnZiMNC</t>
  </si>
  <si>
    <t>📌Si estás en Doha, el personal del #CentroMéxicoQatar2022 está preparado para asistirte en caso de requerirlo, incluso, si extravías tu pasaporte mexicano.
Para más información, visita #MiConsulado.
🔗https://t.co/OhtnDzhNHf
🇲🇽🤝🇶🇦⚽️ https://t.co/e06mzyahOq</t>
  </si>
  <si>
    <t>El embajador @ordorica_g entabló un diálogo enriquecedor con @alsalem_qa147, director @musicaffairsqtr. También visitó los puestos de los emprendedores mexicanos Mex Group y Smash it Piñatas. https://t.co/5EiZa3enaY</t>
  </si>
  <si>
    <t>𝑼𝒏𝒂 𝒕𝒂𝒓𝒅𝒆 𝒄𝒐𝒏 𝒔𝒂𝒃𝒐𝒓 𝒎𝒆𝒙𝒊𝒄𝒂𝒏𝒐 🇲🇽🎼
El pasado 4 de diciembre, la agrupación de música tradicional de mariachi ‘Los Mexiquenses de Tultepec’ amenizó un evento dedicado a la comunidad latina en #Qatar de parte de @MOCQatar en colaboración con @holaqatar92. https://t.co/jvD2UzvrXi</t>
  </si>
  <si>
    <t>📌¡Si te encuentras en #Qatar, recuerda que el #CentroMexicoQatar2022 🇲🇽🇶🇦 sigue a tu servicio en el Centro Cultural Katara! Te recomendamos cómo puede ayudarte y que TAMBIÉN cuenta con una Ventanilla de Salud #VDS para atenderte. ¡Hidrátate!💧
@SRE_mx https://t.co/PVecCxt461</t>
  </si>
  <si>
    <t>En #Qatar2022 continua la presencia de la afición 🇲🇽 a 10 partidos rumbo a la final (18 dic Estadio de Lusail). Si te encuentras en Doha, recuerda que cuentas con el #CentroMéxicoQatar2022 @SRE_mx @IME_SRE en el corredor 3 del Anfiteatro @VillageKatara @kpdcenter @DiplomaciaPubl https://t.co/ESEDTraFE2</t>
  </si>
  <si>
    <t>⏩ Te compartimos la agenda de actividades y conferencias que se llevarán a cabo por Semana de Atención e Información a la Mujer en el Exterior.👩🏽‍🦳
🌏  ¡Asiste de forma virtual a las que más te gusten! Son gratuitas. ✅
@SRE_mx @luisgure https://t.co/IB3qeiByDy</t>
  </si>
  <si>
    <t>¿Estás por @kataraqatar? 
👉🏾¡Conoce a @RebecaMayorga, talentosa mexicana 🇲🇽que canta en #Qatar2022  "Alqamar Yudi" (La luna en su esplendor)! — Pieza que combina ritmos latinos y árabes fusionando ambas culturas🇲🇽🤝🇶🇦.
📆HOY 7:30pm, 📍Katara Hall 12 
🔗https://t.co/wPLWq5H6wy https://t.co/jyAR13VHrR</t>
  </si>
  <si>
    <t>Visité la Dirección del @musicaffairsqtr y me entrevistó @holaqatar92. Con la compañía de mi anfitriona Ma. Fernanda Del Río 🇲🇽hablé de la original y rica cultura mexicana y de su creciente presencia en Qatar. 🇲🇽🤝🇶🇦 https://t.co/dfVNrz8GdN</t>
  </si>
  <si>
    <t>Cerca de la comunidad Mx en Qatar, participé en evento promocional de productos artesanales de México y en audición de Mariachi #LosMexiquenses de Tultepec. ¡Al entonar México lindo y querido la emoción nos invadió a todos! https://t.co/oQQK2tP0g2</t>
  </si>
  <si>
    <t>Espléndida reunión hoy con Gina Tello @AEM_mx @aem_usa para impulsar comercialización en Qatar de productos mexicanos. Gran iniciativa que reconoce ventajas comparativas de México y con potencial para fortalecer lazos entre los dos países.#Sociedad #Amistad 🇲🇽🤝🇶🇦 https://t.co/wECQP2AHKG</t>
  </si>
  <si>
    <t>SigoalTRI</t>
  </si>
  <si>
    <t>📢 Mensaje en VIDEO para:
@SRE_mx, @DiplomaciaPubl, @ALFZEGBE y su Gran Equipo, @EmbaMexQatar, @m_ebrard y todos involucrados/as en el #CentroMéxicoQatar2022 🙌.
De parte de @SigoalTRI y de todos/as mexicanos 🇲🇽 que acudimos a #Qatar2022
https://t.co/P5u0V1PYuA</t>
  </si>
  <si>
    <t>Mexican Centre promotes public diplomacy during Qatar 2022 | The Peninsula Qatar ⁦@PeninsulaQatar⁩ #CentroMéxicoQatar2022 ⁦@SRE_mx⁩ ⁦@EmbaMexQatar⁩ ⁦@IME_SRE⁩ ⁦@DiplomaciaPubl⁩ ⁦ https://t.co/0KS8eEkz1R</t>
  </si>
  <si>
    <t>Mexicanos/as que siguen en #Qatar2022, el #CentroMéxicoQatar2022 sigue atendiendo. ¡Magnífica labor! 
📍 Katara, Entrada 3 del Anfiteatro. 
@SRE_mx @DiplomaciaPubl @ALFZEGBE https://t.co/zeFlPRZ5vp</t>
  </si>
  <si>
    <t>fdelatg</t>
  </si>
  <si>
    <t>La diplomacia de México @SRE_mx tiene plasmada en su ADN la asistencia consular 24/7 ⏰ por y para las personas mexicanas 🇲🇽 en el 🌍🌎 y hoy especialmente @fifaworldcup_es 🇶🇦. Enhorabuena equipo integral  #CentroMexicoQatar2022 @ALFZEGBE @vcalva @luisgure https://t.co/wSHFeKqPeA</t>
  </si>
  <si>
    <t>✍️ «El Mundial de futbol de #Qatar2022 es una fiesta deportiva que acredita el potencial del deporte para generar distensión y acercar a los pueblos […] Constituye un momento emblemático del regreso a la normalidad», @ordorica_g en @Siempre_revista
https://t.co/QCvsYc0rzQ https://t.co/B9NExayFG4</t>
  </si>
  <si>
    <t>📸 La @EmbaMexQatar acompañó a las y los aficionados de México que participaron en la «Friendship Cup», en el marco de #Qatar2022. 
El equipo femenil alcanzó la segunda posición, mientras que el combinado varonil logró el cuarto sitio. ¡Muchas felicidades!
🇲🇽🤝🇶🇦 https://t.co/BVCUlbPxeY</t>
  </si>
  <si>
    <t>👌🏽👇🏽🇲🇽⚽️ https://t.co/XOiwgWuhry</t>
  </si>
  <si>
    <t>Un profundo agradecimiento a @dmillan y @estebang83 de la Coordinación General del #CentroMéxicoQatar2022, así como al estupendo equipo de comunicación social @SRE_mx que ha llevado la difusión de la estrategia preventiva, mensajes a la afición 🇲🇽 y la vinculación con los medios. https://t.co/YuS3CPMlS8</t>
  </si>
  <si>
    <t>#ComunicadoSRE |  El canciller Marcelo Ebrard lanzó un comunicado donde da a conocer detalles del #CentroMéxicoQatar, dedicado a los connacionales que  fueron a apoyar a la Selección Mexicana a #Qatar2022. 🇲🇽⚽
Lee el comunicado aqui 👉 https://t.co/bMA1W1dzy8
@SRE_mx https://t.co/UEpPPqhhNE</t>
  </si>
  <si>
    <t>📝 @vcalva: a través del #CentroMéxicoQatar2022 hemos tenido un acercamiento constante con los miles de personas que han viajado a🇶🇦. Se implementó la estrategia preventiva, emisión de pasaportes de emergencia, el enlace con autoridades qatarís y operación de Ventanilla de Salud. https://t.co/nAxppZYmN4</t>
  </si>
  <si>
    <t>#Qatar2022 nos permitió constatar que la #ProtecciónConsular que otorga #México es única y reconocida a nivel mundial, fortalecida por el énfasis en la prevención, por ser integral y particularmente por el personal consular que la ejerce 🙌🏽🇲🇽 @SRE_mx @DiplomaciaPubl @ALFZEGBE https://t.co/Y1G8r69mO3</t>
  </si>
  <si>
    <t>✍️ «Nuestra presencia ha sido constante y con una atención única en #Qatar2022. Con orgullo, podemos decir que solo México🇲🇽 ha desplegado un ejercicio de asistencia y protección con estas características», @vcalva escribe en @Milenio.
https://t.co/fde9d2LK8s https://t.co/1cIWzpHT5M</t>
  </si>
  <si>
    <t>Conoce a @RebecaMayorga, nuestra paisana🇲🇽que canta en #Qatar2022 "Alqamar Yudi" (La luna en su esplendor) la cual combina ritmos y tiene como elemento central a la🌖, elemento que fusiona ambas culturas🇲🇽🤝🇶🇦.
@QatarTelevision📺: https://t.co/0kvqS6Ihxf
#DiplomaciaPúblicaMX https://t.co/YBRm4vbwhq</t>
  </si>
  <si>
    <t>🎙️@ALFZEGBE:
"The #CentroMexicoQatar2022 has been set up in @kataraqatar as a result of good relations between 🇲🇽 and the Cultural Village... and as part of a strategy of Mexico towards the next World Cup."
@DiplomaciaPubl @gpdnetorg @PeninsulaQatar 
https://t.co/JMzGRFJcv1</t>
  </si>
  <si>
    <t>Atención 👇🏽 #MexicoVsArabia #Qatar2022 https://t.co/HfxBzzvEcu</t>
  </si>
  <si>
    <t>Este es el estadio de Lusail, el mayor de los 8 🏟️ en #Qatar2022 y en donde hoy las aficiones de 🇲🇽 y 🇸🇦 pintarán de color verde las gradas ⚽️. !Vamos México! 🇲🇽 https://t.co/MGXzy2X6vZ https://t.co/STyNMIL2VG</t>
  </si>
  <si>
    <t>Estrategia integral de asistencia, #ProtecciónConsular y vinculación a través del #CMQ2022 para las personas 🇲🇽 en #Qatar2022 💪🏽 ⚽️ https://t.co/7dmj2vniRt</t>
  </si>
  <si>
    <t>El equipo de #ProtecciónConsular 🇲🇽informando a las personas mexicanas que llegan al juego #MexicoVsArabia sobre cómo la @SRE_mx a través del #CMQ2022 y @EmbaMexQatar les pueden ayudar en casos de requerir asistencia durante #Qatar2022 👌🏽👇🏽 https://t.co/L6GccbXr7Z</t>
  </si>
  <si>
    <t>▶️ ¡Ten presente esta información! Hoy, en el partido México🇲🇽 - Arabia Saudita🇸🇦, en #Qatar2022, el personal del #CentroMéxicoQatar2022 de la @SRE_mx, la @EmbaMexQatar y el @IME_SRE te recuerdan lo siguiente: https://t.co/6ygKMZbNvS</t>
  </si>
  <si>
    <t>Vas al partido #MéxicoVsArabia? Recuerda que puedes llamar al #CMQ2022 en caso de requerir asistencia o #ProtecciónConsular. Toma nota de los teléfonos de emergencia y busca al equipo que estará distribuyendo información preventiva frente al estadio 🇲🇽🏟️ 
#Qatar2022 #Mex https://t.co/CBjuNfX8JP</t>
  </si>
  <si>
    <t>Horas antes del partido 🇲🇽🆚🇸🇦, la afición mexicana en #Qatar2022 ya está reunida y muy animada, calentando motores. Hay esperanza. Hay pasión. @FIFAWorldCup 
Fotos: @FMF 
#MéxicoDeMiVida ⚽️ https://t.co/1187eCaODD</t>
  </si>
  <si>
    <t>🇲🇽🗣️ ¿Vas a apoyar a @miseleccionmx al Estadio Lusail? 
Revisa las rutas de trasporte disponible para llegar al estadio 🏟️ e inundar de verde #Qatar2022  
¡Vive el Mundial! ¡México en Qatar!
🇲🇽🤝🇶🇦
#CentroMexicoQatar2022 
@SRE_mx @DiplomaciaPubl https://t.co/XvSk2Dc5uw</t>
  </si>
  <si>
    <t>¡Gran día! México y Arabia Saudita darán hoy un gran partido de fútbol ⚽️. ¡Si vas al estadio sigue las reglas y disfruta! En #CentroMexicoQatar2022 y @EmbaMexQatar estamos #CercaDeTi @roadto2022es 👇🏻 https://t.co/hdyfBZcrxU</t>
  </si>
  <si>
    <t>Vas al partido #MexicoVsArabia? No olvides:
1️⃣ Llevar copia impresa de tu pasaporte y Hayya Card 🪪
2️⃣ Llegar al estadio con tu boleto 
3️⃣ La venta/compra de 🎫 en reventa es un crimen penado con prision y/o multa🚨
4️⃣ Recuerda los ☎️ de emergencia 
#ProtecciónConsular #Qatar2022 https://t.co/QO66zXvU0k</t>
  </si>
  <si>
    <t>Lamento profundamente el deceso de nuestro embajador en Ghana , Enrique Escorza. Mis sentidas condolencias a su familia y amigos , descanse en paz.</t>
  </si>
  <si>
    <t>Que privilegio para el #CentroMéxicoQatar2022 contar con la pasión y compromiso de @vcalva, DG de Protección Consular y Planeación Estratégica de @SRE_mx conduciendo las labores de protección 🌎 y apoyo a personas 🇲🇽 desde Doha 24/7. ¡Muy buen regreso querida Vane y 🙏!  1/2. https://t.co/w5mOb8wZtE</t>
  </si>
  <si>
    <t>32 equipos, 32 embarcaciones y 32 banderas en #Qatar2022 🇲🇽.  Desde @VillageKatara @kpdcenter corazón cultural de Qatar 🇶🇦 y donde se encuentra ubicado el #CentroMéxicoQatar2022 #CMQ22 https://t.co/XAeiUru7ag https://t.co/yp19ht3sLQ</t>
  </si>
  <si>
    <t>SoyCharroMex</t>
  </si>
  <si>
    <t>Charro : Y en Qatar les caemos bien los mexicanos ? 🇶🇦⚽️🇲🇽 #CentoMéxicoQatar2022 @DiplomaciaPubl @EmbaMexQatar @micorazonazteca @SigoalTRI https://t.co/XS63C3PD1d</t>
  </si>
  <si>
    <t>En #Qatar2022, la ventanilla de salud del #CentroMéxicoQatar2022 te puede apoyar en caso de que necesites ayuda médica.
☎️Atención principal: (974) 4012 0590 
Si necesitas una ambulancia, llama al 999. 
Sigue la información de @SRE_mx @IME_SRE @DiplomaciaPubl y @EmbaMexQatar.</t>
  </si>
  <si>
    <t>▶️ Si te encuentras en #Qatar2022, recuerda que cuentas con la ventanilla de salud del @IME_SRE en el #CentroMéxicoQatar2022, en donde podrás encontrar orientación en servicios de salud, en Doha, y asistencia para hidratación. 
🇲🇽🤝🇶🇦⚽️ https://t.co/61fe7wHj1i</t>
  </si>
  <si>
    <t>@Tralexita1 @vcalva @ordorica_g @DiplomaciaPubl @ALFZEGBE @FIFAWorldCup @fifaworldcup_es @estebang83 El caso ya fue atendido. El Sr. Mejía ya está con contacto con su familia. Recordamos a las personas mexicanas los teléfonos de emergencia localizados en las siguientes infografías: 
#CentroMéxicoQatar2022 https://t.co/vsGRz4V9PS</t>
  </si>
  <si>
    <t>@Tralexita1 El caso ya fue atendido. El Sr. Mejía ya está con contacto con su familia. Recordamos a las personas mexicanas los teléfonos de emergencia localizados en las siguientes infografías: 
#CentroMéxicoQatar2022 https://t.co/RzpuiJwRfO</t>
  </si>
  <si>
    <t>Me reporta el gobierno de Qatar que no ha habido ningún mexicano detenido durante el mundial de fútbol en curso . Bien !!</t>
  </si>
  <si>
    <t>¡Gracias por el gran trabajo en equipo!
🇲🇽🤝🇦🇷
#CentroMéxicoQatar2022 #mexicoargentina @DiplomaciaPubl https://t.co/sfQB5TpiTG</t>
  </si>
  <si>
    <t>México!! https://t.co/bjCMtFMUY7</t>
  </si>
  <si>
    <t>miseleccionmx</t>
  </si>
  <si>
    <t>¡VAMOS MÉXICO!
VAMOS, VAMOS VAMOOOOOOOOOOS!</t>
  </si>
  <si>
    <t>¡Hoy el partido de 🇲🇽 vs 🇦🇷 tiene lugar en el Estadio Lusail! 🏟 Mismo en el que @miseleccionmx 🇲🇽 enfrentará a Arabia Saudita 🇸🇦 la próxima semana y también en el que se disputará la final de la @FIFAWorldCup 🏆 ¡VAMOS MÉXICO! 💚🤍❤️
@m_ebrard 
@SRE_mx https://t.co/khbpKnzi3M</t>
  </si>
  <si>
    <t>¡Hoy juega @miseleccionmx 💚!
Por 4ta ocasión en una Copa del Mundo 🇲🇽 enfrenta a 🇦🇷, en un partido que promete estar cargado de emociones y adrenalina. Les deseamos todo el éxito a @miseleccionmx  ¡HACIA LA VICTORIA! 🏆¡VAMOS MÉXICO! 🇲🇽 
@SRE_mx 
@m_ebrard 
#MéxicoDeMiVida💚🤍♥️ https://t.co/vHFyzY3meA</t>
  </si>
  <si>
    <t>¡Entusiasta y alegre, así es la afición mexicana que llega al estadio #Lusail. En #CentroMexicoQatar y @EmbaMexQatar los acompañamos y les brindamos información para que se lleven el mejor recuerdo de esta @roadto2022 https://t.co/vWt2XFAuwZ</t>
  </si>
  <si>
    <t>📌 Estamos a 2 horas del inicio del encuentro entre México 🇲🇽 y Argentina 🇦🇷 en #Qatar2022.⚽
 Ten en cuenta las siguientes frases en caso de una situación de emergencia.👮‍♀️
@SRE_mx @luisgure @EmbaMexQatar https://t.co/I5md2DF7l0</t>
  </si>
  <si>
    <t>⚠️Nuestra labor es asegurar que la persona sepa cuáles son los derechos-recursos legales que tiene a partir del marco legal del país en dónde se encuentra. Damos acompañamiento al proceso y aseguramos que cuente con representación legal #ProtecciónConsular🇲🇽#CentroMexicoQatar2022 https://t.co/hPCfuZNy7k</t>
  </si>
  <si>
    <t>Un panorama de la amplia presencia de la afición mexicana 🇲🇽 en #Qatar2022. En el 7o día de @roadto2022 🇲🇽 está presente en todos los espacios públicos de la capital de Qatar 🇶🇦. #CentroMéxicoQatar2022 @SRE_mx #CMQ22 @IME_SRE @EmbaMexQatar crédito: @pulgaps https://t.co/nTO8ktTimS</t>
  </si>
  <si>
    <t>Este es el #Lusailstadium con capacidad para 80,000 espectadores y en donde hoy juegan las selecciones de 🇲🇽 @miseleccionmx y 🇦🇷 @Argentina ⚽️. ¡Vamos México 🇲🇽 🇲🇽 🇲🇽! #CentroMéxicoQatar2022 #CMQ22 @SRE_mx https://t.co/TuIqZzjgN2 https://t.co/ZNqWFVif2O</t>
  </si>
  <si>
    <t>🚨Atención personas mexicanas en caso de requerir asistencia o protección consular por favor contacta a @EmbaMexQatar o a nuestros teléfonos de emergencia 
+ 974 3363 4460 https://t.co/GaEf4qtCN1</t>
  </si>
  <si>
    <t>Despite all criticism, the World Cup is a unique opportunity to foster friendship, understanding, and collective learning of cultures, values, traditions &amp;amp; languages. I am so privileged to witness it in #Qatar. Here, a spontaneous sample at today’s game between Mexico &amp;amp; Poland. https://t.co/36wJw1EXwA</t>
  </si>
  <si>
    <t>▶️Si estás en #Qatar2022, recuerda que algunas prácticas están penadas, como la reventa de boletos o las riñas. El personal del #CentroMéxicoQatar2022 estará en el estadio del partido México🇲🇽 - Argentina🇦🇷 para asistirte en caso de requerirlo.
🔗https://t.co/OhtnDzhNHf
🇲🇽🤝🇶🇦⚽️ https://t.co/OTEeHCbaAQ</t>
  </si>
  <si>
    <t>⚽️✴️La Embajada de México se suma al #DíaNaranja, en conmemoración del "Día Internacional de la Eliminación de la Violencia contra la Mujer" con el fin de sumar esfuerzos, actuar, generar conciencia y prevenir la violencia contra mujeres y niñas.
#orangeday #OrangeTheWorld https://t.co/n0pDK5ox16</t>
  </si>
  <si>
    <t>▶️ El personal del #CentroMéxicoQatar2022 está preparado para asistir a las y los connacionales que acudan al partido México🇲🇽 - Argentina🇦🇷, en #Qatar2022. ¡Recuerda tomar todas tus precauciones y disfrutar sanamente del encuentro!
🔗 https://t.co/OhtnDzhfRH
🇲🇽🤝🇶🇦⚽️ https://t.co/DuALruEHMu</t>
  </si>
  <si>
    <t>@vcalva @CancilleriaARG @FIFAWorldCup @EmbaMexAr @mborregol @RossbachLilia @maximilianoreyz @DiplomaciaPubl @ALFZEGBE @estebang83 👍🏻</t>
  </si>
  <si>
    <t>Con nuestros amigos de @CancilleriaARG Ha sido un gran gusto intercambiar buenas prácticas y colaborar en materia de #ProtecciónConsular para apoyar a nuestras aficiones en @FIFAWorldCup #Qatar2022 🇲🇽⚽️🇦🇷 https://t.co/5f6fsVp4Tb</t>
  </si>
  <si>
    <t>Guillermo Ochoa 🇲🇽 (@yosoy8a) y Andrés Guardado 🇲🇽 (@AGuardado18) pertenecen al Club de las 5 @FIFAWorldCup ⭐️ al disputar su 5ta 🏆 del 🌎 con @miseleccionmx 💚🤍♥️ Su experiencia mundialista ha sido incondicional para México 🇲🇽 en #Qatar2022 🇶🇦
#MéxicoDeMiVida 🫶🏻
@FIFAcom 📸⚽️ https://t.co/bjn7p6vAW5</t>
  </si>
  <si>
    <t>Damos la bienvenida al #CentroMéxicoQatar2022 @SRE_mx a Fernando Valdés @sedlavo a cargo de sección consular del #CMQ22 @EmbaMexQatar ubicado en @VillageKatara, Metro Katara, pasillo 3 del Anfiteatro.En caso de extravío acude al #CMQ22 para expedición pasaporte de emergencia.2/2. https://t.co/jrsmos10QH</t>
  </si>
  <si>
    <t>En el #CentroMéxicoQatar2022 despedimos a @luises_arellano, nuestro cónsul en el #CMQ. Agradecemos su trabajo en la estrategia #Qatar22 y en la expedición del pasaporte emergencia 🚨.¡Muchas gracias @r_velascoa y @jaime_vbt x todo el apoyo de la UAN y DGS Consulares @SRE_mx! 1/2 https://t.co/txe3RndqaJ</t>
  </si>
  <si>
    <t>1/2 La #ProtecciónConsular de la @SRE_mx  contempla apoyar a personas 🇲🇽 en sus interacciones con autoridades extranjeras, ya sea porque sus derechos/bienestar fue afectado (pérdida/robo documentos, fraude, asaltos, violación de derechos) o porque cometieron una falta o crimen https://t.co/Qy6rblEXJs</t>
  </si>
  <si>
    <t>▶️ ¿Qué debo hacer si extravié mi pasaporte mexicano en #Qatar2022? Sigue estas recomendaciones del Charro (@SoyCharroMex) y recuerda que cuentas con el #CentroMéxicoQatar2022.
🔗 https://t.co/OhtnDzyQJf
🇲🇽🤝🇶🇦⚽️ https://t.co/Dg8vwE8Y9s</t>
  </si>
  <si>
    <t>Para la Coordinación General del #CentroMéxicoQatar2022 del @GobiernoMX vía @SRE_mx, es un privilegio contar en Doha con el acompañamiento de la @GN_MEXICO_ en su calidad de Policia Nacional de🇲🇽 en el #CMQ22 y el #IPCC. Muchas gracias comandante @Luis_r_buci y com. J. Villafaña. https://t.co/ATGb6SK2YO https://t.co/hCQeOktpxF</t>
  </si>
  <si>
    <t>En Doha se encuentra operando el #CMQ2022 en🇶🇦,un espacio cedido por la Fundación @kataraqatar en donde brindamos servicios a la afición🇲🇽como son: información, diplomacia pública, ventanilla de salud, apoyo y asistencia consular, como una extensión de @EmbaMexQatar.1/2 https://t.co/nQn50zi0qc</t>
  </si>
  <si>
    <t>▶️ El camino de @miseleccionmx continúa en #Qatar2022, este sábado, frente al equipo argentino. «Cuatro Naciones a Través del Fútbol» te presenta su próximo capítulo sobre los vínculos México🇲🇽-Argentina🇦🇷. No te pierdas este adelanto del episodio.
#DiplomaciaDeportivaMX https://t.co/ysUwJagF3A</t>
  </si>
  <si>
    <t>▶️ Si eres mexicana o mexicano, y te encuentras en #Qatar2022, ten en cuenta esta información valiosa para evitar cualquier inconveniente que te impida disfrutar de tu estancia en el país del Medio Oriente.
#CentroMéxicoQatar2022
🇲🇽🤝🇶🇦⚽️ https://t.co/SDJ86kKVoF</t>
  </si>
  <si>
    <t>En amistosa y productiva visita, recibí a jóvenes empresarios #Mx de @GuadalajaraGob. Acordamos emprender acciones de acercamiento económico con Qatar, país líder en la Península Arábiga. #JuntosLoHacemosBien🇲🇽🤝🇶🇦 https://t.co/l2YLEAlk1V</t>
  </si>
  <si>
    <t>Con Iván Lara, Director General del @cceoficialmx de Ciudad Juárez, conversé hoy sobre el potencial de la relación entre México y Qatar. Lejanos en la geografía pero cercanos en los afectos, ambos países ofrecen ventanas de oportunidad. 🇲🇽🤝🇶🇦 https://t.co/tXSijb0sem</t>
  </si>
  <si>
    <t>Este es el Anfiteatro de Katara @VillageKatara, contiguo al #CentroMéxicoQatar2022 #CMQ22 y donde desde el 18 de noviembre es ya emblemático para la afición mexicana cantar el #CielitoLindo 🇲🇽 en Doha @FIFAWorldCup @roadto2022es @m_ebrard @EmbaMexQatar @DiplomaciaPubl @IME_SRE https://t.co/vXH6juCRV1 https://t.co/3muXsrGBtX</t>
  </si>
  <si>
    <t>▶️¿Tienes problemas con tu Hayya Card?
Recuerda que solo la FIFA podrá atender y resolver temas vinculados con la Hayya Card. 
Revisa cómo te puedes poner en contacto 👇 https://t.co/EQhoWMrMDO</t>
  </si>
  <si>
    <t>A la afición mexicana 🇲🇽 en #Qatar2022, se les recuerda que puede acudir a la Ventanilla de Salud #VDS  del  #CentroMexicoQatar2022 para recibir orientación y ayuda durante el #MundialQatar2022 🇲🇽🇶🇦⚽.
Marca al ☎️ 999 en caso de emergencia. 
 @EmbaMexQatar @SRE_mx @luisgure https://t.co/1bhnVqlm08</t>
  </si>
  <si>
    <t>El día de hoy Karen Díaz, arbitra 🇲🇽, debutó en la @FIFAWorldCup 🏆#Qatar2022 durante el partido de Marruecos 🇲🇦 vs Croacia 🇭🇷. ¡Le deseamos el mejor de los éxitos en la cancha! 🏟💚🤍❤️ ¡Es un orgullo para nuestro país! 🇲🇽 
¡México 🇲🇽 presente en el 🌎!  
#DiplomaciaPúblicaMx https://t.co/xYQsjxawnI</t>
  </si>
  <si>
    <t>@RafaelLaveagaR @vcalva @ordorica_g Todo mi reconocimiento al trabajo, entrega y dedicación 24/7 que lleva a cabo en #Qatar2022. La DG de Protección Consular y Planeación Estratégica de @SRE_mx a cargo de @vcalva con el apoyo de Luis Lara, Jorge Amor y cónsul Julio Martínez de @EmbaMexQatar #CentroMéxicoQatar2022</t>
  </si>
  <si>
    <t>▶️ Información importante para la afición mexicana en #Qatar2022 que asistirá al juego México - Argentina. 
⚽️🇲🇽 🤝🇦🇷⚽️
#CentroMéxicoQatar2022 https://t.co/88DiUYPKlR</t>
  </si>
  <si>
    <t>Debutamos en 🇶🇦 y sumamos nuestro primer punto con el empate a cero frente a 🇵🇱. 👊🏼 💚
@VisaMX presenta la crónica del partido.
👉🏼https://t.co/9kAxvL2GbG
#MéxicoDeMiVida https://t.co/6FiLHElJo0</t>
  </si>
  <si>
    <t>1/2 En la sesión informativa con representantes de @FIFAWorldCup y autoridades qatarís conversando sobre procesos para presentar quejas por posibles actos de discriminación y regulaciones sobre banderas/ropa/mensajes LGBTQ+ en los estadios
#QatarWorldCup2022 https://t.co/GHF3auuidw</t>
  </si>
  <si>
    <t>🚨Invitamos a la afición mexicana 🇲🇽 que se encuentra en Doha, a guardar los siguientes números del #CentroMéxicoQatar2022 de la
@SRE_mx y poder contar con #ProtecciónConsular mientras viven su pasión por el fútbol. 
🇲🇽🤝🇶🇦⚽️
@luisgure @EmbaMexQatar @erickhdzrdz @DDeportivaMx https://t.co/WiUX9Z94JG</t>
  </si>
  <si>
    <t>Actualización-los 4 casos se resolvieron de manera satisfactoria; dimos seguimiento puntual y mantuvimos comunicación constante c/ autoridades y personas 🇲🇽 Gracias al equipo consular por su labor, seguimos atentas en caso que requieran asistencia o #ProtecciónConsular #Qatar2022 https://t.co/GJTDAnhcOD</t>
  </si>
  <si>
    <t>▶️ La directora general de Protección Consular y Planeación Estratégica de la @SRE_mx, @vcalva, reporta el estado de la asistencia brindada a connacionales, al término del partido México - Polonia, en Doha, #Qatar2022.
🇲🇽🤝⚽️ https://t.co/LmkPhDnkAl</t>
  </si>
  <si>
    <t>Terminando la jornada de trabajo en el estadio 974. Brindamos #ProtecciónConsular a 4 personas y mantuvimos comunicación constante con personal de seguridad para ofrecer apoyo inmediato y mediación 🙌🏽 Gracias al equipo por su fantástica labor y entusiasmo 💪🏽@SRE_mx @m_ebrard https://t.co/krEtLortTi</t>
  </si>
  <si>
    <t>fifaworldcup_es</t>
  </si>
  <si>
    <t>¡OCHOA! 🧤</t>
  </si>
  <si>
    <t>.@miseleccionmx saliendo del estadio 🇲🇽⚽️🇲🇽 Seguimos al pendiente si alguien necesita asistencia consular  👍🏽 #QatarWorldCup2022 #MEX https://t.co/aInspSIhZM</t>
  </si>
  <si>
    <t>🤩¡Con emoción, todo el equipo del @IME_SRE apoyamos a @miseleccionmx 🇲🇽⚽️desde la @SRE_mx! 🙌  Si tú te encuentras apoyándola en #Qatar, recuerda que tenemos una Ventanilla de Salud #VDS en el #CentroMéxicoQatar dentro del Centro Katara. https://t.co/g1qS9vjzsK</t>
  </si>
  <si>
    <t>📸 El personal de la @SRE_mx apoya a @miseleccionmx en #Qatar2022. Nuestra afición cuenta con el #CentroMéxicoQatar2022 en Doha🇶🇦 para asistirles en caso de necesitarlo. 
¡Viva México!
🇲🇽🤝⚽️ https://t.co/wrpeN96YPZ</t>
  </si>
  <si>
    <t>🇲🇽⚽🇵🇱 Estamos a punto de vivir el partido México vs. Polonia, disfruta este previo con los vínculos deportivos entre ambos países. ¡Suerte, México! https://t.co/ZUQdnlN9GX
@SRE_mx @AMEXCID @m_ebrard @EmbamexPolonia
@TigresOficial @Rayados @santi_naveda @PLenMexico
 @OCVMonterrey</t>
  </si>
  <si>
    <t>@zonik1908 @kataraqatar @m_ebrard Te compartimos los datos de contacto: info@hayya.org y  visacenter@2022.qa Teléfonos: +974 4441 2022 y +974 5202 2810.</t>
  </si>
  <si>
    <t>@zonik1908 @kataraqatar @m_ebrard Desde ayer, y hoy, Seguimos en contacto con usted. Como se le informó, FIFA y el Supreme Committee son los responsables de procesar las solicitudes de Hayya Card y/o correcciones en sus sistemas y bases de datos.</t>
  </si>
  <si>
    <t>Estás en el estadio 974 en @FIFAWorldCup para #MEXPOL ?Recuerda que puedes pedir asistencia del @GobiernoMX a través de la @SRE_mx si necesitas asistencia o #ProtecciónConsular 🇲🇽⚽️ https://t.co/lTRCVdy7c2</t>
  </si>
  <si>
    <t>Con el equipo compartiendo nuestros números de emergencia y últimas recomendaciones antes del juego #MexvsPol ⚽️ 
Sigue llegando la gente 🇲🇽🇲🇽🇲🇽
@fifaworldcup_es #Qatar2022 
@SRE_mx @m_ebrard https://t.co/scjYIUw9E8</t>
  </si>
  <si>
    <t>¡Hoy México 🇲🇽 jugará vs Polonia 🇵🇱! Solo hemos enfrentado en una ocasión a Polonia en Copas del Mundo; sucedió en Argentina 1978 ⚽️
¡Le deseamos todo el éxito y mucho ánimo a @miseleccionmx en la cancha! 🏟 ¡VAMOS POR LA VICTORIA! 🏆 ¡MÉEEEXICO! ¡MÉEEEXICO! 🇲🇽 
#MéxicoDeMiVida🫶🏻 https://t.co/BY24F0tWn2</t>
  </si>
  <si>
    <t>@zonik1908 Te compartimos los datos de contacto: info@hayya.org y  visacenter@2022.qa Teléfonos: +974 4441 2022 y +974 5202 2810.</t>
  </si>
  <si>
    <t>@zonik1908 Seguimos en contacto con usted. Como se le informó, FIFA y SC son los responsables de procesar las solicitudes de Hayya Card y/o correcciones en sus sistemas y bases de datos</t>
  </si>
  <si>
    <t>Compartiendo los números y tarjetas en caso de emergencias de la @SRE_mx La afición receptiva y atenta a las recomendaciones y regulaciones del estadio 🙌🏽👌🏽 
#MEX  #Qatar2022 https://t.co/G7HqMUVGU5</t>
  </si>
  <si>
    <t>En medio de la marea verde 🇲🇽⚽️🇲🇽
#MEX #MEXPOL #Qatar2022 https://t.co/0l1FkwA2Up</t>
  </si>
  <si>
    <t>Si tienes problemas con tu #HayyaCard tienes que comunicarte al ☎️ +974 4441 2022 o +974 5202 2810. Hay estaciones de ayuda alrededor del estadio 974 o puedes acudir al Doha Exhibition Center. Usa estos códigos QR en caso de emergencia o asistencia ⚠️ #MEX #MexVsPol #Qatar2022 https://t.co/O7HGc3xJAH</t>
  </si>
  <si>
    <t>2/3 Tomen nota de las siguientes recomendaciones: 
1️⃣ Lleva copia de tu pasaporte, Hayya Card y boletos del partido.
2️⃣ Llega con mucho tiempo de anticipación, toma nota de los objetos que no puedes ingresar al estadio 
3️⃣ Lleva contigo los números números de emergencia 🆘 https://t.co/hezmuslgrG</t>
  </si>
  <si>
    <t>1/3 Conozcan a sus spotters consulares 🇲🇽👋🏽 Estaré trabajando con mi amigo y colega Luis Lara. Nos conocemos desde el 2004 cuando éramos Cónsules de #ProtecciónConsular en Denver y Dallas. Él tiene experiencia como spotter en la Copa de Sudáfrica 2010. https://t.co/hVggll2fDi</t>
  </si>
  <si>
    <t>🇲🇽¡𝐀𝐪𝐮𝐢́ 𝐞𝐧 #𝐃𝐨𝐡𝐚 𝐧𝐮𝐞𝐬𝐭𝐫𝐨 𝐚𝐩𝐨𝐲𝐨 𝐞𝐬 𝐢𝐧𝐜𝐨𝐧𝐝𝐢𝐜𝐢𝐨𝐧𝐚𝐥!🇲🇽
¡Le deseamos mucho éxito a @miseleccionmx en su primer partido hoy en #Qatar2022 #FIFAWorldCup!
¡Vive el Mundial! ¡México en Qatar! 
#MéxicoDeMiVida💚🤍♥️ https://t.co/LceXUm4YOO</t>
  </si>
  <si>
    <t>2/2 Estaremos en una oficina al lado del estadio y sólo podremos ingresar en caso de que sea necesario interactuar con alguna autoridad o brindar protección consular a una persona mexicana 🇲🇽 https://t.co/2wsuA0I1Fu</t>
  </si>
  <si>
    <t>1/2 Llegando al estadio #974 #Qatar2022 previo al juego de @miseleccionmx para hacer un último recorrido y confirmar que tengamos acceso en caso de que alguna persona mexicana requiera asistencia o #ProtecciónConsular #MEX https://t.co/YFoikai05k</t>
  </si>
  <si>
    <t>🇲🇽🗣️ ¿Vas a apoyar a @miseleccionmx al Estadio 974? 
Revisa las rutas de trasporte disponible para llegar al estadio 🏟️9⃣7⃣4⃣ e inundar de verde #Qatar2022 
¡Vive el Mundial! ¡México en Qatar!
🇲🇽🤝🇶🇦
#CentroMexicoQatar2022 
@SRE_mx @DiplomaciaPubl https://t.co/jI1z8KU8Xm</t>
  </si>
  <si>
    <t>Empezando el briefing de seguridad consular para el partido de @miseleccionmx 💪🏽⚽️ Estos espacios nos permiten elevar inquietudes de nuestra afición e intercambiar información y prácticas con otros países participantes #ProtecciónConsular #MexVsPol 🇲🇽 https://t.co/EnbNuxXxKL https://t.co/WSFzBpxNW1</t>
  </si>
  <si>
    <t>kataraqatar</t>
  </si>
  <si>
    <t>سعادة أ. د. خالد بن إبراهيم السليطي، مدير عام #كتارا، يدشن "الركن المكسيكي"
لمجسمان مهديان من قبل سفارة المكسيك لـ #كتارا بحضور
سعادة السيد/ مارسيلو إبرارد كاساوبون، وزير خارجية  المكسيك، وسعادة سفير #المكسيك لدى #قطر، وأمين عام #الشبكة_الدبلوماسية_العامة_العالمية
@embamexqatar https://t.co/C3lTr7X1Ji</t>
  </si>
  <si>
    <t>📸 En Doha, #Qatar2022, el canciller @m_ebrard, el secretario de Estado @SecBlinken y el ministro de Desarrollo Internacional @HarjitSajjan dieron por iniciada la cuenta regresiva rumbo al Mundial 2026⚽️, el cual se celebrará en México, Estados Unidos y Canadá.
🇲🇽🤝🇺🇸🤝🇨🇦 https://t.co/MTTfzJjc6K</t>
  </si>
  <si>
    <t>México,Estados Unidos y Canadá en equipo para la Copa del Mundo 2026 !! https://t.co/AA17RGicFZ</t>
  </si>
  <si>
    <t>Jóvenes del programa fútbol juvenil impulsado por Qatar con el que esto escribe por México, Harjit S. Sajan por Canadá y Antony Blinken por los Estados Unidos. El Mundial 2026 Norteamérica está en marcha . https://t.co/jplV8mwtn9</t>
  </si>
  <si>
    <t>#CentroMexicoQatar2022 🇲🇽🤝🇶🇦 https://t.co/9CdzOmefgB</t>
  </si>
  <si>
    <t>Mural mexicano en Plaza Katara ,Doha. https://t.co/nbzjtFqZlV</t>
  </si>
  <si>
    <t>#CentroMexicoQatar2022 🇲🇽🤝🇶🇦 https://t.co/22BxIrY1ar</t>
  </si>
  <si>
    <t>🇲🇽🤝🇶🇦
@SRE_mx @DiplomaciaPubl @ordorica_g https://t.co/gPFFWuCPmL</t>
  </si>
  <si>
    <t>¡Un “Rincón Mexicano” 🇲🇽 en #Qatar! 🇶🇦
El Canciller @m_ebrard develó hoy dos esculturas del artista Rodrigo Solórzano en @kataraqatar frente al mural “Birds Game” de la mexicana Eva Bracamontes. 
#CentroMexicoQatar2022 
@DiplomaciaPubl @SRE_mx https://t.co/d8jPb9aC3U</t>
  </si>
  <si>
    <t>📸 En @kataraqatar, el canciller @m_ebrard sostuvo un encuentro informal con la afición mexicana en #Qatar2022 y develó dos esculturas del artista Rodrigo Solórzano, en el mural «Birds Game» de la mexicana Eva Bracamontes.
#CentroMéxicoQatar2022
🇲🇽🤝🇶🇦⚽️ https://t.co/DUAU8g8dG9</t>
  </si>
  <si>
    <t>Desde el #CMQ2022 @SRE_mx platicamos con los cónsules en @EmbaMexEAU @Embamex_ASA sobre casos atendidos en #Qatar2022 El Cónsul en @EmbaMexQatar Julio Martínez compartió las acciones de vinculaciones con autoridades que hemos entablado. Gracias a todos por su fantástica labor 💪🏽 https://t.co/tW42tgkwlw</t>
  </si>
  <si>
    <t>Atención personas mexicanas en #Qatar2022 
Ponemos a su disposición otro número de emergencia ⬇️
☎️ + 974 6687 5932 (marcación local 6687 5932)
#ProtecciónConsular 🇲🇽 https://t.co/99uICkKGZq</t>
  </si>
  <si>
    <t>▶️ Si eres mexicana o mexicano, te encuentras en el Mundial de #Qatar2022 y requieres realizar el trámite de tu pasaporte, por alguna emergencia, en el #CentroMéxicoQatar2022 podrás hacerlo. 
¡Cuida tus pertenencias en todos tus viajes al extranjero!
🔗 https://t.co/OhtnDzhNHf https://t.co/tzqvMTDZwt</t>
  </si>
  <si>
    <t>Para personas mexicanas que están viajando a @fifaworldcup_es #Qatar2022 tomen nota de las redes y ☎️ de nuestras embajadas en caso de requerir asistencia o #ProtecciónConsular 🇲🇽
🟢 @Embamex_ASA 
+966 557539374
🟢 @EmbaMexEAU 
+971 504540273 
🟢 @EmbaMexQatar 
+ 974 33634450</t>
  </si>
  <si>
    <t>El mural “Birds Game” de la artista mexicana @eva_bracamontes en la Villa Cultural Katara donde se encuentra el #CentroMéxicoQatar2022 🇶🇦⚽️🇲🇽@DiplomaciaPubl @EmbaMexQatar @kataraqatar @gpdnetorg https://t.co/6esAt7Vj1J</t>
  </si>
  <si>
    <t>Seguimos conectando con personas mexicanas en #FIFAWorldCup para compartirles info. preventiva, ☎️ de emergencia y que a través del #CentroMexicoQatar2022 podremos brindarles servicios consulares 👌🏽 Platicamos del juego de #MEX el martes y las porras que traen preparadas ⚽️🙌🏽🇲🇽 https://t.co/7NufnaezqL</t>
  </si>
  <si>
    <t>Colegas de lujo, comprometidos y muy chambeadores en @EmbaMexQatar. El buen ambiente laboral y la suma de esfuerzos dan resultados. ¡Gracias equipo! #OrgulloSEM #CentroMexicoQatar2022 @DiplomaciaPubl https://t.co/aNTTzkCLXa</t>
  </si>
  <si>
    <t>Un numeroso y entusiasta grupo de personas mexicanas llegó hoy a #Doha para asistir a la @roadto2022es. Gran gusto saludar a todos. Les informé del acompañamiento de @GobiernoMX y las labores que realiza el #CentroMexicoQatar2022 para su beneficio en la Copa del Mundo ⚽️ 🇲🇽🤝🇶🇦 https://t.co/0NScfGuPf7</t>
  </si>
  <si>
    <t>Pensando en la ceremonia que tendremos que hacer en 2026 en la inauguración en México https://t.co/4TMMEqS6SW</t>
  </si>
  <si>
    <t>▶️ Si eres mexicana o mexicano, asistes al Mundial de #Qatar2022 y requieres realizar el trámite de tu pasaporte, por alguna emergencia, en el #CentroMéxicoQatar2022 podrás tramitarlo. 
¡Cuida tus pertenencias en todos tus viajes al extranjero!
🔗 https://t.co/OhtnDzhfRH https://t.co/0cho0mkLt6</t>
  </si>
  <si>
    <t>Así luce el estadio Al-Bayt https://t.co/4JrufiHN7K</t>
  </si>
  <si>
    <t>@SRE_mx @DiplomaciaPubl @ordorica_g https://t.co/2iaAOqLZfG</t>
  </si>
  <si>
    <t>Con nuestra Guardia Nacional en Doha ,Qatar . Por iniciar la cuenta regresiva que conducirá a México 2026 !! https://t.co/fFJX3CNbne</t>
  </si>
  <si>
    <t>📌Si eres mexicana o mexicano, y te encuentras en el Mundial de #Qatar2022, recuerda que cuentas con el #CentroMéxicoQatar2022 para asistirte en caso de necesitarlo.
🇲🇽🤝🇶🇦⚽️
Ten presente estas frases útiles para cualquier emergencia.
👇 https://t.co/EA4Vj6brQ5</t>
  </si>
  <si>
    <t>manuelpaz84</t>
  </si>
  <si>
    <t>🇦🇷🇲🇽 Trabajamos codo a codo junto a nuestros colegas y amigos mexicanos de @EmbaMexQatar
@embargenqatar @CancilleriaARG #Argentina #Qatar2022 @roadto2022es @fifaworldcup_es @Deccqatar https://t.co/28AyGlbgkr</t>
  </si>
  <si>
    <t>¿Por qué es importante privilegiar el papel clave de la #educaciónsuperior para el desarrollo de un país?. El caso de #Qatar cuya apuesta por la educación es prioridad. Oportunidades p/colaboración con México y #Latinoamérica.
@estoenlinea @EmbaMexQatar 
https://t.co/ToJTM8QHQ2 https://t.co/MTqEfIM2gn</t>
  </si>
  <si>
    <t>Recuerda que la #HayyaCard es el documento que permite tu ingreso a #QatarWorldCup2022 Si necesitas apoyo con ese documento puedes comunicarte a:
📧 info@hayya.org 
☎️ + 974 4441 2022 
O acudir a la dirección 
🏪 Doha Exhibition &amp;amp; Convention Center (DECC) https://t.co/oDwl1qlTMZ https://t.co/sNiDySBxYn</t>
  </si>
  <si>
    <t>⚠️Sobre la presunta detención de una persona mexicana, por introducir una botella de alcohol a Qatar, las autoridades correspondientes nos indican que no han realizado alguna detención.</t>
  </si>
  <si>
    <t>webcamsdemexico</t>
  </si>
  <si>
    <t>Y aquí el video anunciado anteriormente. El Canciller mexicano @m_ebrard esta mañana cantando #CielitoLindo en #Doha #Qatar con la comunidad mexicana que vive en este País y aficionados. Momentos de alegría y fiesta. VIVA MÉXICO 🇲🇽 @SRE_mx https://t.co/DmvFsrue6u</t>
  </si>
  <si>
    <t>▶️ El #CentroMéxicoQatar2022 cuenta con servicio de expedición de pasaporte de emergencia. Si extravías el tuyo, estando en el Mundial de #Qatar2022, puedes visitarlo.
¡Cuida tus pertenencias para evitar cualquier contratiempo durante tu viaje!
🔗 https://t.co/OhtnDzhNHf https://t.co/5vCjbpLIUg</t>
  </si>
  <si>
    <t>Toma nota y viaja de forma responsable a @fifaworldcup_es #Qatar2022 https://t.co/bc5t2Ihmdc</t>
  </si>
  <si>
    <t>Y que me encuentro en Doha a nuestros aficionados , fue emocionante. https://t.co/zxZU83htvF</t>
  </si>
  <si>
    <t>Zona de México en el IPCC en Doha , la Guardia Nacional 24 hrs por 7 días en Qatar 2022 .Inicia la cuenta regresiva para México 2026 . Estaremos preparados. https://t.co/3ktqqmjeP4</t>
  </si>
  <si>
    <t>Visita al IPCC con tecnología similar al C5 que hicimos en la CDMX . La Guardia Nacional presente con miras al mundial 2026 que tendrá lugar en nuestro país. https://t.co/MOs5JKjWHY</t>
  </si>
  <si>
    <t>✅ Recuerda los ☎️ de atención:
Principal👉 +974 4012 0590
Protección 1👉 +974 4012 0586
Protección 2👉 +974 4012 0587
✅ Y los enlaces útiles:
🔗 https://t.co/OhtnDzhfRH
Guía del Viajero👉https://t.co/T2nYUDNJXE
SIRME👉https://t.co/6jB3ypE1Oq
#CentroMéxicoQatar2022 
🇲🇽🤝🇶🇦⚽️ https://t.co/6vhU9y5YoE</t>
  </si>
  <si>
    <t>@SRE_mx @DiplomaciaPubl @m_ebrard @ALFZEGBE @ordorica_g https://t.co/GYLU9Ns5Nz</t>
  </si>
  <si>
    <t>@m_ebrard @SRE_mx @ALFZEGBE @DiplomaciaPubl @ordorica_g https://t.co/zbLPwEMLvn</t>
  </si>
  <si>
    <t>¡Bienvenido Canciller @m_ebrard! 
🇲🇽🤝🇶🇦
¡Estamos listas y listos!
#CentroMexicoQatar2022 https://t.co/v73QlsC58U</t>
  </si>
  <si>
    <t>Centro México inaugurado !! https://t.co/gmXANjaO6V</t>
  </si>
  <si>
    <t>Comparto mi artículo de hoy, cierto de que la actividad deportiva templa carácter y es forja para la vida. ¡El deporte contribuye a la paz! https://t.co/hJm8fjj0Zw</t>
  </si>
  <si>
    <t>📌 Conoce más de la relación diplomática entre México y Qatar, de cara al inicio del Mundial #Qatar2022.
Recuerda que cuentas con el #CentroMéxicoQatar2022 para tu asistencia.
🇲🇽🤝🇶🇦 https://t.co/VonlJexFbG</t>
  </si>
  <si>
    <t>Si extraviaste tu pasaporte acude al #CentroMéxicoQatar en @kataraqatar; podemos emitirte uno nuevo el mismo día. El costo es de 179 QAR en efectivo y necesitas presentar una id. oficial c/ fotografía. También te apoyamos a reportarlo ante la policía qatarí #ProtecciónConsular 🇲🇽 https://t.co/f157LGvIQm</t>
  </si>
  <si>
    <t>Muy merecido reconocimiento #Ohtli a un mexicano de talento excepcional. ¡Felicidades Francisco y que sigan los éxitos! https://t.co/Jar6mj1146</t>
  </si>
  <si>
    <t>¡Enhorabuena! 🇲🇽🤝🇶🇦
#OrgulloMexicano #TalentoMexicano 
@SRE_mx @QF https://t.co/2AdEEMoJdk</t>
  </si>
  <si>
    <t>H.E Prof. Khalid Al-Sulaiti, General Manager of #Katara, inaugurates the #CentroMexicoQatar2022
In the presence of H.E Mr. Marcelo Ebrard Casaubon, Minister of Foreign Affairs of Mexico and H.E the Ambassador of Mexico to Qatar, and Secretary General of the GPDNET
 @embamexqatar https://t.co/gxSjIVUpnG</t>
  </si>
  <si>
    <t>سعادة أ. د. خالد بن إبراهيم السليطي، مدير عام #كتارا، يفتتح #المركز_المكسيكي_القطري2022 
بحضور سعادة السيد/ مارسيلو إبرارد كاساوبون، وزير خارجية المكسيك وسعادة سفير #المكسيك لدى #قطر، وأمين عام #الشبكة_الدبلوماسية_العامة_العالمية
#CentroMexicoQatar2022
@EmbaMexQatar https://t.co/qVLs8YVAEi</t>
  </si>
  <si>
    <t>H.E Prof. Khalid Al-Sulaiti, General Manager of #Katara, inaugurates the #CentroMexicoQatar2022
In the presence of H.E Mr. Marcelo Ebrard Casaubon, Minister of Foreign Affairs of Mexico and H.E the Ambassador of Mexico to Qatar, and Secretary General of the GPDNET
 @embamexqatar https://t.co/Bw1J76s7WP</t>
  </si>
  <si>
    <t>كلمة سعادة السيد/ مارسيلو إبرارد كاساوبون، وزير خارجية الولايات المتحدة المكسيكية عقب افتتاح #المركز_المكسيكي_القطري2022 في #كتارا 
#CentroMexicoQatar2022
@embamexqatar
#قطر #الوعد2022 
#كتارا_ملتقى_الثقافات 
@gpdnetorg #GPDNET #PublicDiplomacy @kpdcenter
@Roadto2022Go 
#FIFA https://t.co/CW2WPwTaHz</t>
  </si>
  <si>
    <t>كلمة المهندس/ درويش أحمد الشيباني، أمين عام #الشبكة_الدبلوماسية_العامة_العالمية، عقب افتتاح  #المركز_المكسيكي_القطري2022 في #كتارا 
#CentroMexicoQatar2022
@embamexqatar
#قطر #الوعد2022 
#كتارا_ملتقى_الثقافات 
@gpdnetorg #GPDNET #PublicDiplomacy @kpdcenter
@roadto2022
#FIFA https://t.co/0uhmLMhCKl</t>
  </si>
  <si>
    <t>🚨 Estas en #QatarWorldCup2022? Toma nota de los teléfonos de emergencia en caso que requieras de asistencia y #ProtecciónConsular 👇🏽 https://t.co/IMFWFcTboz</t>
  </si>
  <si>
    <t>A través del #CMQ2022 🇲🇽estaremos brindando asistencia y #ProtecciónConsular a personas que pudieran verse afectadas por robo, asaltos/violencia o detenciones. Manten nuestros teléfonos de emergencia a la mano y consulta la Guía del Viajero para obtener mayor info para #Qatar2022 https://t.co/ONjp0xRVhS</t>
  </si>
  <si>
    <t>سعادة أ. د. خالد بن إبراهيم السليطي، مدير عام #كتارا، يفتتح #المركز_المكسيكي_القطري2022 
بحضور سعادة السيد/مارسيلو إبرارد كاساوبون، وزير خارجية المكسيك, وسعادة سفير #المكسيك لدى #قطر، وأمين عام #الشبكة_الدبلوماسية_العامة_العالمية
#CentroMexicoQatar2022
@embamexqatar https://t.co/eXx39vg2cN</t>
  </si>
  <si>
    <t>En la primera sesión informativa sobre asuntos consulares-seguridad para @FIFAWorldCup #Qatar2022 Atendiendo las instrucciones del Canciller @m_ebrard y en coord. con @DiplomaciaPubl @ALFZEGBE seguimos fortaleciendo nuestro plan operativo y mensajes de #ProtecciónPreventiva 🇲🇽⚽️ https://t.co/ndeRtR49yt</t>
  </si>
  <si>
    <t>En el #Futbol todo es luz. ¡Que no se opaque tu estancia en Qatar! Respeta las costumbres y leyes locales, obtén tu #HayyaCard  y consulta las redes sociales de la @SRE_mx.  Si requieres orientación, en el #CentroMexicoQatar2022 estamos a tus órdenes. ¡Vive la @fifaworldcup_es! https://t.co/ExSKjux6dV</t>
  </si>
  <si>
    <t>▶️ Recuerda que, si estás en Doha para el Mundial de #Qatar2022, contarás en todo momento con el #CentroMéxicoQatar2022 de @SRE_mx. 
Guía del Viajero👉https://t.co/T2nYUDw8z4
SIRME👉https://t.co/6jB3ypVCFY
🇲🇽🤝🇶🇦⚽️ https://t.co/A56hUBDzpK</t>
  </si>
  <si>
    <t>▶️ Ante cualquier eventualidad, recuerda que cuentas con el equipo del #CentroMéxicoQatar2022 para asistirte. Vivamos con responsabilidad la pasión del futbol y apoyemos a @miseleccionmx🇲🇽.
Ten presente los números que están a tu servicio.
👇 https://t.co/85rUqizGDh</t>
  </si>
  <si>
    <t>AnguloNTN24</t>
  </si>
  <si>
    <t>@AnguloNTN24 desde #Qatar con nuestra directora @RuthdelSalto, @ordorica_g, embajador de México en #Qatar. Habla sobre los hinchas de la Selección de  que buscan revalidar el escenario de #Rusia2018, donde fueron la afición más numerosa durante la Copa del Mundo. https://t.co/kjTAdBBHs6</t>
  </si>
  <si>
    <t>🚨 Atención 🚨 
Les recordamos que el ingreso de bebidas alcohólicas a Qatar esta prohibido. Puedes llegar a enfrentar multas, la posibilidad de que no te permitan el ingreso al país o de que seas detenidx. Se una persona responsable y respeta el marco legal.
#Qatar2022</t>
  </si>
  <si>
    <t>El portal #MiConsulado integra las herramientas digitales de #ProtecciónPreventiva que debes consultar para tu viaje a @FIFAWorldCup #Qatar2022 
Infórmate, prepárate y viaja de manera responsable y segura 👌🏽⚽️ https://t.co/sT9e42nbAP</t>
  </si>
  <si>
    <t>Miren quién llegó a Doha 👀🇲🇽
¡Bienvenido, @CarameloMX_! https://t.co/RWi6s5XLUY</t>
  </si>
  <si>
    <t>¡Evita retrasos y contratiempos! Si vienes a Qatar @roadto2022es tramita tu #HayyaCard. Es necesaria para viajar al país y a los partidos de la Copa FIFA 2022. El trámite p/ Hayya Card es personal ¡no lo dejes al último! #CentroMexicoQatar2022 #SIRME #MiConsulado #GuiaDelViajero https://t.co/kcQVP8XujQ</t>
  </si>
  <si>
    <t>Si te encuentras en #Doha🇶🇦 te esperamos este sábado 19/nov a las 10:30 puerta 3 del anfiteatro @kataraqatar en la inauguración del #CMQ2022 por parte del Canciller @m_ebrard. El @GobiernoMX vía @SRE_mx encabeza la estrategia para apoyar a la afición🇲🇽en #Qatar202 . 2/2 https://t.co/LuSrZSCbh3</t>
  </si>
  <si>
    <t>Desde este 15/nov se encuentra operando el #CentroMéxicoQatar2022 y hasta el 20/dic estará en @kataraqatar coordinando información, atención consular, protección a personas mexicanas que acudan al mundial en #Qatar🇶🇦, diplomacia pública y ventanilla de salud. 1/2 https://t.co/z7CVtfm5II</t>
  </si>
  <si>
    <t>2/2🚨 El Hospital Grl. Hamad proveerá atención médica a víctimas de violencia sexual durante #Qatar2022 incluyendo prescripción de medicamentos, incluida la anticoncepción de emergencia, y apoyo psicológico. Llama al +974 4025 6460 para recibir apoyo inmediato y obtener una cita https://t.co/DxgsiVk5Sz</t>
  </si>
  <si>
    <t>1/2 En caso de que te encuentres en una situación de riesgo o requieras orientación en casos de violencia/agresión sexual durante #Qatar2022 comunícate con el #CMQ2022 a los ☎️ +974 40120586 y +974 40120587 o al de emergencia +974 33634450 https://t.co/AIsmbmK26P</t>
  </si>
  <si>
    <t>🎉 Así recibieron a @miseleccionmx 🇲🇽 en #Doha 🇶🇦️
A toda nuestra gran afición mexicana que viene a #Qatar2022, les recordamos consultar:
Guía del Viajero👉https://t.co/PhTrGLnY15
SIRME👉https://t.co/13yYZORXkK
🇲🇽🤝🇶🇦
#CentroMéxicoQatar2022
@DiplomaciaPubl @SRE_mx https://t.co/CGGBtGIUpO</t>
  </si>
  <si>
    <t>@miseleccionmx ya está aquí para #Qatar2022 ⚽️🇲🇽
¡Ya estamos listas y listos! 🇲🇽🤝🇶🇦
#CentroMexicoQatar2022 
@DiplomaciaPubl @SRE_mx https://t.co/Fx1RnpP8sQ</t>
  </si>
  <si>
    <t>▶️ El #CentroMéxicoQatar2022 cuenta con una oficina que brinda asistencia y protección consular en caso de requerirlo. La DG @vcalva explica en qué consiste el apoyo que la @SRE_mx puede brindar en #Qatar2022.
🔗 https://t.co/OhtnDzyQJf
Guía del Viajero👉https://t.co/T2nYUDw8z4 https://t.co/qpA7XpQ6DB</t>
  </si>
  <si>
    <t>PodcastIMR🎙️
¿Asistes a #Qatar2022?🇶🇦⚽️
Toma unos minutos para escuchar a @ALFZEGBE, Titular de @DiplomaciaPubl de la @SRE_mx, que nos habla del #CentroMexicoQatar y el apoyo que el gobierno dará a nuestros connacionales durante este evento mundial🇲🇽.
▶️https://t.co/4q0N0o2lSQ https://t.co/Ftc36z0yso</t>
  </si>
  <si>
    <t>Had a fantastic chat with Caroline Fitt, Embassy Liason of @FIFAWorldCup #Qatar2022. With the rest of the #consular team we shared #Mexico’s preventive tools &amp;amp; #CMQ2022 role to provide assistance to our nationals 🇲🇽⚽️ Gracias Caroline! https://t.co/9NcTl0G0vG</t>
  </si>
  <si>
    <t>¡Se acerca la fecha de inauguración de la @roadto2022es! Si vienes a Doha a la Copa FIFA, infórmate sobre requisitos de entrada a Qatar y cumple con las leyes locales.Consulta las redes sociales de la @SRE_mx #GuiaDelViajero y regístrate en el #SIRME #CentroMexicoQatar2022 🇲🇽🤝🇶🇦 https://t.co/MJ4DbxMYh5</t>
  </si>
  <si>
    <t>Nos reunimos con el Director de Seguridad de los aeropuertos de @HIAQatar y @DohaAirport así como con el Director de Migración. Visitamos áreas estratégicas e intercambiamos información sobre sus procedimientos y acciones para #FIFAWorldCupQatar2022 
#ProtecciónConsular 🇲🇽🇧🇭 https://t.co/fbKPYiRbIj</t>
  </si>
  <si>
    <t>Con el equipo de #ProtecciónConsular visitamos el complejo #BarahatAlJanoub en dónde un número importante de personas mexicanas se hospedarán durante #Qatar2022 Llevamos info. sobre servicios consulares, los ☎️ de emergencia y del #CMQ2022 en caso de requerir apoyo 👌🏽🇲🇽 @SRE_mx https://t.co/tiKckH4M9M https://t.co/7QQusUOjM7</t>
  </si>
  <si>
    <t>▶️¿Vienes a #Qatar2022? ⚽️
Recuerda guardar 💾 en tu dispositivo móvil📱una copia digital de tu pasaporte y de tu Hayya Card. 
Consulta:
Guía del Viajero👉https://t.co/PhTrGLovQD
SIRME👉https://t.co/13yYZOSvai
🇲🇽🤝🇶🇦
#CentroMéxicoQatar2022 https://t.co/rVdXCKLpMG</t>
  </si>
  <si>
    <t>¡#LeleMundialista viaja con nosotros hasta #Qatar para vivir con la afición mexicana la Copa del Mundo!🇶🇦⚽️🇲🇽
Sigue la travesía a través de #WebcamsMx 👇🏻
@QroTravel https://t.co/kYGVpKr6So</t>
  </si>
  <si>
    <t>▶️ Recuerda que en #Qatar2022 también contarás con el sistema #MiConsulado. Ingresa a este sitio para descubrir todo a lo que podrás acceder.
🔗 https://t.co/OhtnDzhNHf
#CentroMéxicoQatar2022 
🇲🇽🤝🇶🇦⚽️ https://t.co/hVOS0Qsp6d</t>
  </si>
  <si>
    <t>📢Atención a todas las personas mexicanas en #Qatar2022 ⚽️
📌Guarda estos números de contacto ☎️ y emergencia ⚠️ para atenderte en #Doha en caso de ser necesario.
Consulta:
Guía del Viajero👉https://t.co/PhTrGLovQD
SIRME👉https://t.co/13yYZOSvai
🇲🇽🤝🇶🇦
#CentroMéxicoQatar2022 https://t.co/QXZd3C6ikJ</t>
  </si>
  <si>
    <t>EmbaMexLb</t>
  </si>
  <si>
    <t>❗️Si eres mexicano o mexicana en #Qatar para la #CopaDelMundo2022 ⚽️ y te encuentras en una situación de emergencia, 📞 comunícate a los siguientes teléfonos para asistencia y protección consular 👇🏼👇🏼
#CentroMéxicoQatar2022 
@SRE_mx 
@FIFAWorldCup https://t.co/wy1LvwjIYi</t>
  </si>
  <si>
    <t>@DiplomaciaPubl @estebang83 @ordorica_g 
#CentroMéxicoQatar2022 https://t.co/ofPnsGTkE0</t>
  </si>
  <si>
    <t>⚠️ ¡Atención! ⚠️
¡Ya puedes votar por el ⚽ altar futbolero ⚽️ "𝙇𝙖 𝙋𝙖𝙨𝙞𝙤́𝙣 𝙉𝙪𝙣𝙘𝙖 𝙈𝙪𝙚𝙧𝙚" diseñado y montado por miembros de la comunidad 🇲🇽 en esta Embajada - reaccionando con 🥰👍❤️ 
¡VOTA AQUÍ! ➡️
https://t.co/yYiFKgGkqF https://t.co/365A3SMhZ2</t>
  </si>
  <si>
    <t>Qatar 2022: Embajador de México en Qatar dio la bienvenida a los aficionados al Mundial https://t.co/1kGk1M8OgO vía @record_mexico</t>
  </si>
  <si>
    <t>➡️ ¿Vienes a #Qatar2022? ⚽️
Recuerda que todas las personas mexicanas ya cuentan con el servicio de nuestro #CentroMexicoQatar2022 🇲🇽🤝🇶🇦
¡Te estamos esperando! https://t.co/gfMzVsVDHq</t>
  </si>
  <si>
    <t>🗣️¡Estamos a 5 días del #MundialQatar2022 ! Te compartimos información sobre uno de los grandes protagonistas de esta competencia.👇🏻
@SRE_mx https://t.co/SIlyneVw1b</t>
  </si>
  <si>
    <t>Si eres mexicano/a y en caso de necesitar apoyo o ayuda durante tu viaje a la @FIFAWorldCup 🏆 #Qatar2022🇶🇦, la @SRE_mx pone a tu disposición los siguientes números que estarán operando en el #CentroMéxicoQatar2022🇲🇽 
📞No dudes llamar. ¡Estamos listxs!
🇶🇦🤝🇲🇽⚽️
@m_ebrard https://t.co/vCX1QyY0ys</t>
  </si>
  <si>
    <t>¡Estamos listas! ¡Estamos listos! 🇲🇽🤝🇶🇦⚽️
¡Vive el Mundial! ¡México en Qatar! 
@roadto2022es https://t.co/ThLVhRWIFn</t>
  </si>
  <si>
    <t>¡Los estamos esperando! 🎉 
Listas y listos para #Qatar2022 ⚽️
#CentroMéxicoQatar2022 🇲🇽🤝🇶🇦
@roadto2022es @DiplomaciaPubl https://t.co/EUyvYikPzf</t>
  </si>
  <si>
    <t>Hoy @FMF dió a conocer la lista de los 26 jugadores convocados de @miseleccionmx para representar a 🇲🇽 en la @FIFAWorldCup🏆#Qatar2022 🇶🇦
¡Les deseamos todo el éxito en la cancha! 🏟
¡Vive el Mundial! ¡México en Qatar! 🇲🇽🤝🇶🇦⚽️
@m_ebrard 
@SRE_mx https://t.co/3Tfrm3KDfu</t>
  </si>
  <si>
    <t>Sofia @Suxichiu primera mexicana en visitar la Ventanilla de Salud #VDS en el #CentroMéxicoQatar2022 @SRE_mx, y quien visita Qatar para disfrutar el mundial ⚽ #Qatar2022. 🇲🇽🇧🇭 ¡Si visitas #Qatar no olvides hidratarte constantemente!💧🚰🥤 https://t.co/5GyWQt8TD5</t>
  </si>
  <si>
    <t>▶️ ¿Cómo son recibidos los mexicanos en Qatar?
Aquí en Doha, nuestro paisano Edilberto nos relata sobre la hospitalidad qatarí, listos para #Qatar2022 ⚽️ 
Consulta:
Guía del Viajero👉https://t.co/PhTrGLovQD
SIRME👉https://t.co/13yYZOSvai
🇲🇽🤝🇶🇦
#CentroMéxicoQatar2022 https://t.co/eKaZivKcDQ</t>
  </si>
  <si>
    <t>De forma coordinada con @DiplomaciaPubl @ALFZEGBE y @EmbaMexQatar @ordorica_g estamos sosteniendo reuniones con autoridades qatarís, de la @FIFAWorldCup y otros países para llevar a cabo la estrategia de asistencia y #ProtecciónConsular para #Qatar2022 ⚽️🇲🇽 https://t.co/enijIDU143</t>
  </si>
  <si>
    <t>▶️¿Vienes a #Qatar2022? ⚽️
Aquí en Doha, @CARLOSLGUERRERO te aconseja sobre lo que debes de tener a la mano para tener la mejor experiencia mundialista.
Consulta:
Guía del Viajero👉https://t.co/PhTrGLovQD
SIRME👉https://t.co/13yYZOSvai
🇲🇽🤝🇶🇦
#CentroMéxicoQatar2022 https://t.co/x7ky6shv76</t>
  </si>
  <si>
    <t>▶️ Acompañado de la porra de México, en Doha, el coordinador general del #CentroMéxicoQatar2022, @ALFZEGBE, recuerda las ligas de utilidad en caso de asistir al Mundial.
Guía del Viajero👉https://t.co/T2nYUDw8z4
SIRME👉https://t.co/6jB3ypVCFY
🇲🇽🤝🇶🇦⚽️ https://t.co/CvNRU5KN0X</t>
  </si>
  <si>
    <t>DAlcarazC</t>
  </si>
  <si>
    <t>A 8 días de la inauguración de @FIFAWorldCup se vivió la fiebre de @miseleccionmx 🇲🇽 en el  #CentroMexicoQatar2022 @SRE_mx. Listos para recibir a la mejor afición del 🌍 en @kataraqatar! @m_ebrard @ALFZEGBE @ordorica_g @MoisesPoblanno @Naty_Glezd @vcalva https://t.co/1rMJ3pvO31 https://t.co/9lwKlq44JE</t>
  </si>
  <si>
    <t>#CentroMéxicoQatar2022 https://t.co/Or2N1mRNgr</t>
  </si>
  <si>
    <t>Nos une nuestra pasión por vivir 💀🇲🇽Nos une nuestro amor por México #somosunsoloequipo #centroméxicoqatar2022 @DiplomaciaPubl @SRE_mx @ALFZEGBE @miseleccionmx @FMF @roadto2022es https://t.co/Yp9PgEQ083</t>
  </si>
  <si>
    <t>▶️ ¿Qué debo tener a la mano si asistiré a #Qatar2022⚽️? @CARLOSLGUERRERO te comparte algunos consejos que te serán claves para disfrutar al máximo de tu viaje.
Guía del Viajero👉https://t.co/T2nYUDw8z4
SIRME👉https://t.co/6jB3ypVCFY
#CentroMéxicoQatar2022
🇲🇽🤝🇶🇦⚽️ https://t.co/qyEZTr78W3</t>
  </si>
  <si>
    <t>¡Una buena dosis de 𝙋𝙤𝙬𝙚𝙧 𝙈𝙚𝙭𝙞𝙘𝙖𝙣𝙤 para arrancar el sábado! 🇲🇽🔥
¿Cuál fue el mejor gol de @miseleccionmx en la Copa Mundial? https://t.co/6jy05hZ8c9</t>
  </si>
  <si>
    <t>¡En #Doha, ya estamos listos! ⚽️🇲🇽🌐
#CentroMéxicoQatar2022 🇲🇽🤝🇶🇦
@DiplomaciaPubl @SRE_mx https://t.co/FKEk0hAb2z</t>
  </si>
  <si>
    <t>@FIFAWorldCup @roadto2022es 
#CentroMéxicoQatar2022 🇲🇽⚽️🇶🇦 https://t.co/ZB1aPuW6nl</t>
  </si>
  <si>
    <t>#CentroMéxicoQatar2022 
¡Vive el Mundial! ¡MéxicoEnQatar! https://t.co/rUGqv0jt70</t>
  </si>
  <si>
    <t>#CentroMéxicoQatar2022 @roadto2022es 🇲🇽🤝🇶🇦 https://t.co/Dgbqc2KsjV</t>
  </si>
  <si>
    <t>A 9 días de #Qatar2022 #CentroMéxicoQatar2022 ⚽️🙌🏻 https://t.co/kxwwNMLvQK</t>
  </si>
  <si>
    <t>▶️ A 10 días de #Qatar2022⚽️, el Emb. @ordorica_g de @EmbaMexQatar destaca que este país del Medio Oriente está listo para recibir a la afición mexicana que viajará a la Copa de Fútbol.
¡Vive el Mundial! ¡México en Qatar!
🇲🇽🤝🇶🇦 https://t.co/s1upORGIjX</t>
  </si>
  <si>
    <t>Coming soon: #CentroMéxicoQatar2022 @FIFAWorldCup… Estamos listos! Los esperamos en @kataraqatar a partir del 15 de noviembre 🇲🇽⚽️🇶🇦 @m_ebrard @ALFZEGBE @MoisesPoblanno @ordorica_g @MMDomG https://t.co/qPpbG01zym</t>
  </si>
  <si>
    <t>¡Comienza la cuenta regresiva! 📅⚽️
A 1⃣0⃣ días para #Qatar2022, revisa frases en árabe que podrían ser útiles durante tu visita. 🗣️
Consulta:
Guía del Viajero👉https://t.co/PhTrGLovQD
SIRME👉https://t.co/13yYZOSvai
🇲🇽🤝🇶🇦
#CentroMéxicoQatar2022 https://t.co/wU899iZpct</t>
  </si>
  <si>
    <t>¡Felicidades! 🎉
¡Ya estamos listos para recibirlos en #Qatar2022!
#CentroMéxicoQatar2022 https://t.co/rzEYCdTe1Y</t>
  </si>
  <si>
    <t>¡Final!
🇲🇽 México goleó 4-0 a Irak 🇮🇶  bajo la lluvia de Girona. 
¡Nos vemos en Catar, @miseleccionmx! 👋 https://t.co/4yh8GHsgfk</t>
  </si>
  <si>
    <t>¡Felicidades @miseleccionmx! 🇲🇽
¡Estamos listas y listos para #Qatar2022! ⚽ @roadto2022es 
#CentroMéxicoQatar2022 🇲🇽🤝🇶🇦 https://t.co/moTYtx7Ocv</t>
  </si>
  <si>
    <t>▶️ ¡Faltan 11 días para #Qatar2022! Si asistes al Mundial, Braulio Luna (@ruco11) te recuerda que contarás con el #CentroMéxicoQatar2022 para asistirte en caso de necesitarlo.
🇲🇽🤝🇶🇦
Consulta:
Guía del Viajero👉https://t.co/T2nYUDNJXE
SIRME👉https://t.co/6jB3ypE1Oq https://t.co/9aZ41wc4VD</t>
  </si>
  <si>
    <t>¡Hoy juega @miseleccionmx 💚!
A sólo 1⃣1⃣ días de @FIFAWorldCup, el equipo🇲🇽continúa su preparación hacia #Qatar2022 en su próximo partido amistoso ante Irak 🇮🇶. 
¡Mucho éxito y dar todo por nuestro país, #MéxicoDeMiVida! 🇲🇽
@SRE_mx @m_ebrard 
📸@FMF https://t.co/E2fvsKF1Bo</t>
  </si>
  <si>
    <t>▶️ ¿Cómo son recibidos los mexicanos en #Qatar?
Aquí en #Doha, nuestro paisano Edilberto nos relata sobre la hospitalidad qatarí, listos para #Qatar2022 ⚽️ 
Consulta:
Guía del Viajero👉https://t.co/PhTrGLovQD
SIRME👉https://t.co/13yYZOSvai
#CentroMéxicoQatar2022 🇲🇽🤝🇶🇦 https://t.co/LJGrh3kAxB</t>
  </si>
  <si>
    <t>🎉Entusiasta afición mexicana que vive aquí en #Qatar 🇲🇽🇶🇦 se reunió el 5 y 8 de noviembre para calentar los motores mundialistas en apoyo a @miseleccionmx ⚽️🇲🇽
👉🏻Convocan a una gran activación el próximo sábado 12, a las 10:30am frente al mural “Birds Game” de @kataraqatar https://t.co/Pk3m9LVOGf</t>
  </si>
  <si>
    <t>Aquí en #Doha ¡Ya estamos listxs!
#CentroMéxicoQatar2022
@roadto2022es 🇲🇽🤝🇶🇦 https://t.co/glzCyWAIsJ</t>
  </si>
  <si>
    <t>Es prioridad de la política exterior de México atender los intereses del país y de las personas mexicanas, ahí donde se encuentren. Así lo dije a la Dra. @mcrosasg en su programa “Una tarde con…” 
¡Para la @fifaworldcup_es México está listo! #CentroMexicoQatar2022 🇲🇽🤝🇶🇦 https://t.co/RSNbypK12c</t>
  </si>
  <si>
    <t>Welcome to the new Mexican Ambassador to #Qatar, @ordorica_g. The Amir HH Sheikh Tamim bin Hamad Al-Thani, has received his credentials at a formal event held at Amiri Diwan in Doha. 
https://t.co/b5drQX65Dj
@QatarembassyMex @EmbaMexQatar https://t.co/xIfqYlP1EI</t>
  </si>
  <si>
    <t>Encuentro sobre mejores tecnologías disponibles para mejorar la seguridad en México https://t.co/TcQ9EL429x</t>
  </si>
  <si>
    <t>📌 La @SRE_mx, en nombre del @GobiernoMX, extiende una calurosa felicitación a todas las diplomáticas y los diplomáticos de México en nuestro territorio y en el mundo.
🇲🇽🤝🌎 https://t.co/RO0mLyTVJx</t>
  </si>
  <si>
    <t>📸 Esta mañana, el canciller @m_ebrard participó en la ceremonia de la firma de un MoU con la India, para colaborar en el desarrollo de capacidades de terapia de células T con receptores quiméricos de antígenos, en beneficio de la innovación médica-científica de México.
🇲🇽🤝🇮🇳 https://t.co/SmLLbHuAAf</t>
  </si>
  <si>
    <t>▶️ ¿Cómo nos hacemos notar los mexicanos en Qatar?
Aquí en #Doha, nuestra paisana Daniela nos cuenta del espíritu que nos distingue de cara a #Qatar2022 ⚽️ 
#CentroMéxicoQatar2022 🇲🇽🤝🇶🇦
Guía del Viajero👉https://t.co/PhTrGLovQD
SIRME👉https://t.co/13yYZOSvai
@DiplomaciaPubl https://t.co/Prw4EmOio4</t>
  </si>
  <si>
    <t>▶️ ¿Vienes a la #Qatar2022? ⚽️
Revisa lo que SÍ podemos ✅ y NO podemos ❌ hacer por ti.
Guía del Viajero👉https://t.co/PhTrGLovQD
SIRME👉https://t.co/13yYZOSvai
¡Te esperamos! ¡Estamos listxs! 
#CentroMéxicoQatar2022 🇲🇽🇶🇦 https://t.co/JPllf79dXn</t>
  </si>
  <si>
    <t>🇲🇽🤝🇶🇦
@SRE_mx @MOFAQatar_ES @AmiriDiwan https://t.co/zyRltYcEHi</t>
  </si>
  <si>
    <t>¡Estamos listxs! ¡Vive el Mundial! ¡🇲🇽en🇶🇦!
@roadto2022es @miseleccionmx @FMF 
#CentroMexicoQatar20222 https://t.co/KnGTMKywUs</t>
  </si>
  <si>
    <t>¡Estamos a 1⃣4⃣días para la @FIFAWorldCup🏆!
Te compartimos algunos datos del estadio🏟️ de Lusail, el más grande de #Qatar2022 y sede de los próximos partidos de @miseleccionmx contra 🇦🇷 y 🇸🇦 el 26 y 30 de nov. 
¡No te los pierdas!⚽️
@SRE_mx @m_ebrard 
#CentroMéxicoQatar2022 https://t.co/RWGLB5y3QZ</t>
  </si>
  <si>
    <t>🧵Muchas gracias a @BravoLucy y @roberto_ruizg por el espacio en @HechosAM para hablar del conjunto de acciones de la @SRE_mx rumbo a #Qatar2022. Recuerda tramitar tu #HayyaCard la cual será necesaria para ingresar a🇶🇦durante la Copa Mundial. 1/2
👉https://t.co/OyITz9UuRG https://t.co/WmXOO0QUS7</t>
  </si>
  <si>
    <t>mcrosasg</t>
  </si>
  <si>
    <t>¿Cómo operan nuestras misiones diplomáticas de cara a grandes eventos deportivos con afluencia masiva de mexicanos? Acompáñenme a analizar este y otros temas con el Embajador de México en Qatar @ordorica_g el próximo martes 8 de noviembre a las 11 am @centropalme ¡Imperdible! https://t.co/cdGBz42rWT</t>
  </si>
  <si>
    <t>@roadto2022es @miseleccionmx https://t.co/jWBCh5MyDi</t>
  </si>
  <si>
    <t>▶️ Ivonne, residente aquí en #Doha, comparte  recomendaciones en caso de que vengas a #Qatar2022. ¡Vive el Mundial! ¡México en Qatar!. 🇲🇽🤝🇶🇦
Consulta:
✅ #GuíaDelViajero 👉 https://t.co/PhTrGLFySD
✅ #SIRME 👉 https://t.co/13yYZOAlWa
#CentroMéxicoQatar2022 https://t.co/iLmN5QQHxA</t>
  </si>
  <si>
    <t>@ordorica_g / @DiplomaciaPubl / @gpdnetorg / @kpdcenter https://t.co/Nn2JRvgLff</t>
  </si>
  <si>
    <t>México cautiva al mundo por sus tradiciones y rica cultura. Hoy nos visitaron en @EmbaMexQatar  integrantes de American Women’s Association of Qatar para conocer nuestro #AltarDeMuertos “La pasión nunca muere”. #Bienvenidas 🇲🇽🤝🇶🇦 https://t.co/nf85AuTpKR</t>
  </si>
  <si>
    <t>▶️ ¡Faltan 15 días para #Qatar2022! Si asistes a la Copa, la paisana Daniela Grandet te da algunos consejos para poder vivir con total seguridad la pasión del fútbol. ¡Vive el Mundial! ¡🇲🇽 en 🇶🇦!
Consulta:
Guía del Viajero👉https://t.co/T2nYUDNJXE
SIRME👉https://t.co/6jB3ypE1Oq https://t.co/3fxhipgvGo</t>
  </si>
  <si>
    <t>A 15 días del inicio de la @fifaworldcup_es todo luce en su lugar. La emoción se siente y el ambiente vibra. ¡México va con todo! #CentroMexicoQatar2022 https://t.co/WBBugKeLWw</t>
  </si>
  <si>
    <t>¡Así  nuestra bandera nacional en Doha! 🇲🇽 Si vas a viajar a Qatar para asistir a la @fifaworldcup_es infórmate sobre requisitos de entrada al país. Consulta la #GuíaDelViajero y regístrate en el #SIRME. Revisa las redes sociales de @SRE_mx y de las embajadas y consulados de MX. https://t.co/bA1qZusd6E</t>
  </si>
  <si>
    <t>¡Faltan 1⃣6⃣ días para @FIFAWorldCup 🏆!
Al ritmo de "Hayya Hayya" se abre paso el cantante de raíces mexicanas🇲🇽 y afroamericano @TrinidadCMusic,  con la canción que será el tema oficial del mundial #Qatar2022 ⚽️
@SRE_mx @m_ebrard 
#CentroMéxicoQatar
https://t.co/dIOnNxy0WX</t>
  </si>
  <si>
    <t>Su gran trabajo fue elogiado por el Emb. @ordorica_g en evento con participación de titulares #GRULAC y personas amigas de #Qatar.
¡La degustación de antojitos con genuino sazón MX 🇲🇽, fue todo un éxito! 🌮 🥑🌶️
Consulta la "Guía Taco de Oro" 2022-2023
👉https://t.co/elX2aahsD9 https://t.co/hOy5UadaL2</t>
  </si>
  <si>
    <t>En #Qatar las y los chefs y cocineros 🇲🇽 conquistan paladares con los sabores de la apreciada cocina MX, que es patrimonio común inmaterial de la humanidad. En esta Embajada, presentaron la 2a edición de la "Guía Taco de Oro" 🧵 (1/2)
👉¡Consulta la Guía!
https://t.co/ih52kteJ5O https://t.co/pQYYh2Xqrd</t>
  </si>
  <si>
    <t>📸 El canciller destacó que para reducir la violencia en México es esencial detener el flujo de armas hacia el país desde EE. UU. y como complemento a las estrategias realizadas por nuestro gobierno. Por ello, 🇲🇽 presentó una demanda en contra de empresas que las venden desde 🇺🇸. https://t.co/2wQEWmt6bt</t>
  </si>
  <si>
    <t>✍️ «La @SRE_mx convocará a diversos expertos los días 7 y 8 de noviembre para que participen en el Foro sobre ‘Seguridad para el progreso: mejores prácticas internacionales en seguridad pública», @Maria_De_Haas escribe en @heraldodemexico.
https://t.co/QGCVvoUIg7 https://t.co/Yfy6mXcWdy</t>
  </si>
  <si>
    <t>▶️¡Faltan 17 días para #Qatar2022⚽️! Recuerda que contarás con el #CentroMéxicoQatar2022 para asistirte ante cualquier eventualidad. ¡Vive el Mundial! ¡México🇲🇽 en Qatar🇶🇦!
Consulta:
Guía del Viajero👉https://t.co/T2nYUDw8z4
SIRME👉https://t.co/6jB3ypVCFY https://t.co/NsS3nWjpNF</t>
  </si>
  <si>
    <t>RuthdelSalto</t>
  </si>
  <si>
    <t>16 días para el MUNDIAL DE QATAR 🇶🇦⚽️. 
Mexico ocupa el 5 país con mayor número de entradas de todo el mundo …
Nuestro @Ángulo latino de este jueves es el embajador de Mexico en Qatar @ordorica_g @NTN24 @AnguloNTN24 https://t.co/iAfEWwxT81</t>
  </si>
  <si>
    <t>Mi entrevista al diario deportivo ESTO. ¡El #CentroMéxicoQatar2022 está listo para atender a nuestra afición MX! https://t.co/jdMBxreXEo</t>
  </si>
  <si>
    <t>Los hinchas de la Selección de #México pretenden revalidar el escenario de #Rusia2018, donde fueron la afición más numerosa durante la Copa del Mundo. 
Nuestro #ÁnguloLatino de este jueves es el embajador de #México en #Qatar2022 @ordorica_g  con @RuthdelSalto https://t.co/KpMC9Bv2yz</t>
  </si>
  <si>
    <t>#EnVivo @AnguloNTN24 con @Ruthdelsalto | @ordorica_g, Embajador de #México en #Qatar https://t.co/tlVhL5uCZg</t>
  </si>
  <si>
    <t>#EnVivo @AnguloNTN24 con @Ruthdelsalto | @ordorica_g, Embajador de #México en #Qatar https://t.co/SbDJmrNqVQ</t>
  </si>
  <si>
    <t>Inicia @AnguloNTN24 con @Ruthdelsalto | Los hinchas de la Selección de #México pretenden revalidar el escenario de #Rusia2018, donde fueron la afición más numerosa durante la Copa del Mundo. Hoy @ordorica_g, Embajador de #México en #Qatar https://t.co/bE7MaUUN3Y</t>
  </si>
  <si>
    <t>adn40</t>
  </si>
  <si>
    <t>💀🕯️ Este es el altar de #DíaDeMuertos que montaron en la @EmbaMexQatar con temática de fútbol por el Mundial de #Qatar2022 ⚽️ 
¿Qué te parece?  https://t.co/ZvEDsd3P0a</t>
  </si>
  <si>
    <t>🧵A 1⃣7⃣días de la @FIFAWorldCup #Qatar2022 compartimos el primer lienzo dedicado al futbol femenino⚽de la historia del arte. “Las Futbolistas” del pintor 🇲🇽 Ángel Zárraga que representa a mujeres que se sienten libres y decididas. 1/2
@SRE_mx @m_ebrard
#DiplomaciaPúblicaMX https://t.co/nKCu3OZeie</t>
  </si>
  <si>
    <t>¡Aquí está el #Altar en #Qatar y nos quedó a todo dar! 💀🌻⚽️
¡Listos para la @fifaworldcup_es !
#DiaDeLosMuertos 💀🌻⚽️ https://t.co/IOpyhdgSuV</t>
  </si>
  <si>
    <t>En #Qatar todo es fútbol. En cada rincón de la ciudad de #Doha se vive el entusiasmo por @fifaworldcup_es. Son tiempos para fortalecer el diálogo intercultural y la solidaridad internacional a través del deporte. #CentroMexicoQatar2022 🇲🇽🤝🇶🇦 https://t.co/NYEQgl8u6l</t>
  </si>
  <si>
    <t>Ofrecí hoy entrevista a @holaqatar92, radio en español desde Doha. Hablé del entusiasmo #MX  por Copa FIFA y de #CentroMéxicoQatar2022. Trabajamos para que las personas mexicanas que viajen a #Doha tengan una gran experiencia y disfruten el mundial de fútbol ⚽️ 🇲🇽🤝🇶🇦 https://t.co/1ySlRmWNz7</t>
  </si>
  <si>
    <t>Aquí está el altar en detalle. ¡Nos quedó a todo dar!
¡Listos para #Qatar2022! https://t.co/2cIDq84dYU</t>
  </si>
  <si>
    <t>En alegre evento comunitario, el embajador @ordorica_g saludó por 1a vez a integrantes de la vigorosa comunidad 🇲🇽 residente en #Qatar. Entregó reconocimientos a quienes participaron en el diseño del original Altar“¡La Pasión Nunca Muere!”
¡Gracias, juntos lo hacemos mejor! https://t.co/xAADPfKJHs</t>
  </si>
  <si>
    <t>¡La Pasión Nunca Muere! ⚽️🌻💀
En este #DiaDeMuertos, nuestro altar celebra al fútbol mexicano y sus leyendas que ya viajaron al Mictlán. 
En #Qatar2022 celebramos esta fiesta con orgullo y la compañía de la comunidad MX 🇲🇽✨ https://t.co/EHJZ4ho05M</t>
  </si>
  <si>
    <t>▶️ Si vas al Mundial de #Qatar2022, te informamos que ya no será necesario presentar una prueba negativa de COVID-19 para entrar a Qatar. Recuerda registrar tu estado de salud en la aplicación Ehteraz y visitar la Guía del Viajero de @SRE_mx.
👉https://t.co/T2nYUDOhNc
🇲🇽🤝🇶🇦⚽️ https://t.co/ylI0s2xVxq</t>
  </si>
  <si>
    <t>Hoy tuve gran y entusiasta reunión con jóvenes empresarios mexicanos, empeñados en que la afición de nuestro país en @FIFAWorldCup disfrute su estancia en Doha. 
¡Trabajamos juntos por el mismo objetivo! 
#CentroMexicoQatar2022  #MexiHouse https://t.co/eH13zA1mCI</t>
  </si>
  <si>
    <t>▶️ Aquí en #Doha, Alejandro Hernández nos relata sobre la impresión positiva que recibe la cultura mexicana con miras a #Qatar2022 ⚽️
#CentroMéxicoQatar2022
🇲🇽🤝🇶🇦
¡Vive el Mundial! ¡México en Qatar!
Consulta:
Guía del Viajero👉https://t.co/PhTrGLnY15
#CentroMéxicoQatar2022 https://t.co/AohJKSvzoQ</t>
  </si>
  <si>
    <t>¡Estamos a 2⃣0⃣ días para #Qatar2022🇶🇦!
Te presentamos el estadio🏟️974, el primero de la @FIFAWorldCup en ser totalmente desmontable. Será sede el próximo 22/nov del 1er partido en el mundial de @miseleccionmx 🇲🇽 vs Polonia🇵🇱.
@SRE_mx  @m_ebrard  
#CentroMéxicoQatar2022 https://t.co/e8QffiQL6u</t>
  </si>
  <si>
    <t>Asistí a presentación de libro sobre innovación, coordinado por el Dr.  @allan_villegas. Joven y brillante académico 🇲🇽, es investigador asociado en la @HECParis #Doha #TalentoMX @IME_SRE https://t.co/pkQL5QWJJJ</t>
  </si>
  <si>
    <t>@QNLib @QF @fmarmole https://t.co/Oiqj5X9FRE</t>
  </si>
  <si>
    <t>📣 Do you know why we celebrate the #DayOfTheDead in Mexico? 🌻💀
Learn more about our rich traditions that transcends time, memory and space with short movies, literary recommendations and creative collective workshops. 📽️📚🎨
👉 From October 31 here: https://t.co/cSGSBHn70V https://t.co/ck7oEbvfjR</t>
  </si>
  <si>
    <t>Hoy me reuní con Hassan Al-Thawadi, Secretario General del Comité Supremo y con Nasser Al-Khater, CEO de Q22. Avanzamos aspectos de coordinación y logística en beneficio de las personas mexicanas que asistirán a la @fifaworldcup_es 🇲🇽🤝🇶🇦
#CentroMéxicoQatar2022
@roadto2022es https://t.co/MFUqtzuCGF</t>
  </si>
  <si>
    <t>El embajador @ordorica_g participó en la inauguración del Centro Internacional de Servicios Consulares (ICSC) y recibió la mesa asignada a #México. Se avanza en la buena colaboración con #Qatar y se fortalece la relación bilateral. ⚽️
🇲🇽🤝🇶🇦 
#CentroMéxicoQatar2022 https://t.co/t9ZvFiWgHl</t>
  </si>
  <si>
    <t>Si vienes a la @fifaworldcup_es  #Qatar2022  también puedes alojarte en Arabia Saudita. ¡entérate!
#CentroMéxicoQatar2022 @roadto2022es https://t.co/j9t1PBt9j5</t>
  </si>
  <si>
    <t>Importantes actualizaciones #Qatar2022 ⚽️🇲🇽 https://t.co/RPABsptz3k</t>
  </si>
  <si>
    <t>▶️ ¡Faltan 23 días para #Qatar2022! @albertolati te resumen todas las funciones que tendrá el #CentroMéxicoQatar2022 si visitas Doha, para este Mundial.
🇲🇽🤝🇶🇦
Consulta:
Guía del Viajero👉https://t.co/T2nYUDNJXE
SIRME👉https://t.co/6jB3ypE1Oq https://t.co/c3cv4U0mml</t>
  </si>
  <si>
    <t>✍️ «La estrategia de protección invita a los aficionados de 🇲🇽 a que consulten la Guía del Viajero y se inscriban en el SIRME, para que los funcionarios del #CentroMéxicoQatar2022 los puedan contactar ante cualquier imprevisto», @ordorica_g en @Milenio
https://t.co/ZrrZEfdgPy https://t.co/xVMjWiFPeO</t>
  </si>
  <si>
    <t>La Coor. Gral. @SRE_mx #CentroMéxicoQatar2022 agradece a Braulio Luna @ruco11 leyenda futbolística de🇲🇽#Francia98 #JapónCorea2002 y a @FMF por sumar con @SRE_mx  a la camiseta🇲🇽👕, en la campaña de información y protección preventiva para la afición que acuda a #Qatar2022🇶🇦. https://t.co/0O2hlh7FGw</t>
  </si>
  <si>
    <t>💀🌻Invitamos a las y los mexicanos en Qatar al evento comunitario de Día de Muertos y a visitar la edición especial del altar 2022 "La Pasión Nunca Muere"💀🌻
REGISTRO:
✅ en línea: https://t.co/cnM5PzNOiR 
✅ Correo mbernal@sre.gob.mx https://t.co/Au0uLN07Uh</t>
  </si>
  <si>
    <t>Los embajadores GRULAC y autoridades @kataraqatar asistieron a la inauguración del mural ‘Borderless’ de 🇧🇷Kelvin Koubik. Colorida presencia cultural en @fifaworldcup_es de América Latina y Caribe
¡Se suma a los murales de 🇨🇺 Cuba y 🇲🇽 México!
#CentroMexicoQatar2022 https://t.co/prY0KEYEL3</t>
  </si>
  <si>
    <t>🇲🇽▶️ ¿Vienes a #Qatar y quieres conocer centros de culto islámicos? 🕌☪️
Conoce los requisitos para los recorridos especiales y programados de las mezquitas que podrás visitar durante #Qatar2022 ⚽️
#CentroMéxicoQatar2022 🇲🇽🤝🇶🇦 https://t.co/XXev4s03ez</t>
  </si>
  <si>
    <t>Hoy el Grupo de Amistad🇲🇽🇶🇦presidido por la diputada @adams_zulema invitó a @SRE_mx a exponer la estrategia del @GobiernoMX a #Qatar2022⚽️. La Coord. Gral. expuso la fase de información, vinculación, protección y asistencia consular que desarrollará el #CentroMéxicoQatar2022. 1/5 https://t.co/X05Y8rjn92</t>
  </si>
  <si>
    <t>▶️ ¿Cómo son los estándares de seguridad en Qatar? 
Aquí en #Doha, nuestra paisana Angie nos cuenta de la estabilidad en su día a día e invita a todos los mexicanos a animarse a venir a #Qatar2022 ⚽️
#CentroMéxicoQatar2022
🇲🇽🤝🇶🇦 https://t.co/GSABL2Vvnt</t>
  </si>
  <si>
    <t>Estamos a 2️⃣5️⃣ días para la @FIFAWorldCup #Qatar2022 ⚽🇶🇦. Nuestra hermosa bandera 🇲🇽 ya ondea en el Lusail Boulevard donde apoyaremos el 26 y 30 de noviembre a @miseleccionmx en sus encuentros vs 🇦🇷y 🇸🇦. @SRE_mx @m_ebrard
¡Vive el mundial! ¡México en Qatar!
📸 @roadto2022 https://t.co/yiOoc3GTov</t>
  </si>
  <si>
    <t>¡En la Embajada ya estamos listos para sumar! https://t.co/lOxzh8Rx4w</t>
  </si>
  <si>
    <t>Anunciamos que en #WebcamsMX nos vamos al Mundial de Qatar 2022 🇶🇦⚽️ con Lele, la embajadora de #Querétaro y México en el mundo.🇲🇽
Presentamos: #MéxicoEnQatar con Querétaro como Estado invitado.
@QroTravel @ErikaContrera @EmbaMexQatar https://t.co/3sB1c6DKEx</t>
  </si>
  <si>
    <t>📢Atención comunidad mexicana residente en #Qatar
💀 🌻 ⚽️💀 🌻⚽️ 💀 🌻⚽️ 💀
¡Pongámonos creativos y metamos goles literarios en el concurso especial 'Calaveritas Futboleras 2022'!
▶️Participa vía: https://t.co/X3AmLtpSvO https://t.co/kraoh75oG1</t>
  </si>
  <si>
    <t>🔶 Hoy que es día 25, el personal local y de #OrgulloSEM de esta Embajada se vistió de naranja.🔶 Estamos comprometidos con los derechos de género. 
¡Dí no al abuso de mujeres y niñas! 🔶
#PolíticaExteriorFeminista https://t.co/FHY3uU6dXu</t>
  </si>
  <si>
    <t>Si en #Qatar montaste altar, en tu chamba o en tu hogar, ¡ponlo a concursar! 💀🌻
Participa en el 'Reto de Altares 2022' del @IME_SRE  
¡Es muy fácil! 💀🌻
👉 Consulta las bases: https://t.co/x96vqBXNEu
#DiaDeMuertos #DiadeMuertos2022 https://t.co/X29psSmDCJ</t>
  </si>
  <si>
    <t>Hoy me reuní con Darwish S. Ahmed Alshebani, gran amigo de 🇲🇽, CEO Katara Public Diplomacy Center y SG Global Public Diplomacy Network. Trabajamos para beneficio de un mejor conocimiento mutuo entre México y Qatar. #FIFAWorldCupQatar2022 #CentroMexicoQatar2022 #PublicDiplomacyMX https://t.co/dW6hz6h5Hv</t>
  </si>
  <si>
    <t>▶️ ¿Hay muchas diferencias culturales entre México y Qatar? 
Aquí en #Doha, nuestra paisana Yareli Chávez nos relata su experiencia de adaptación multicultural 🌎🌍 y de la emoción que significa para ella #Qatar2022 ⚽️
#CentroMéxicoQatar2022 https://t.co/Wzc5221Oqx</t>
  </si>
  <si>
    <t>The Ambassador-designate of 🇲🇽in 🇶🇦@ordorica_g
presented style copies of his Letters of Credence to Sec. of State, Sultan b. Saad Al-Muraikhi, from @MofaQatar_EN.
In a positive meeting, they agreed to continue strengthening the friendship &amp;amp; cooperation between both countries. https://t.co/pogiYgIM4k</t>
  </si>
  <si>
    <t>El Embajador designado de 🇲🇽en 🇶🇦 @ordorica_g
presentó copia de estilo de sus Cartas Credenciales al Secretario de Estado Sultan b. Saad Al-Muraikhi, de @MOFAQatar_ES
Positivo encuentro en el que coincidieron en seguir fortaleciendo la amistad y cooperación entre ambos países. https://t.co/1jMDpbxqob</t>
  </si>
  <si>
    <t>📸 La @EmbaMexQatar develó en @kataraqatar el mural «Birds Game», de la artista mexicana Eva Bracamontes, un pedacito de México que resalta la diversidad y multiculturalidad de nuestras dos naciones como parte de la preparación para el Mundial de Fútbol #Qatar2022⚽️.
🇲🇽🤝🇶🇦 https://t.co/X9GnK4iu1H</t>
  </si>
  <si>
    <t>TrophyTour</t>
  </si>
  <si>
    <t>Gracias, Mexico! See you at the @FIFAWorldCup 😁
#BelievingIsMagic #LaMagiaDeCreer #TrophyTour #FIFAWorldCup https://t.co/ETrrzvzqIn</t>
  </si>
  <si>
    <t>#DatoMundialista
⚽️#Qatar2022 será el primero con presencia de árbitras en un Mundial varonil, un hecho histórico. 🙌🏻
@SRE_mx https://t.co/UziU2qtQiM</t>
  </si>
  <si>
    <t>Si vienes a #Qatar2022 a través de un paquete de viaje... ¡verifica que sea legítimo! https://t.co/MXmlOhgpNL</t>
  </si>
  <si>
    <t>Hoy tuve una primera y muy productiva jornada de trabajo con mis colegas de @EmbaMexQatar. Equipo unido para impulsar lazos con #Qatar y listo para la #CopaFIFA2022 #CentroMexicoQatar2022 #PublicDiplomacyMX https://t.co/9EnSWXoBgb</t>
  </si>
  <si>
    <t>✍️ «Estamos a 30 días del inicio del Mundial #Qatar2022 […] Será sin duda la ocasión para mostrar la vigencia de la diplomacia del futbol como punto de encuentro y convivencia entre culturas», @ALFZEGBE escribe en @ElFinanciero_Mx
#CentroMéxicoQatar2022
https://t.co/CgWetYHllE https://t.co/Pjf6QybuYS</t>
  </si>
  <si>
    <t>A un mes de #Qatar2022⚽️, esto es lo que debes traer en tu maleta 💼 y en tu dispositivo 📲 
#CentroMéxicoQatar2022 
@DiplomaciaPubl @SRE_mx @roadto2022es https://t.co/uL1IQYVB8J</t>
  </si>
  <si>
    <t>“La Pasión Nunca Muere”… ⚽️💀 es el nombre del altar que la Embajada y estas mexicanas y mexicanos preparan para este #DiaDeMuertos en #Qatar2022
El Embajador @ordorica_g agradeció al #talentomexicano de la comunidad 🇲🇽 que acudió al llamado creativo. https://t.co/mppXOjkR5N</t>
  </si>
  <si>
    <t>¡Falta UN MES PARA la Copa Mundial FIFA🏆!
Te compartimos algunos datos del Estadio Azteca, que en 2026 será el primero en albergar tres copas mundiales⚽️🏟️
Apoyemos a @miseleccionmx 🇲🇽 en sus próximos encuentros hacia #Qatar2022🇶🇦🎉
@IME_SRE 
#CentroMéxicoQatar2022 https://t.co/BePHdcXEL7</t>
  </si>
  <si>
    <t>¡Bienvenido, Embajador! https://t.co/GjNgfznnOW</t>
  </si>
  <si>
    <t>Los qataries, grandes anfitriones, recibieron al Emb. Guillermo Ordorica @ordorica_g 
En hospitalario ambiente con el Emb. Ibrahim Fakhro @MOFAQatar_ES, se reafirmaron lazos de amistad y cooperación entre ambos países. 
🇲🇽🤝🇶🇦
 ¡Viva México! ¡Viva Qatar!
#CentroMéxicoQatar2022 https://t.co/hbO6v4d5yS</t>
  </si>
  <si>
    <t>Buenos días desde Doha. ✌🏼🇶🇦😀
👀👑🏙 @AGuardado18.
🎥: @EmbaMexQatar 
#HechoDeLosMexicanos I #FMFporNuestroFútbol https://t.co/lX7U5cpxnN</t>
  </si>
  <si>
    <t>Si vienes a #Qatar2022 y eres víctima de un delito o  te detienen por presuntamente cometer uno, ¡Contáctanos!
☎️Emb. Emergencias: (+974) 3363 4450
☎️Emb. Conmutador: (+974) 4450 8000
🟢#CentroMéxicoQatar2022: qatar2022@sre.gob.mx
✔️Líneas adicionales se anunciarán próximamente https://t.co/Nu0WEd3EaS</t>
  </si>
  <si>
    <t>On behalf of #Mexico, @MMDomG attended a @gpdnetorg meeting where all members expressed their best wishes for a successful @FIFAWorldCup #Qatar2022 ⚽️
🇲🇽Mireya Domínguez  &amp;amp; 🇶🇦Khalid Al Sulaiti underlined the fruitful Mexico-@kpdcenter  collaboration.
@DiplomaciaPubl @ALFZEGBE https://t.co/026CEw4a99</t>
  </si>
  <si>
    <t>#Mexico is proud to be part of the @gpdnetorg and looks forward to enhance its collaboration with all its members, especially with #Qatar this year, in the occasion of the @FIFAWorldCup 
@DiplomaciaPubl https://t.co/dvlb2xE2Zo</t>
  </si>
  <si>
    <t>En la ruta a #Qatar2022, participé en representación de @SRE_mx en @TrophyTour en el @EstadioAzteca, anfitrión de México70, México86 y muy pronto de 🇲🇽🇺🇸🇨🇦2026 #NorteAmérica2026, como parte de la gira 🌎 que @fifaworldcup_es realiza por 🇲🇽. @DiplomaciaPubl #CentroMéxicoQatar2022 https://t.co/dlYtwQZwb8</t>
  </si>
  <si>
    <t>#SeeYouIn2026 #NosVemosEn2026 https://t.co/JXXi9pBgze</t>
  </si>
  <si>
    <t>En la @EmbaMexQatar nos  sumamos a la conmemoración del🚺«Día Mundial de la Lucha contra el Cáncer de Mama»🚺 El objetivo es sensibilizar sobre la importancia de la detección temprana, para incrementar los índices de supervivencia.
 #DiaMundialdelaLuchaContraelCancerdeMama https://t.co/uNv8NLLUsj</t>
  </si>
  <si>
    <t>🇲🇽Si vienes a #Qatar2022 ¡revisa bien tu pasaporte! 👀 🛂
Es necesario tenerlo con vigencia mínima de 6 meses. @Alonso_Cabral te cuenta más aquí 🔽
¡Vive el Mundial! ¡México en Qatar!
#CentroMéxicoQatar2022 https://t.co/wpC9aMw6lt</t>
  </si>
  <si>
    <t>📰 La prensa 🇶🇦 reacciona favorablemente al mural de la talentosa artista mexicana 🇲🇽 Eva Bracamontes 🦜 en @kataraqatar  - @QNAEnglish 
"Un encuentro amistoso de fútbol, donde sin importar color y tamaño, estas aves se alistan para lanzar el 1er tiro e iniciar el juego" - Eva B https://t.co/bPflCZb6nm</t>
  </si>
  <si>
    <t>Mexico, están listos para experimentar la magia del trofeo de la Copa Mundial de la FIFA!? 🤩💃🇲🇽
#LaMagiaDeCreer #BelievingIsMagic #TrophyTour #FIFAWorldCup https://t.co/aPrb6j5tez</t>
  </si>
  <si>
    <t>#MiConsulado también está aquí en #Qatar2022 https://t.co/WXnvJp6nbx</t>
  </si>
  <si>
    <t>▶️ ¡Estamos a 33 días de #Qatar2022! @CarameloMX_ te recuerda respetar las leyes y la cultura del Estado qatarí en caso de que viajes al Mundial para apoyar con orgullo a @miseleccionmx🇲🇽.
Consulta la Guía del Viajero👇
https://t.co/T2nYUDw8z4
#CentroMéxicoQatar2022 https://t.co/jF9Dq4zsF5</t>
  </si>
  <si>
    <t>QNAEnglish</t>
  </si>
  <si>
    <t>Mural 'Birds Game' by Mexican Artist Eva Bracamontes Unveiled at #Katara. #QNA https://t.co/OqNSo50VEM</t>
  </si>
  <si>
    <t>alraya_n</t>
  </si>
  <si>
    <t>تدشين جدارية “#لعبة_الطيور” للفنانة المكسيكية إيفا براكامونتس في “#كتارا”
#جريدة_الراية #قطر @kataraqatar 
https://t.co/tQr7Xqy4q3</t>
  </si>
  <si>
    <t>AlsharqLight</t>
  </si>
  <si>
    <t>سعادة أ. د. خالد بن إبراهيم السليطي، مدير عام #كتارا يدشن الجدارية المكسيكية "لعبة الطيور" في #كتارا 
للفنانة المكسيكية إيفا براكامونتس 
بحضور القائم بأعمال سفارة جمهورية #المكسيك لدى #قطر السيد/ كارلوس إيفان ميندوزا،
وعدد من أصحاب السعادة السفراء لدى قطر
@kataraqatar https://t.co/tup0K922TC</t>
  </si>
  <si>
    <t>PeninsulaQatar</t>
  </si>
  <si>
    <t>Mural 'Birds Game' by Mexican artist unveiled at Katara
#Qatar #Doha @kataraqatar
https://t.co/NEd3wnJBJT</t>
  </si>
  <si>
    <t>AlArab_Qatar</t>
  </si>
  <si>
    <t>🔴سعادة أ. د. خالد بن إبراهيم السليطي، مدير عام #كتارا يدشن الجدارية المكسيكية "لعبة الطيور" في #كتارا للفنانة المكسيكية إيفا براكامونتس https://t.co/FDSQfaypRU</t>
  </si>
  <si>
    <t>يسرّنا الكشف عن قطعة صغيرة من #المكسيك في #قطر ، وهي عمل فني يجسّد التنوع الثقافي لبلدينا 🇲🇽 و 🇶🇦 استعداداً لـ #كاسالعالمقطر_2022 ⚽️
ننوّه برؤية مؤسسة #كتارا وجهودها في تعزيز تقارب العالم @kataraqatar  🎨🦜 
@SRE_mx @DiplomaciaPubl @DiplomaciacMX @roadto2022 https://t.co/d2YB4aSTib</t>
  </si>
  <si>
    <t>Special thanks to the Ambassadors of #LatinAmerica  &amp;amp; the #Caribbean, who joined us at the unveiling ceremony. Eva's mural not only represents Mexico's cultural diversity but also that of our entire region.
We commend @kataraqatar 's vision &amp;amp; efforts in bringing the 🌎 together. https://t.co/rF9uoNWrMn</t>
  </si>
  <si>
    <t>We were thrilled to unveil a small piece of #Mexico in #Qatar, one that highlights the diversity and multiculturalism of our two nations 🇲🇽🤝🇶🇦 in preparation for #Qatar2022 ⚽️
Visit the mural "𝐁𝐢𝐫𝐝𝐬 𝐆𝐚𝐦𝐞" 🎨🦜 by talented artist Eva Bracamontes at Bldg 16 @kataraqatar https://t.co/NpTK9pD2N3</t>
  </si>
  <si>
    <t>Embajador León González, el honor fue nuestro, de tenerlo con nosotros en esta tarde tan especial. ¡Que viva la hermandad latinoamericana y caribeña  sin fronteras! 🇲🇽🤝🇨🇺 https://t.co/nWU5l88J9U</t>
  </si>
  <si>
    <t>Aquí en #Doha, podrás visitar el 🇲🇽#CentroMéxicoQatar2022 durante la @fifacom_es 🇶🇦 https://t.co/WXnvJpowpF</t>
  </si>
  <si>
    <t>El trofeo 🏆 de la @fifaworldcup_es #Qatar2022 está recorriendo 🇲🇽México... #Iztapalapa , #Guadalajara , #Monterrey . 
@roadto2022es @DiplomaciaPubl https://t.co/cMxBbz5TdA</t>
  </si>
  <si>
    <t>🇲🇽Si vienes a #Qatar2022 ⚽️🇶🇦 ¡mantén el espíritu deportivo! — 🎉
Las expresiones de orden político e ideológico y/o el activismo social, conllevan sanciones que pueden afectar tu experiencia en la @fifaworldcup_es 
👉 https://t.co/PhTrGLFySD
#CentroMéxicoQatar2022 🇲🇽🤝🇶🇦 https://t.co/YDNkuqlvGC</t>
  </si>
  <si>
    <t>Aquí en #Qatar2022 estamos para apoyar decididamente a @miseleccionmx 🇲🇽y a su afición... 
¡NO❌hay lugar para gritos y ademanes discriminatorios!
SI ✅demostraremos que somos un gran próximo anfitrion (2026)   @FMF https://t.co/MtfGULRRUw</t>
  </si>
  <si>
    <t>1/3 Esta semana seguimos con las reuniones de  preparación en materia de asistencia y #ProtecciónConsular para #Qatar2022. Con colegas de las embajadas en la región y oficinas en la @SRE_mx hicimos un repaso de las actualizaciones para incorporarlas en la #GuíaDelViajero 🇲🇽🇶🇦 https://t.co/IUJUcP1OZN</t>
  </si>
  <si>
    <t>▶️ Desde Doha, la paisana Karina García nos cuenta acerca del ambiente cultural y de seguridad que viven las y los qataríes, e invita a disfrutar respetuosamente de #Qatar2022 a las personas mexicanas que acudan.
¡Vive el Mundial! ¡México en Qatar!
#CentroMéxicoQatar2022
🇲🇽🤝🇶🇦 https://t.co/lVjoFTjaTq</t>
  </si>
  <si>
    <t>💀🌻 Ya está muy cerca la tradición más profunda y emblemática de nuestro país. 💀🌻 ¡Mantengámos viva la esencia del #DiaDeMuertos! 💀🌻 
Si en #Qatar montas un altar  ¡Regístralo en el 𝐑𝐞𝐭𝐨 𝐝𝐞 𝐀𝐥𝐭𝐚𝐫𝐞𝐬 𝟐𝟎𝟐𝟐 del @IME_SRE !💀🌻 
🔗https://t.co/x96vqBXNEu https://t.co/JubmvaohA3</t>
  </si>
  <si>
    <t>من مطار #مكسيكوسيتي الجديد وباسم الرئيس لوبيز أوبرادور @lopezobrador_ , تسلّم وزير الخارجية مارسيلو إبرارد @m_ebrard  #كأسالعالم ، ليبدأ الكأس جولته في المكسيك، بالشراكة مع @SomosCocaCola   
🇲🇽🤝🇶🇦⚽️ @fifacom_ar @roadto2022 @DiplomaciaPubl https://t.co/wYdenfuS4E</t>
  </si>
  <si>
    <t>On behalf of the Mexican President @lopezobrador_ , Foreign Minister @m_ebrard had the honor to welcome the @FIFAWorldCup #Qatar2022 trophy 🏆in Mexico City, 🇲🇽the first stop of the @TrophyTour in Latin America.
@SRE_mx @roadto2022en @miseleccionmx https://t.co/DnZuC698Gs</t>
  </si>
  <si>
    <t>📣Join us for the unveiling of the Mexican mural "Birds Game" in preparation for #Qatar2022 🇲🇽🇶🇦
Talented Mexican artist Eva Bracamontes gave life to one of the @kataraqatar walls 🎨🦜
Unveiling ceremony
📅 17 Oct, 4:30pm
📍Bldg. 16 https://t.co/TsMKUA5O5v https://t.co/NbSW9A3QAx</t>
  </si>
  <si>
    <t>¿Vienes a #Qatar2022? ¡Revisa tu pasaporte! https://t.co/GzuHMsMtAF</t>
  </si>
  <si>
    <t>A 3️⃣6️⃣ días para la @FIFAWorldCup #Qatar2022🇶🇦🏆, en representación del presidente @lopezobrador_ el Canciller @m_ebrard recibió el Trofeo de la @FIFAcom en el AIFA. 
A partir del 18/dic seremos organizadores de la próximo mundial ⚽🇲🇽🇨🇦🇺🇲. @CocaCola
#CentroMéxicoQatar2022 https://t.co/GIhMVTaqIW</t>
  </si>
  <si>
    <t>Recibiendo la Copa Mundial de la  FIFA Qatar 20-22 en el AIFA https://t.co/Lbb9lT9r7Y</t>
  </si>
  <si>
    <t>Yon de Luisa, presidente de la @FMF, @m_ebrard, Secretario de Relaciones Exteriores de 🇲🇽 y @AmbAlkuwari, embajador de 🇶🇦 en México, listos para recibir el Trofeo Original de la Copa Mundial de la FIFA. 🏆
📍 AIFA. 
#LaMagiaDeCreer @TrophyTour https://t.co/KJqYJWQfG6</t>
  </si>
  <si>
    <t>¡Estamos coordinados! ¡Estamos listos! 🇲🇽⚽️✅
@DiplomaciaPubl @roadto2022es https://t.co/n92cDE9p2e</t>
  </si>
  <si>
    <t>Las chicas 🇲🇽 del equipo México en la⚽️ 'Street Child World Cup 2022' se enfrentarán a Brasil 🇧🇷 en una semifinal de lujo. Con entusiasmo pueden llegar a la Final 🏆
🇲🇽 ¡Mexicanxs en Qatar! ¡Vamos a apoyarlas! 
15 oct, 3PM, Oxygen Park de Education City! 🇲🇽 ¡Evento familiar!🎊 https://t.co/5LntUcoYDK</t>
  </si>
  <si>
    <t>⚠️Si vienes a la @FIFAWorldCup #Qatar2022 ⚽️ ten presente lo que SI podemos ✅ y NO podemos ❌ hacer por tí… 
¡Te esperamos! ¡Estamos listxs! 
#CentroMéxicoQatar2022 🇲🇽🇶🇦
@SRE_mx https://t.co/9lrU8XaKO2</t>
  </si>
  <si>
    <t>▶️  ¿Cómo es vivir en este país del Medio Oriente para una persona proveniente de México? Vitalia, nuestra paisana, destaca los elementos de coincidencia entre nuestros pueblos.
 ¡Vive el Mundial! ¡México en Qatar!
#CentroMéxicoQatar2022
🇲🇽🤝🇶🇦⚽️ https://t.co/oy99467jYB</t>
  </si>
  <si>
    <t>En Doha, Qatar, ¡Estamos listxs!  🟢⚽️🔴
@DiplomaciaPubl @ALFZEGBE @ordorica_g https://t.co/Ke3aEmwAxx</t>
  </si>
  <si>
    <t>▶️¡Estamos a 38 días de #Qatar2022! @michperezof te invita a consultar toda la información que necesitas saber sobre Qatar, además de apoyar con orgullo a @miseleccionmx🇲🇽.
Guía del Viajero👉https://t.co/T2nYUDw8z4
#CentroMéxicoQatar2022 https://t.co/Mo6TKzP8SO</t>
  </si>
  <si>
    <t>🔵"Volemos juntxs con las Doctoras con Alas; profesionistas por el mundo”🌍🌎
👩‍⚕️Lectura HOY a las 7pm #Doha, con la Dra. Karla Uribe
▶️YouTube: https://t.co/uiimcI185Z
#DoctorasMexicanasPorElMundo #VolandoJuntasyJuntosConDoctorasConAlas #DoctorasConAlas #MujerMexicanaMigrante https://t.co/hoobaRUfQv</t>
  </si>
  <si>
    <t>🇲🇽🟣 Eva Bracamontes en @kataraqatar 🇶🇦🕊
¡Último día para presenciar su talento en vivo! 🤩
Hoy jueves 13 de octubre, hasta las 9pm 
📍Edificio 16 frente al restaurante Novikov
#TalentoMexicano 🇲🇽🎨 @DiplomaciacMX 
▶️ https://t.co/rwtk9MPoRu https://t.co/Q0wQP0FrsR</t>
  </si>
  <si>
    <t>AmbAlkuwari</t>
  </si>
  <si>
    <t>Fue un gran evento ayer en #ViveMiSeleccion del palacio de los Deportes junto con la comitiva de @roadto2022 , el presidente de la @FMF y las autoridades de la @sremx
Cada vez estamos más ansiosos para vivir el mundial de #Qatar2022 a menos de 40 días de su inauguración. https://t.co/gaIycWLPB3</t>
  </si>
  <si>
    <t>Las máscaras de luchador SI ✅ serán permitidas en #Qatar2022… pero hay que saber cuándo y dónde…  🔽 https://t.co/h8bqLzugAP</t>
  </si>
  <si>
    <t>Visita especial ⚽️📸
Las orgullosas representantes de México 🇲🇽 en la 𝗦𝘁𝗿𝗲𝗲𝘁 𝗖𝗵𝗶𝗹𝗱 𝗪𝗼𝗿𝗹𝗱 𝗖𝘂𝗽 𝟮𝟬𝟮𝟮 🏆conocieron la Embajada y nos contaron sus historias llenas de esperanza y dedicación. 💪
@futbolmasorg 
https://t.co/u52qt5LETa https://t.co/TNcCvZL6KZ</t>
  </si>
  <si>
    <t>🇲🇽⚽️Aficionadx mexicanx de @miseleccionmx:
Si vienes a #Qatar2022 🇶🇦⚽️... ¡Escucha estos consejos de @karlaiberia! https://t.co/HKLdkTWo0G</t>
  </si>
  <si>
    <t>📄 | NOTA 
En compañía de la @SRE_mx, la @EmbaMexQatar y el Comité Supremo para la Organización y Legado de 🇶🇦 2022, tuvimos un workshop con los Incondicionales donde resolvimos todas sus dudas sobre su viaje a 🇶🇦. 
Más info. 👉🏻 https://t.co/xixL13pQRW
#Qatar2022 https://t.co/CeLCqIpvbK</t>
  </si>
  <si>
    <t>🇲🇽 Si vienes a #Qatar2022 ⚽️ regístrate en el SIRME "Sistema de Registro para Mexicanos en el Exterior", así podremos asistirte mejor en caso de emergencia o alguna contingencia. 🚨☢️
✏️ https://t.co/ATOQ5azMCJ
#CentroMéxicoQatar2022 @DiplomaciaPubl https://t.co/gZtpiB5y04</t>
  </si>
  <si>
    <t>QUGulfStudies</t>
  </si>
  <si>
    <t>The CAS at Qatar University is pleased to invite you to attend a WebEx Conference titled:Latin America and the Gulf: Beyond Oil and Football
12Oct2022
9:00am-6:15pm
To attend the virtual Conference please follow the link: https://t.co/KiIiiQs238
Livestream:https://t.co/ExogjIzCVH https://t.co/nCKbVuneUH</t>
  </si>
  <si>
    <t>▶️ ¿Vendrás a #Qatar2022? 🇲🇽⚽️🇶🇦
El paisano Alfredo Hernández nos comparte algunas recomendaciones para disfrutar de manera segura de #Qatar2022, ¡a 4⃣0⃣días de su inicio!
¡Vive el Mundial! ¡México en Qatar!
#CentroMéxicoQatar2022 @DiplomaciaPubl @SRE_mx 
🇲🇽🤝🇶🇦⚽️ https://t.co/AsQuByskYK</t>
  </si>
  <si>
    <t>¿Vendrás a #Qatar2022 y piensas hacerlo por vía terrestre🚗desde Arabia Saudita / Emiratos Árabes Unidos? ¡No te confíes! 🔽 https://t.co/uN5fuw2KTM</t>
  </si>
  <si>
    <t>⭐️¡Apóyalas! Evento abierto al público🎉
Oxygen Park
- Fase de grupos:, 11-12 oct / 3:30pm-8pm*
- Rondas finales: 15 oct / 3:30pm-7pm 🏆
- Espectáculos culturales: 14 oct / 7:00pm
(2/2)
https://t.co/bm08Ndtrsk https://t.co/Vh8t0GsSUh</t>
  </si>
  <si>
    <t>⚽️¡Ya está en #Doha el equipo femenil 🇲🇽 que participa en la Street Child World Cup 2022! 
Las 10 pequeñas lideresas de comunidades mexicanas 👧 competirán con otros 11 países en el Oxygen Park @QF  por el trofeo🏆  
+Info en tuit 🔽 (1/2)
https://t.co/u52qt5LETa https://t.co/PJV3r8kFEc</t>
  </si>
  <si>
    <t>Platicamos con @FOXSportsMX https://t.co/2zdLzG9ECv sobre protección preventiva 🇲🇽 @SRE_mx rumbo a #Qatar2022 ⚽️ #CentroMéxicoQatar2022. Es muy importante considerar hospedaje, conectividad y requisitos de ingreso a 🇶🇦 y 🇦🇪 🇸🇦 🇴🇲 🇹🇷 🇱🇧 🇮🇱 antes o después de @roadto2022 @m_ebrard https://t.co/CxaouW3vbh</t>
  </si>
  <si>
    <t>Si vas a venir al Mundial de #Qatar2022 ¡Escucha los consejos de Diana Laura quien vive aquí hace dos años! 🇲🇽🤝🇶🇦
@DiplomaciaPubl @roadto2022es https://t.co/pvSK1eiRtO</t>
  </si>
  <si>
    <t>▶️ ¿Vendrás a #Qatar2022? 🇲🇽⚽️🇶🇦
La paisana Diana Rivera nos comparte las similitudes sociales y culturales entre nuestros países. ¡Revisa sus consejos!
#CentroMéxicoQatar2022 @DiplomaciaPubl @SRE_mx 
🇲🇽🤝🇶🇦 https://t.co/4aG9TmQe3G</t>
  </si>
  <si>
    <t>¿Vendrás a #Qatar2022 entrando desde Arabia Saudita? Necesitas visado del Estado saudí ⬇️ https://t.co/x6uBH00kGB</t>
  </si>
  <si>
    <t>¿Vendrás a #Qatar2022?
¡Conoce las frases básicas de emergencia en inglés y árabe! ⬇️ https://t.co/OopSL0nm6N</t>
  </si>
  <si>
    <t>🇲🇽 ¿Vendrás a #Qatar2022? 🇶🇦
¡Revisa bien tu pasaporte! Este debe tener una vigencia mínima de 6 meses al momento de ingresar a Qatar. 
¡Te estamos esperando!
@SRE_mx @DiplomaciaPubl #CentroMéxicoQatar2022 https://t.co/egg9Xfra6Q</t>
  </si>
  <si>
    <t>Se instalaron módulos con información relevante de cada uno de los países. De México se muestra el águila real, nuestras antiguas civilizaciones, y la pasión por le fútbol, que nos convertirá en la 1a nacion que es tres veces anfitriona de una Copa Mundial FIFA ('70, '86... 2026) https://t.co/EA2L8ib5q3</t>
  </si>
  <si>
    <t>La Plaza de las Banderas (Flag Plaza) fue inaugurada el pasado martes bajo el auspicio del Emir de Qatar, @TamimBinHamad 
La bandera de México ondea junto las de los 119 países que a la fecha tienen representación diplomática en Qatar. (1/2) 🧵 
@SRE_mx @MOFAQatar_ES https://t.co/0C2p6ktWFl</t>
  </si>
  <si>
    <t>📌 ¡No te lo pierdas! Regístrate para participar en el Octavo Taller de Cooperación Procesal Internacional, del 12 al 14 de octubre. 
Accede al registro aquí.
https://t.co/cTSwptu5m6 https://t.co/Ir0xuikB9e</t>
  </si>
  <si>
    <t>📄Concluye participación de México en el 51 periodo de sesiones del Consejo de Derechos Humanos de Naciones Unidas. 
https://t.co/PmS2qJkrly https://t.co/37PxkdqKmj</t>
  </si>
  <si>
    <t>¡Faltan 4⃣4⃣ días para el Mundial de #Qatar2022🇶🇦! 
Durante la @FIFAWorldCup #México86🇲🇽se introdujo el “Azteca”, cuyo diseño se inspiró en la cultura azteca. Fue protagonista de momentos tan icónicos como el "Gol del Siglo" anotado por Diego Maradona🇦🇷.  @SRE_mx  @m_ebrard https://t.co/RytKOusuUn</t>
  </si>
  <si>
    <t>🇲🇽¿Vienes a #Qatar2022?🇶🇦
Infórmate - Prepárate - ¡Disfruta!⚽️
#CentroMéxicoQatar2022 https://t.co/FKcuyZY5F7</t>
  </si>
  <si>
    <t>🗣️Faltan 4️⃣4️⃣ días para la @fifaworldcup_es #Qatar2022 y ya sabemos cuáles serán los países con más apoyo de su afición. El Grupo C, donde se ubica México, tiene tres países en el top 10 de boletos vendidos. Esto garantiza partidos vibrantes y llenos de emoción. 🙌 🇲🇽⚽️ https://t.co/BbiHxoY3kQ</t>
  </si>
  <si>
    <t>🇲🇽 ¿Vienes a #Qatar2022? 🇶🇦
🔽 Esto te interesa 🔽 https://t.co/QafFlVgR51</t>
  </si>
  <si>
    <t>#EnVIVO | Inauguración de la X Feria del Libro de Relaciones Internacionales. https://t.co/A98QGBRh0z</t>
  </si>
  <si>
    <t>Conoce a Eva Bracamontes, la 1a mexicana 🇲🇽 en  dejar legado artístico en los muros de #Doha rumbo a #Qatar2022 ⚽️🦜🎨
¡Vela en acción en el muro del Edificio 16 de @kataraqatar !
— del 8 al 13 de octubre (por las tardes +4pm)
https://t.co/MeElt3vZsH 
https://t.co/U9ZShNq7LS https://t.co/D7AUtQdB5m</t>
  </si>
  <si>
    <t>El @IME_SRE presenta esta edición de la revista Casa de México dedicada a la importancia de 🇲🇽 en el mundo, a su riqueza histórica, cultural y gran diversidad...  a las aportaciones de cada mexicanx 🇲🇽 dentro y fuera del país 🇲🇽🌎🌍🌏
▶️ https://t.co/e81FCpQ5v2 https://t.co/rN8qf236Lp</t>
  </si>
  <si>
    <t>Acervo_SREmx</t>
  </si>
  <si>
    <t>📣El miércoles inicia el simposio internacional "Mujeres y relaciones internacionales en el siglo XX"
¡No te lo pierdas!
@iih_umsnh 
💻Facebook Live https://t.co/mMCr5JR8x5</t>
  </si>
  <si>
    <t>🥳Del 6 al 16 de octubre estaremos en la Feria Internacional del Libro de Antropología e Historia, te esperamos en el stand 35. 
¡Conoce nuestras novedades editoriales! Tendremos descuentos especiales en todos nuestros títulos.
#FILAH2022 https://t.co/Crz0vnCm9z</t>
  </si>
  <si>
    <t>🇲🇽¿Vienes a #Qatar2022?🇶🇦
Infórmate - Prepárate- ¡Disfruta! 🔽
@DiplomaciaPubl @roadto2022es https://t.co/pQymjLndGh</t>
  </si>
  <si>
    <t>🇲🇽¿Vienes a #Qatar2022? ⚽️
¡Prepárate bien para garantizar una gran experiencia! 🔽 https://t.co/JQbeqqf7Ka</t>
  </si>
  <si>
    <t>Mexicanx aficionadx ⚽️ ¿Vienes a #Qatar2022? 🇲🇽🇶🇦
¿Sabes lo que será el #CentroMéxicoQatar2022? 🇲🇽🇶🇦
@DiplomaciaPubl @roadto2022es https://t.co/aqFYgigsEB</t>
  </si>
  <si>
    <t>¡Gracias a las y los mexicanxs que asistieron a la 1a reunión para el diseño, concepto y estrategia rumbo al 🌻💀Altar de Muertos🌼💀 Edición Especial 2⚽️22!
👉Si quieres sumarte al equipo creativo🤹‍♀️, escribe o llama a:
🔸infoembqat@sre.gob.mx
🔸4450-8008 / 4450-8000 https://t.co/f2qgUzcis8</t>
  </si>
  <si>
    <t>¿🇲🇽Vives en #Qatar🇶🇦y deseas realizar o completar tu Prepa? ¡No importa la edad ni donde estés!
Servicio Nacional de Bachillerato en Línea
🔹Registro del 03 al 14 de octubre https://t.co/RWgm11d4PV
#PrepaEnLineaSEP #EducaciónParaTodasyTodos #EducaciónIME @IME_SRE https://t.co/B2eYms5Tbf</t>
  </si>
  <si>
    <t>¿Eres mexicanx y vienes a #Qatar2022? ✅
¿Conoces la #GuíaDelViajero y el #SIRME? ⚠️
--- Este post te interesa: ⬇️ https://t.co/TZ34BXKsgw</t>
  </si>
  <si>
    <t>فيما يتعلق بكأس العالم لكرة القدم قطر 2022 ، فإن حكومة المكسيك مستعدة جيدًا ومهتمة لتبادل الخبرات وأفضل الممارسات مع السلطات القطرية والدول المشاركة الأخرى.- 
@ordorica_g سفير المكسيك المعين في قطر
@DiplomaciaPubl @MofaQatar_AR @MOI_Qatar https://t.co/9ckXpHyXps</t>
  </si>
  <si>
    <t>JoseIMadrazoB</t>
  </si>
  <si>
    <t>Me reuní c/ Mohamad El-Hout, DG de @MEAAIRLIBAN. Durante 2018, antes de la pandemia y del inicio de la crisis  en Líbano 🇱🇧, el turismo de 🇲🇽 a 🇱🇧 se incrementó en 52%.Middle East Airlines tiene acuerdos con @Aeromexico para facilitar viaje de CDMX a Beirut y de ahí a #Qatar2022 https://t.co/5pF9vdBZ2d</t>
  </si>
  <si>
    <t>"في وزارة الخارجية المكسيكية ، نعمل على نشر دبلوماسية عامة مكثفة وغير مسبوقة استراتيجية ، تهدف إلى مساعدة المكسيكيين الذين سيسافرون إلى كأس العالم #Qatar2022" 
- @ordorica_g سفير المكسيك المعين في قطر
@DiplomaciaPubl @roadto2022 https://t.co/iiyX0pJdfn</t>
  </si>
  <si>
    <t>✍️ «Para la @fifaworldcup_es #Qatar2022, el @GobiernoMX está bien preparado para intercambiar experiencias y buenas prácticas con las autoridades qataríes y de otros países participantes»
- @ordorica_g, Embajador designado de 🇲🇽en🇶🇦
#CentroMéxicoQatar2022
https://t.co/0cbPGI5Cyt https://t.co/sHbENbBSQT</t>
  </si>
  <si>
    <t>roadto2022es</t>
  </si>
  <si>
    <t>¡No olvides de obtener tu Hayya Card para viajar a #Qatar2022! 🪪
Te sirve tanto la versión física como la digital. Visita https://t.co/tkkA9D9W9X o descarga la app. 📲 https://t.co/0XAMMBjh1f</t>
  </si>
  <si>
    <t>¿Vienes a la Copa Mundial FIFA #Qatar2022?
¡Recuerda estos 7️⃣ requisitos indispensables!
#CentroMéxicoQatar2022 @roadto2022es https://t.co/8rJ1LSAzlo</t>
  </si>
  <si>
    <t>🇲🇽Mexicanx residente en #Qatar🇶🇦:
¡Tramita o renueva tu credencial del INE!
Citas al 4450 8000 / infoembqat@sre.gob.mx
Documentos requeridos:
- Doc. que acredite la nacionalidad
- ID con fotografía
- Comprobante de domicilio
▶️ https://t.co/fP9ZnzCUR3
#VotoExtranjero #VRME https://t.co/WHHsDZ4kVx</t>
  </si>
  <si>
    <t>Estamos a 5️⃣0️⃣ días de la @FIFAWorldCup #Qatat2022. Las mascotas son un elemento tradicional del mundial y en #México70🇲🇽 “Juanito”🤠⚽ un niño amante del fútbol nos representó. Ahora ya se encuentra en 🇶🇦 👏 para apoyar a @miseleccionmx.
@SRE_mx @m_ebrard @EmbaMexQatar https://t.co/xIPc7ZF8mz</t>
  </si>
  <si>
    <t>🇲🇽✈️🇶🇦¿Vienes a la @fifaworldcup_es #Qatar2022? 
👉Recuerda que es necesario contar con un seguro de viaje con cobertura de atención médica internacional.
 Sólo faltan 5⃣0⃣ días ¡Te estamos esperando!
#CentroMéxicoQatar2022 https://t.co/Bdhf5KfhEF</t>
  </si>
  <si>
    <t>⌛️ En 50 días empieza #Qatar2022... 🤩 ¿Están listos? https://t.co/fiiI5Ry91H</t>
  </si>
  <si>
    <t>Concacaf</t>
  </si>
  <si>
    <t>5️⃣0️⃣ days and we're back to the @fifaworldcup!
🇨🇦 🇨🇷 🇲🇽 🇺🇸 https://t.co/siyjmJby0S</t>
  </si>
  <si>
    <t>▶️ ¡Faltan 50 días para el Mundial de #Qatar2022! @fersch_4 invita a consultar los sitios web que será necesario visitar en caso de que se tenga confirmado el viaje a Doha, Qatar.
Guía del Viajero👉 https://t.co/T2nYUDNJXE
SIRME👉 https://t.co/6jB3ypE1Oq
#CentroMéxicoQatar2022 https://t.co/OEI7ipfEd0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</si>
</sst>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44"/>
  <sheetViews>
    <sheetView tabSelected="1" topLeftCell="A424" workbookViewId="0">
      <selection activeCell="A445" sqref="A445:XFD3114"/>
    </sheetView>
  </sheetViews>
  <sheetFormatPr baseColWidth="10" defaultColWidth="8.83203125" defaultRowHeight="15" x14ac:dyDescent="0.2"/>
  <cols>
    <col min="3" max="3" width="40.832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HYPERLINK("http://www.twitter.com/banuakdenizli/status/1609260737456910336", "1609260737456910336")</f>
        <v>1609260737456910336</v>
      </c>
      <c r="B2" t="s">
        <v>15</v>
      </c>
      <c r="C2" s="2">
        <v>44926.785104166673</v>
      </c>
      <c r="D2">
        <v>0</v>
      </c>
      <c r="E2">
        <v>4</v>
      </c>
      <c r="F2" t="s">
        <v>24</v>
      </c>
      <c r="G2" t="s">
        <v>25</v>
      </c>
      <c r="H2" t="str">
        <f>HYPERLINK("http://pbs.twimg.com/media/FlU-B4facAE4Qk_.jpg", "http://pbs.twimg.com/media/FlU-B4facAE4Qk_.jpg")</f>
        <v>http://pbs.twimg.com/media/FlU-B4facAE4Qk_.jpg</v>
      </c>
      <c r="I2" t="str">
        <f>HYPERLINK("http://pbs.twimg.com/media/FlU-B4WaAAE817h.jpg", "http://pbs.twimg.com/media/FlU-B4WaAAE817h.jpg")</f>
        <v>http://pbs.twimg.com/media/FlU-B4WaAAE817h.jpg</v>
      </c>
      <c r="J2" t="str">
        <f>HYPERLINK("http://pbs.twimg.com/media/FlU-B4VaMAEDdzC.jpg", "http://pbs.twimg.com/media/FlU-B4VaMAEDdzC.jpg")</f>
        <v>http://pbs.twimg.com/media/FlU-B4VaMAEDdzC.jpg</v>
      </c>
      <c r="K2" t="str">
        <f>HYPERLINK("http://pbs.twimg.com/media/FlU-B4XakAAk6m2.jpg", "http://pbs.twimg.com/media/FlU-B4XakAAk6m2.jpg")</f>
        <v>http://pbs.twimg.com/media/FlU-B4XakAAk6m2.jpg</v>
      </c>
      <c r="L2">
        <v>0</v>
      </c>
      <c r="M2">
        <v>0</v>
      </c>
      <c r="N2">
        <v>1</v>
      </c>
      <c r="O2">
        <v>0</v>
      </c>
    </row>
    <row r="3" spans="1:15" x14ac:dyDescent="0.2">
      <c r="A3" s="1" t="str">
        <f>HYPERLINK("http://www.twitter.com/banuakdenizli/status/1608572590788075522", "1608572590788075522")</f>
        <v>1608572590788075522</v>
      </c>
      <c r="B3" t="s">
        <v>15</v>
      </c>
      <c r="C3" s="2">
        <v>44924.886180555557</v>
      </c>
      <c r="D3">
        <v>0</v>
      </c>
      <c r="E3">
        <v>276</v>
      </c>
      <c r="F3" t="s">
        <v>21</v>
      </c>
      <c r="G3" t="s">
        <v>26</v>
      </c>
      <c r="L3">
        <v>0</v>
      </c>
      <c r="M3">
        <v>0</v>
      </c>
      <c r="N3">
        <v>1</v>
      </c>
      <c r="O3">
        <v>0</v>
      </c>
    </row>
    <row r="4" spans="1:15" x14ac:dyDescent="0.2">
      <c r="A4" s="1" t="str">
        <f>HYPERLINK("http://www.twitter.com/banuakdenizli/status/1608554480852946944", "1608554480852946944")</f>
        <v>1608554480852946944</v>
      </c>
      <c r="B4" t="s">
        <v>15</v>
      </c>
      <c r="C4" s="2">
        <v>44924.8362037037</v>
      </c>
      <c r="D4">
        <v>0</v>
      </c>
      <c r="E4">
        <v>8</v>
      </c>
      <c r="F4" t="s">
        <v>19</v>
      </c>
      <c r="G4" t="s">
        <v>27</v>
      </c>
      <c r="H4" t="str">
        <f>HYPERLINK("http://pbs.twimg.com/media/FlK5ew4XkAAU72Y.jpg", "http://pbs.twimg.com/media/FlK5ew4XkAAU72Y.jpg")</f>
        <v>http://pbs.twimg.com/media/FlK5ew4XkAAU72Y.jpg</v>
      </c>
      <c r="L4">
        <v>0</v>
      </c>
      <c r="M4">
        <v>0</v>
      </c>
      <c r="N4">
        <v>1</v>
      </c>
      <c r="O4">
        <v>0</v>
      </c>
    </row>
    <row r="5" spans="1:15" x14ac:dyDescent="0.2">
      <c r="A5" s="1" t="str">
        <f>HYPERLINK("http://www.twitter.com/banuakdenizli/status/1608038923187650560", "1608038923187650560")</f>
        <v>1608038923187650560</v>
      </c>
      <c r="B5" t="s">
        <v>15</v>
      </c>
      <c r="C5" s="2">
        <v>44923.413530092592</v>
      </c>
      <c r="D5">
        <v>0</v>
      </c>
      <c r="E5">
        <v>17</v>
      </c>
      <c r="F5" t="s">
        <v>18</v>
      </c>
      <c r="G5" t="s">
        <v>28</v>
      </c>
      <c r="L5">
        <v>0</v>
      </c>
      <c r="M5">
        <v>0</v>
      </c>
      <c r="N5">
        <v>1</v>
      </c>
      <c r="O5">
        <v>0</v>
      </c>
    </row>
    <row r="6" spans="1:15" x14ac:dyDescent="0.2">
      <c r="A6" s="1" t="str">
        <f>HYPERLINK("http://www.twitter.com/banuakdenizli/status/1607330691536269314", "1607330691536269314")</f>
        <v>1607330691536269314</v>
      </c>
      <c r="B6" t="s">
        <v>15</v>
      </c>
      <c r="C6" s="2">
        <v>44921.459189814806</v>
      </c>
      <c r="D6">
        <v>3</v>
      </c>
      <c r="E6">
        <v>2</v>
      </c>
      <c r="G6" t="s">
        <v>29</v>
      </c>
      <c r="H6" t="str">
        <f>HYPERLINK("http://pbs.twimg.com/media/Fk5icD2X0AAAupX.jpg", "http://pbs.twimg.com/media/Fk5icD2X0AAAupX.jpg")</f>
        <v>http://pbs.twimg.com/media/Fk5icD2X0AAAupX.jpg</v>
      </c>
      <c r="L6">
        <v>0</v>
      </c>
      <c r="M6">
        <v>0</v>
      </c>
      <c r="N6">
        <v>1</v>
      </c>
      <c r="O6">
        <v>0</v>
      </c>
    </row>
    <row r="7" spans="1:15" x14ac:dyDescent="0.2">
      <c r="A7" s="1" t="str">
        <f>HYPERLINK("http://www.twitter.com/banuakdenizli/status/1606737410171224064", "1606737410171224064")</f>
        <v>1606737410171224064</v>
      </c>
      <c r="B7" t="s">
        <v>15</v>
      </c>
      <c r="C7" s="2">
        <v>44919.82203703704</v>
      </c>
      <c r="D7">
        <v>19</v>
      </c>
      <c r="E7">
        <v>3</v>
      </c>
      <c r="G7" t="s">
        <v>30</v>
      </c>
      <c r="H7" t="str">
        <f>HYPERLINK("http://pbs.twimg.com/media/FkxHJyOXoAUcgvp.jpg", "http://pbs.twimg.com/media/FkxHJyOXoAUcgvp.jpg")</f>
        <v>http://pbs.twimg.com/media/FkxHJyOXoAUcgvp.jpg</v>
      </c>
      <c r="L7">
        <v>0</v>
      </c>
      <c r="M7">
        <v>0</v>
      </c>
      <c r="N7">
        <v>1</v>
      </c>
      <c r="O7">
        <v>0</v>
      </c>
    </row>
    <row r="8" spans="1:15" x14ac:dyDescent="0.2">
      <c r="A8" s="1" t="str">
        <f>HYPERLINK("http://www.twitter.com/banuakdenizli/status/1606729572837642241", "1606729572837642241")</f>
        <v>1606729572837642241</v>
      </c>
      <c r="B8" t="s">
        <v>15</v>
      </c>
      <c r="C8" s="2">
        <v>44919.800416666672</v>
      </c>
      <c r="D8">
        <v>0</v>
      </c>
      <c r="E8">
        <v>43</v>
      </c>
      <c r="F8" t="s">
        <v>17</v>
      </c>
      <c r="G8" t="s">
        <v>31</v>
      </c>
      <c r="H8" t="str">
        <f>HYPERLINK("http://pbs.twimg.com/media/FktmX4XX0AA_Qvj.jpg", "http://pbs.twimg.com/media/FktmX4XX0AA_Qvj.jpg")</f>
        <v>http://pbs.twimg.com/media/FktmX4XX0AA_Qvj.jpg</v>
      </c>
      <c r="L8">
        <v>0</v>
      </c>
      <c r="M8">
        <v>0</v>
      </c>
      <c r="N8">
        <v>1</v>
      </c>
      <c r="O8">
        <v>0</v>
      </c>
    </row>
    <row r="9" spans="1:15" x14ac:dyDescent="0.2">
      <c r="A9" s="1" t="str">
        <f>HYPERLINK("http://www.twitter.com/banuakdenizli/status/1605905449370492928", "1605905449370492928")</f>
        <v>1605905449370492928</v>
      </c>
      <c r="B9" t="s">
        <v>15</v>
      </c>
      <c r="C9" s="2">
        <v>44917.526273148149</v>
      </c>
      <c r="D9">
        <v>3</v>
      </c>
      <c r="E9">
        <v>1</v>
      </c>
      <c r="G9" t="s">
        <v>32</v>
      </c>
      <c r="H9" t="str">
        <f>HYPERLINK("http://pbs.twimg.com/media/FklSB71WAAAi4Wa.png", "http://pbs.twimg.com/media/FklSB71WAAAi4Wa.png")</f>
        <v>http://pbs.twimg.com/media/FklSB71WAAAi4Wa.png</v>
      </c>
      <c r="L9">
        <v>0</v>
      </c>
      <c r="M9">
        <v>0</v>
      </c>
      <c r="N9">
        <v>1</v>
      </c>
      <c r="O9">
        <v>0</v>
      </c>
    </row>
    <row r="10" spans="1:15" x14ac:dyDescent="0.2">
      <c r="A10" s="1" t="str">
        <f>HYPERLINK("http://www.twitter.com/banuakdenizli/status/1605811296200450049", "1605811296200450049")</f>
        <v>1605811296200450049</v>
      </c>
      <c r="B10" t="s">
        <v>15</v>
      </c>
      <c r="C10" s="2">
        <v>44917.266458333332</v>
      </c>
      <c r="D10">
        <v>0</v>
      </c>
      <c r="E10">
        <v>10</v>
      </c>
      <c r="F10" t="s">
        <v>33</v>
      </c>
      <c r="G10" t="s">
        <v>34</v>
      </c>
      <c r="H10" t="str">
        <f>HYPERLINK("http://pbs.twimg.com/media/FkjtfKsXwAAqXTX.jpg", "http://pbs.twimg.com/media/FkjtfKsXwAAqXTX.jpg")</f>
        <v>http://pbs.twimg.com/media/FkjtfKsXwAAqXTX.jpg</v>
      </c>
      <c r="I10" t="str">
        <f>HYPERLINK("http://pbs.twimg.com/media/FkjtfKrXgAELhSJ.jpg", "http://pbs.twimg.com/media/FkjtfKrXgAELhSJ.jpg")</f>
        <v>http://pbs.twimg.com/media/FkjtfKrXgAELhSJ.jpg</v>
      </c>
      <c r="J10" t="str">
        <f>HYPERLINK("http://pbs.twimg.com/media/FkjtfKsWYAAKGVA.jpg", "http://pbs.twimg.com/media/FkjtfKsWYAAKGVA.jpg")</f>
        <v>http://pbs.twimg.com/media/FkjtfKsWYAAKGVA.jpg</v>
      </c>
      <c r="L10">
        <v>0</v>
      </c>
      <c r="M10">
        <v>0</v>
      </c>
      <c r="N10">
        <v>1</v>
      </c>
      <c r="O10">
        <v>0</v>
      </c>
    </row>
    <row r="11" spans="1:15" x14ac:dyDescent="0.2">
      <c r="A11" s="1" t="str">
        <f>HYPERLINK("http://www.twitter.com/banuakdenizli/status/1605787290651037697", "1605787290651037697")</f>
        <v>1605787290651037697</v>
      </c>
      <c r="B11" t="s">
        <v>15</v>
      </c>
      <c r="C11" s="2">
        <v>44917.200208333343</v>
      </c>
      <c r="D11">
        <v>0</v>
      </c>
      <c r="E11">
        <v>3</v>
      </c>
      <c r="F11" t="s">
        <v>35</v>
      </c>
      <c r="G11" t="s">
        <v>36</v>
      </c>
      <c r="L11">
        <v>0</v>
      </c>
      <c r="M11">
        <v>0</v>
      </c>
      <c r="N11">
        <v>1</v>
      </c>
      <c r="O11">
        <v>0</v>
      </c>
    </row>
    <row r="12" spans="1:15" x14ac:dyDescent="0.2">
      <c r="A12" s="1" t="str">
        <f>HYPERLINK("http://www.twitter.com/banuakdenizli/status/1605583964374110208", "1605583964374110208")</f>
        <v>1605583964374110208</v>
      </c>
      <c r="B12" t="s">
        <v>15</v>
      </c>
      <c r="C12" s="2">
        <v>44916.639143518521</v>
      </c>
      <c r="D12">
        <v>0</v>
      </c>
      <c r="E12">
        <v>137</v>
      </c>
      <c r="F12" t="s">
        <v>21</v>
      </c>
      <c r="G12" t="s">
        <v>37</v>
      </c>
      <c r="H12" t="str">
        <f>HYPERLINK("https://video.twimg.com/ext_tw_video/1604994509552721922/pu/vid/1280x720/owQujGngV7kyDb3O.mp4?tag=12", "https://video.twimg.com/ext_tw_video/1604994509552721922/pu/vid/1280x720/owQujGngV7kyDb3O.mp4?tag=12")</f>
        <v>https://video.twimg.com/ext_tw_video/1604994509552721922/pu/vid/1280x720/owQujGngV7kyDb3O.mp4?tag=12</v>
      </c>
      <c r="L12">
        <v>0</v>
      </c>
      <c r="M12">
        <v>0</v>
      </c>
      <c r="N12">
        <v>1</v>
      </c>
      <c r="O12">
        <v>0</v>
      </c>
    </row>
    <row r="13" spans="1:15" x14ac:dyDescent="0.2">
      <c r="A13" s="1" t="str">
        <f>HYPERLINK("http://www.twitter.com/banuakdenizli/status/1605425346731511808", "1605425346731511808")</f>
        <v>1605425346731511808</v>
      </c>
      <c r="B13" t="s">
        <v>15</v>
      </c>
      <c r="C13" s="2">
        <v>44916.201435185183</v>
      </c>
      <c r="D13">
        <v>0</v>
      </c>
      <c r="E13">
        <v>5</v>
      </c>
      <c r="F13" t="s">
        <v>16</v>
      </c>
      <c r="G13" t="s">
        <v>38</v>
      </c>
      <c r="H13" t="str">
        <f>HYPERLINK("http://pbs.twimg.com/media/FkcA2X-WAAYlWsZ.jpg", "http://pbs.twimg.com/media/FkcA2X-WAAYlWsZ.jpg")</f>
        <v>http://pbs.twimg.com/media/FkcA2X-WAAYlWsZ.jpg</v>
      </c>
      <c r="L13">
        <v>0.50800000000000001</v>
      </c>
      <c r="M13">
        <v>0</v>
      </c>
      <c r="N13">
        <v>0.90400000000000003</v>
      </c>
      <c r="O13">
        <v>9.6000000000000002E-2</v>
      </c>
    </row>
    <row r="14" spans="1:15" x14ac:dyDescent="0.2">
      <c r="A14" s="1" t="str">
        <f>HYPERLINK("http://www.twitter.com/banuakdenizli/status/1605272554079395856", "1605272554079395856")</f>
        <v>1605272554079395856</v>
      </c>
      <c r="B14" t="s">
        <v>15</v>
      </c>
      <c r="C14" s="2">
        <v>44915.779814814807</v>
      </c>
      <c r="D14">
        <v>0</v>
      </c>
      <c r="E14">
        <v>5</v>
      </c>
      <c r="F14" t="s">
        <v>39</v>
      </c>
      <c r="G14" t="s">
        <v>40</v>
      </c>
      <c r="L14">
        <v>-0.59830000000000005</v>
      </c>
      <c r="M14">
        <v>0.1</v>
      </c>
      <c r="N14">
        <v>0.9</v>
      </c>
      <c r="O14">
        <v>0</v>
      </c>
    </row>
    <row r="15" spans="1:15" x14ac:dyDescent="0.2">
      <c r="A15" s="1" t="str">
        <f>HYPERLINK("http://www.twitter.com/banuakdenizli/status/1605160610677018626", "1605160610677018626")</f>
        <v>1605160610677018626</v>
      </c>
      <c r="B15" t="s">
        <v>15</v>
      </c>
      <c r="C15" s="2">
        <v>44915.470902777779</v>
      </c>
      <c r="D15">
        <v>0</v>
      </c>
      <c r="E15">
        <v>4</v>
      </c>
      <c r="F15" t="s">
        <v>16</v>
      </c>
      <c r="G15" t="s">
        <v>41</v>
      </c>
      <c r="H15" t="str">
        <f>HYPERLINK("http://pbs.twimg.com/media/Fkas0h8XgAEriwV.jpg", "http://pbs.twimg.com/media/Fkas0h8XgAEriwV.jpg")</f>
        <v>http://pbs.twimg.com/media/Fkas0h8XgAEriwV.jpg</v>
      </c>
      <c r="I15" t="str">
        <f>HYPERLINK("http://pbs.twimg.com/media/Fkas0kUWAAEwWNy.jpg", "http://pbs.twimg.com/media/Fkas0kUWAAEwWNy.jpg")</f>
        <v>http://pbs.twimg.com/media/Fkas0kUWAAEwWNy.jpg</v>
      </c>
      <c r="L15">
        <v>0</v>
      </c>
      <c r="M15">
        <v>0</v>
      </c>
      <c r="N15">
        <v>1</v>
      </c>
      <c r="O15">
        <v>0</v>
      </c>
    </row>
    <row r="16" spans="1:15" x14ac:dyDescent="0.2">
      <c r="A16" s="1" t="str">
        <f>HYPERLINK("http://www.twitter.com/banuakdenizli/status/1604858711394365440", "1604858711394365440")</f>
        <v>1604858711394365440</v>
      </c>
      <c r="B16" t="s">
        <v>15</v>
      </c>
      <c r="C16" s="2">
        <v>44914.637824074067</v>
      </c>
      <c r="D16">
        <v>0</v>
      </c>
      <c r="E16">
        <v>42</v>
      </c>
      <c r="F16" t="s">
        <v>42</v>
      </c>
      <c r="G16" t="s">
        <v>43</v>
      </c>
      <c r="H16" t="str">
        <f>HYPERLINK("http://pbs.twimg.com/media/FkSc-j8WAAIx7og.jpg", "http://pbs.twimg.com/media/FkSc-j8WAAIx7og.jpg")</f>
        <v>http://pbs.twimg.com/media/FkSc-j8WAAIx7og.jpg</v>
      </c>
      <c r="L16">
        <v>0.89959999999999996</v>
      </c>
      <c r="M16">
        <v>0</v>
      </c>
      <c r="N16">
        <v>0.75</v>
      </c>
      <c r="O16">
        <v>0.25</v>
      </c>
    </row>
    <row r="17" spans="1:15" x14ac:dyDescent="0.2">
      <c r="A17" s="1" t="str">
        <f>HYPERLINK("http://www.twitter.com/banuakdenizli/status/1604858477771657218", "1604858477771657218")</f>
        <v>1604858477771657218</v>
      </c>
      <c r="B17" t="s">
        <v>15</v>
      </c>
      <c r="C17" s="2">
        <v>44914.637175925927</v>
      </c>
      <c r="D17">
        <v>0</v>
      </c>
      <c r="E17">
        <v>40</v>
      </c>
      <c r="F17" t="s">
        <v>17</v>
      </c>
      <c r="G17" t="s">
        <v>44</v>
      </c>
      <c r="H17" t="str">
        <f>HYPERLINK("http://pbs.twimg.com/media/FkWRsnKXgAAwBOa.jpg", "http://pbs.twimg.com/media/FkWRsnKXgAAwBOa.jpg")</f>
        <v>http://pbs.twimg.com/media/FkWRsnKXgAAwBOa.jpg</v>
      </c>
      <c r="L17">
        <v>0</v>
      </c>
      <c r="M17">
        <v>0</v>
      </c>
      <c r="N17">
        <v>1</v>
      </c>
      <c r="O17">
        <v>0</v>
      </c>
    </row>
    <row r="18" spans="1:15" x14ac:dyDescent="0.2">
      <c r="A18" s="1" t="str">
        <f>HYPERLINK("http://www.twitter.com/banuakdenizli/status/1604785108283756544", "1604785108283756544")</f>
        <v>1604785108283756544</v>
      </c>
      <c r="B18" t="s">
        <v>15</v>
      </c>
      <c r="C18" s="2">
        <v>44914.434710648151</v>
      </c>
      <c r="D18">
        <v>0</v>
      </c>
      <c r="E18">
        <v>17</v>
      </c>
      <c r="F18" t="s">
        <v>17</v>
      </c>
      <c r="G18" t="s">
        <v>45</v>
      </c>
      <c r="H18" t="str">
        <f>HYPERLINK("http://pbs.twimg.com/media/FkKFoWxWAAEr_az.jpg", "http://pbs.twimg.com/media/FkKFoWxWAAEr_az.jpg")</f>
        <v>http://pbs.twimg.com/media/FkKFoWxWAAEr_az.jpg</v>
      </c>
      <c r="L18">
        <v>0</v>
      </c>
      <c r="M18">
        <v>0</v>
      </c>
      <c r="N18">
        <v>1</v>
      </c>
      <c r="O18">
        <v>0</v>
      </c>
    </row>
    <row r="19" spans="1:15" x14ac:dyDescent="0.2">
      <c r="A19" s="1" t="str">
        <f>HYPERLINK("http://www.twitter.com/banuakdenizli/status/1604398718551314435", "1604398718551314435")</f>
        <v>1604398718551314435</v>
      </c>
      <c r="B19" t="s">
        <v>15</v>
      </c>
      <c r="C19" s="2">
        <v>44913.368483796286</v>
      </c>
      <c r="D19">
        <v>9</v>
      </c>
      <c r="E19">
        <v>3</v>
      </c>
      <c r="G19" t="s">
        <v>46</v>
      </c>
      <c r="H19" t="str">
        <f>HYPERLINK("http://pbs.twimg.com/media/FkP4IL7XwAAF8mG.jpg", "http://pbs.twimg.com/media/FkP4IL7XwAAF8mG.jpg")</f>
        <v>http://pbs.twimg.com/media/FkP4IL7XwAAF8mG.jpg</v>
      </c>
      <c r="L19">
        <v>0</v>
      </c>
      <c r="M19">
        <v>0</v>
      </c>
      <c r="N19">
        <v>1</v>
      </c>
      <c r="O19">
        <v>0</v>
      </c>
    </row>
    <row r="20" spans="1:15" x14ac:dyDescent="0.2">
      <c r="A20" s="1" t="str">
        <f>HYPERLINK("http://www.twitter.com/banuakdenizli/status/1603765428349706243", "1603765428349706243")</f>
        <v>1603765428349706243</v>
      </c>
      <c r="B20" t="s">
        <v>15</v>
      </c>
      <c r="C20" s="2">
        <v>44911.620937500003</v>
      </c>
      <c r="D20">
        <v>0</v>
      </c>
      <c r="E20">
        <v>3</v>
      </c>
      <c r="F20" t="s">
        <v>16</v>
      </c>
      <c r="G20" t="s">
        <v>47</v>
      </c>
      <c r="H20" t="str">
        <f>HYPERLINK("http://pbs.twimg.com/media/FkG3fPSXwAAlSUH.jpg", "http://pbs.twimg.com/media/FkG3fPSXwAAlSUH.jpg")</f>
        <v>http://pbs.twimg.com/media/FkG3fPSXwAAlSUH.jpg</v>
      </c>
      <c r="L20">
        <v>0</v>
      </c>
      <c r="M20">
        <v>0</v>
      </c>
      <c r="N20">
        <v>1</v>
      </c>
      <c r="O20">
        <v>0</v>
      </c>
    </row>
    <row r="21" spans="1:15" x14ac:dyDescent="0.2">
      <c r="A21" s="1" t="str">
        <f>HYPERLINK("http://www.twitter.com/banuakdenizli/status/1603428796950003712", "1603428796950003712")</f>
        <v>1603428796950003712</v>
      </c>
      <c r="B21" t="s">
        <v>15</v>
      </c>
      <c r="C21" s="2">
        <v>44910.692013888889</v>
      </c>
      <c r="D21">
        <v>52</v>
      </c>
      <c r="E21">
        <v>13</v>
      </c>
      <c r="G21" t="s">
        <v>48</v>
      </c>
      <c r="H21" t="str">
        <f>HYPERLINK("http://pbs.twimg.com/media/FkCF-k-X0AQwT6g.jpg", "http://pbs.twimg.com/media/FkCF-k-X0AQwT6g.jpg")</f>
        <v>http://pbs.twimg.com/media/FkCF-k-X0AQwT6g.jpg</v>
      </c>
      <c r="I21" t="str">
        <f>HYPERLINK("http://pbs.twimg.com/media/FkCF-k7XwAEmQj0.jpg", "http://pbs.twimg.com/media/FkCF-k7XwAEmQj0.jpg")</f>
        <v>http://pbs.twimg.com/media/FkCF-k7XwAEmQj0.jpg</v>
      </c>
      <c r="L21">
        <v>0</v>
      </c>
      <c r="M21">
        <v>0</v>
      </c>
      <c r="N21">
        <v>1</v>
      </c>
      <c r="O21">
        <v>0</v>
      </c>
    </row>
    <row r="22" spans="1:15" x14ac:dyDescent="0.2">
      <c r="A22" s="1" t="str">
        <f>HYPERLINK("http://www.twitter.com/banuakdenizli/status/1603275955769942017", "1603275955769942017")</f>
        <v>1603275955769942017</v>
      </c>
      <c r="B22" t="s">
        <v>15</v>
      </c>
      <c r="C22" s="2">
        <v>44910.270243055558</v>
      </c>
      <c r="D22">
        <v>4</v>
      </c>
      <c r="E22">
        <v>1</v>
      </c>
      <c r="G22" t="s">
        <v>49</v>
      </c>
      <c r="H22" t="str">
        <f>HYPERLINK("http://pbs.twimg.com/media/Fj_6-vXWYAYlq39.jpg", "http://pbs.twimg.com/media/Fj_6-vXWYAYlq39.jpg")</f>
        <v>http://pbs.twimg.com/media/Fj_6-vXWYAYlq39.jpg</v>
      </c>
      <c r="L22">
        <v>0</v>
      </c>
      <c r="M22">
        <v>0</v>
      </c>
      <c r="N22">
        <v>1</v>
      </c>
      <c r="O22">
        <v>0</v>
      </c>
    </row>
    <row r="23" spans="1:15" x14ac:dyDescent="0.2">
      <c r="A23" s="1" t="str">
        <f>HYPERLINK("http://www.twitter.com/banuakdenizli/status/1603103035567529986", "1603103035567529986")</f>
        <v>1603103035567529986</v>
      </c>
      <c r="B23" t="s">
        <v>15</v>
      </c>
      <c r="C23" s="2">
        <v>44909.793078703697</v>
      </c>
      <c r="D23">
        <v>0</v>
      </c>
      <c r="E23">
        <v>4</v>
      </c>
      <c r="F23" t="s">
        <v>18</v>
      </c>
      <c r="G23" t="s">
        <v>50</v>
      </c>
      <c r="H23" t="str">
        <f>HYPERLINK("http://pbs.twimg.com/media/Fj9dIQBWIAcalpn.jpg", "http://pbs.twimg.com/media/Fj9dIQBWIAcalpn.jpg")</f>
        <v>http://pbs.twimg.com/media/Fj9dIQBWIAcalpn.jpg</v>
      </c>
      <c r="L23">
        <v>0</v>
      </c>
      <c r="M23">
        <v>0</v>
      </c>
      <c r="N23">
        <v>1</v>
      </c>
      <c r="O23">
        <v>0</v>
      </c>
    </row>
    <row r="24" spans="1:15" x14ac:dyDescent="0.2">
      <c r="A24" s="1" t="str">
        <f>HYPERLINK("http://www.twitter.com/banuakdenizli/status/1603013414724534273", "1603013414724534273")</f>
        <v>1603013414724534273</v>
      </c>
      <c r="B24" t="s">
        <v>15</v>
      </c>
      <c r="C24" s="2">
        <v>44909.545775462961</v>
      </c>
      <c r="D24">
        <v>0</v>
      </c>
      <c r="E24">
        <v>9</v>
      </c>
      <c r="F24" t="s">
        <v>51</v>
      </c>
      <c r="G24" t="s">
        <v>52</v>
      </c>
      <c r="H24" t="str">
        <f>HYPERLINK("http://pbs.twimg.com/media/Fj8KeZcXwAMlpbQ.jpg", "http://pbs.twimg.com/media/Fj8KeZcXwAMlpbQ.jpg")</f>
        <v>http://pbs.twimg.com/media/Fj8KeZcXwAMlpbQ.jpg</v>
      </c>
      <c r="I24" t="str">
        <f>HYPERLINK("http://pbs.twimg.com/media/Fj8JOZIX0AMGFKL.jpg", "http://pbs.twimg.com/media/Fj8JOZIX0AMGFKL.jpg")</f>
        <v>http://pbs.twimg.com/media/Fj8JOZIX0AMGFKL.jpg</v>
      </c>
      <c r="J24" t="str">
        <f>HYPERLINK("http://pbs.twimg.com/media/Fj8JS7AWQAMU1U_.jpg", "http://pbs.twimg.com/media/Fj8JS7AWQAMU1U_.jpg")</f>
        <v>http://pbs.twimg.com/media/Fj8JS7AWQAMU1U_.jpg</v>
      </c>
      <c r="L24">
        <v>0</v>
      </c>
      <c r="M24">
        <v>0</v>
      </c>
      <c r="N24">
        <v>1</v>
      </c>
      <c r="O24">
        <v>0</v>
      </c>
    </row>
    <row r="25" spans="1:15" x14ac:dyDescent="0.2">
      <c r="A25" s="1" t="str">
        <f>HYPERLINK("http://www.twitter.com/banuakdenizli/status/1603007190041870337", "1603007190041870337")</f>
        <v>1603007190041870337</v>
      </c>
      <c r="B25" t="s">
        <v>15</v>
      </c>
      <c r="C25" s="2">
        <v>44909.528599537043</v>
      </c>
      <c r="D25">
        <v>0</v>
      </c>
      <c r="E25">
        <v>13</v>
      </c>
      <c r="F25" t="s">
        <v>18</v>
      </c>
      <c r="G25" t="s">
        <v>53</v>
      </c>
      <c r="H25" t="str">
        <f>HYPERLINK("https://video.twimg.com/ext_tw_video/1603006369757626368/pu/vid/1280x720/HDD8Gb0woTTb50uT.mp4?tag=12", "https://video.twimg.com/ext_tw_video/1603006369757626368/pu/vid/1280x720/HDD8Gb0woTTb50uT.mp4?tag=12")</f>
        <v>https://video.twimg.com/ext_tw_video/1603006369757626368/pu/vid/1280x720/HDD8Gb0woTTb50uT.mp4?tag=12</v>
      </c>
      <c r="L25">
        <v>0</v>
      </c>
      <c r="M25">
        <v>0</v>
      </c>
      <c r="N25">
        <v>1</v>
      </c>
      <c r="O25">
        <v>0</v>
      </c>
    </row>
    <row r="26" spans="1:15" x14ac:dyDescent="0.2">
      <c r="A26" s="1" t="str">
        <f>HYPERLINK("http://www.twitter.com/banuakdenizli/status/1603003270049730560", "1603003270049730560")</f>
        <v>1603003270049730560</v>
      </c>
      <c r="B26" t="s">
        <v>15</v>
      </c>
      <c r="C26" s="2">
        <v>44909.517777777779</v>
      </c>
      <c r="D26">
        <v>0</v>
      </c>
      <c r="E26">
        <v>10</v>
      </c>
      <c r="F26" t="s">
        <v>24</v>
      </c>
      <c r="G26" t="s">
        <v>54</v>
      </c>
      <c r="H26" t="str">
        <f>HYPERLINK("http://pbs.twimg.com/media/Fj8CzomVUAA7bpb.jpg", "http://pbs.twimg.com/media/Fj8CzomVUAA7bpb.jpg")</f>
        <v>http://pbs.twimg.com/media/Fj8CzomVUAA7bpb.jpg</v>
      </c>
      <c r="L26">
        <v>0</v>
      </c>
      <c r="M26">
        <v>0</v>
      </c>
      <c r="N26">
        <v>1</v>
      </c>
      <c r="O26">
        <v>0</v>
      </c>
    </row>
    <row r="27" spans="1:15" x14ac:dyDescent="0.2">
      <c r="A27" s="1" t="str">
        <f>HYPERLINK("http://www.twitter.com/banuakdenizli/status/1602952878292967426", "1602952878292967426")</f>
        <v>1602952878292967426</v>
      </c>
      <c r="B27" t="s">
        <v>15</v>
      </c>
      <c r="C27" s="2">
        <v>44909.37872685185</v>
      </c>
      <c r="D27">
        <v>3</v>
      </c>
      <c r="E27">
        <v>0</v>
      </c>
      <c r="G27" t="s">
        <v>55</v>
      </c>
      <c r="H27" t="str">
        <f>HYPERLINK("http://pbs.twimg.com/media/Fj7VJKMWIAEhpQ0.jpg", "http://pbs.twimg.com/media/Fj7VJKMWIAEhpQ0.jpg")</f>
        <v>http://pbs.twimg.com/media/Fj7VJKMWIAEhpQ0.jpg</v>
      </c>
      <c r="L27">
        <v>0</v>
      </c>
      <c r="M27">
        <v>0</v>
      </c>
      <c r="N27">
        <v>1</v>
      </c>
      <c r="O27">
        <v>0</v>
      </c>
    </row>
    <row r="28" spans="1:15" x14ac:dyDescent="0.2">
      <c r="A28" s="1" t="str">
        <f>HYPERLINK("http://www.twitter.com/banuakdenizli/status/1602951428787634176", "1602951428787634176")</f>
        <v>1602951428787634176</v>
      </c>
      <c r="B28" t="s">
        <v>15</v>
      </c>
      <c r="C28" s="2">
        <v>44909.374722222223</v>
      </c>
      <c r="D28">
        <v>0</v>
      </c>
      <c r="E28">
        <v>10</v>
      </c>
      <c r="F28" t="s">
        <v>18</v>
      </c>
      <c r="G28" t="s">
        <v>56</v>
      </c>
      <c r="H28" t="str">
        <f>HYPERLINK("https://video.twimg.com/ext_tw_video/1602690736914370560/pu/vid/640x352/eI4xmbZ4c1_dswuB.mp4?tag=12", "https://video.twimg.com/ext_tw_video/1602690736914370560/pu/vid/640x352/eI4xmbZ4c1_dswuB.mp4?tag=12")</f>
        <v>https://video.twimg.com/ext_tw_video/1602690736914370560/pu/vid/640x352/eI4xmbZ4c1_dswuB.mp4?tag=12</v>
      </c>
      <c r="L28">
        <v>0</v>
      </c>
      <c r="M28">
        <v>0</v>
      </c>
      <c r="N28">
        <v>1</v>
      </c>
      <c r="O28">
        <v>0</v>
      </c>
    </row>
    <row r="29" spans="1:15" x14ac:dyDescent="0.2">
      <c r="A29" s="1" t="str">
        <f>HYPERLINK("http://www.twitter.com/banuakdenizli/status/1602663480800182272", "1602663480800182272")</f>
        <v>1602663480800182272</v>
      </c>
      <c r="B29" t="s">
        <v>15</v>
      </c>
      <c r="C29" s="2">
        <v>44908.580138888887</v>
      </c>
      <c r="D29">
        <v>0</v>
      </c>
      <c r="E29">
        <v>6</v>
      </c>
      <c r="F29" t="s">
        <v>51</v>
      </c>
      <c r="G29" t="s">
        <v>57</v>
      </c>
      <c r="H29" t="str">
        <f>HYPERLINK("http://pbs.twimg.com/media/Fj3NZS3XwAIQOp9.jpg", "http://pbs.twimg.com/media/Fj3NZS3XwAIQOp9.jpg")</f>
        <v>http://pbs.twimg.com/media/Fj3NZS3XwAIQOp9.jpg</v>
      </c>
      <c r="I29" t="str">
        <f>HYPERLINK("http://pbs.twimg.com/media/Fj3NWOAWQAcoFYa.jpg", "http://pbs.twimg.com/media/Fj3NWOAWQAcoFYa.jpg")</f>
        <v>http://pbs.twimg.com/media/Fj3NWOAWQAcoFYa.jpg</v>
      </c>
      <c r="J29" t="str">
        <f>HYPERLINK("http://pbs.twimg.com/media/Fj3NXBEXkAUimXw.jpg", "http://pbs.twimg.com/media/Fj3NXBEXkAUimXw.jpg")</f>
        <v>http://pbs.twimg.com/media/Fj3NXBEXkAUimXw.jpg</v>
      </c>
      <c r="L29">
        <v>0</v>
      </c>
      <c r="M29">
        <v>0</v>
      </c>
      <c r="N29">
        <v>1</v>
      </c>
      <c r="O29">
        <v>0</v>
      </c>
    </row>
    <row r="30" spans="1:15" x14ac:dyDescent="0.2">
      <c r="A30" s="1" t="str">
        <f>HYPERLINK("http://www.twitter.com/banuakdenizli/status/1602613595132624902", "1602613595132624902")</f>
        <v>1602613595132624902</v>
      </c>
      <c r="B30" t="s">
        <v>15</v>
      </c>
      <c r="C30" s="2">
        <v>44908.442476851851</v>
      </c>
      <c r="D30">
        <v>0</v>
      </c>
      <c r="E30">
        <v>15</v>
      </c>
      <c r="F30" t="s">
        <v>51</v>
      </c>
      <c r="G30" t="s">
        <v>58</v>
      </c>
      <c r="H30" t="str">
        <f>HYPERLINK("http://pbs.twimg.com/media/Fj2XrQ5X0AA8_qE.jpg", "http://pbs.twimg.com/media/Fj2XrQ5X0AA8_qE.jpg")</f>
        <v>http://pbs.twimg.com/media/Fj2XrQ5X0AA8_qE.jpg</v>
      </c>
      <c r="I30" t="str">
        <f>HYPERLINK("http://pbs.twimg.com/media/Fj2Xt3IXwAQxrOX.jpg", "http://pbs.twimg.com/media/Fj2Xt3IXwAQxrOX.jpg")</f>
        <v>http://pbs.twimg.com/media/Fj2Xt3IXwAQxrOX.jpg</v>
      </c>
      <c r="J30" t="str">
        <f>HYPERLINK("http://pbs.twimg.com/media/Fj2c2DIXgAE7_Tz.jpg", "http://pbs.twimg.com/media/Fj2c2DIXgAE7_Tz.jpg")</f>
        <v>http://pbs.twimg.com/media/Fj2c2DIXgAE7_Tz.jpg</v>
      </c>
      <c r="K30" t="str">
        <f>HYPERLINK("http://pbs.twimg.com/media/Fj2c0i8WIAIFaRz.jpg", "http://pbs.twimg.com/media/Fj2c0i8WIAIFaRz.jpg")</f>
        <v>http://pbs.twimg.com/media/Fj2c0i8WIAIFaRz.jpg</v>
      </c>
      <c r="L30">
        <v>0</v>
      </c>
      <c r="M30">
        <v>0</v>
      </c>
      <c r="N30">
        <v>1</v>
      </c>
      <c r="O30">
        <v>0</v>
      </c>
    </row>
    <row r="31" spans="1:15" x14ac:dyDescent="0.2">
      <c r="A31" s="1" t="str">
        <f>HYPERLINK("http://www.twitter.com/banuakdenizli/status/1602296668581502981", "1602296668581502981")</f>
        <v>1602296668581502981</v>
      </c>
      <c r="B31" t="s">
        <v>15</v>
      </c>
      <c r="C31" s="2">
        <v>44907.567928240736</v>
      </c>
      <c r="D31">
        <v>0</v>
      </c>
      <c r="E31">
        <v>11</v>
      </c>
      <c r="F31" t="s">
        <v>51</v>
      </c>
      <c r="G31" t="s">
        <v>59</v>
      </c>
      <c r="H31" t="str">
        <f>HYPERLINK("http://pbs.twimg.com/media/FjxO_7fWIAAXtwx.jpg", "http://pbs.twimg.com/media/FjxO_7fWIAAXtwx.jpg")</f>
        <v>http://pbs.twimg.com/media/FjxO_7fWIAAXtwx.jpg</v>
      </c>
      <c r="I31" t="str">
        <f>HYPERLINK("http://pbs.twimg.com/media/FjxPDkfWYAAYKfs.jpg", "http://pbs.twimg.com/media/FjxPDkfWYAAYKfs.jpg")</f>
        <v>http://pbs.twimg.com/media/FjxPDkfWYAAYKfs.jpg</v>
      </c>
      <c r="L31">
        <v>0</v>
      </c>
      <c r="M31">
        <v>0</v>
      </c>
      <c r="N31">
        <v>1</v>
      </c>
      <c r="O31">
        <v>0</v>
      </c>
    </row>
    <row r="32" spans="1:15" x14ac:dyDescent="0.2">
      <c r="A32" s="1" t="str">
        <f>HYPERLINK("http://www.twitter.com/banuakdenizli/status/1602271212587331585", "1602271212587331585")</f>
        <v>1602271212587331585</v>
      </c>
      <c r="B32" t="s">
        <v>15</v>
      </c>
      <c r="C32" s="2">
        <v>44907.497685185182</v>
      </c>
      <c r="D32">
        <v>9</v>
      </c>
      <c r="E32">
        <v>2</v>
      </c>
      <c r="G32" t="s">
        <v>60</v>
      </c>
      <c r="H32" t="str">
        <f>HYPERLINK("http://pbs.twimg.com/media/FjxpK_AWYAAqeE_.jpg", "http://pbs.twimg.com/media/FjxpK_AWYAAqeE_.jpg")</f>
        <v>http://pbs.twimg.com/media/FjxpK_AWYAAqeE_.jpg</v>
      </c>
      <c r="I32" t="str">
        <f>HYPERLINK("http://pbs.twimg.com/media/FjxpK_BXoAYBftx.jpg", "http://pbs.twimg.com/media/FjxpK_BXoAYBftx.jpg")</f>
        <v>http://pbs.twimg.com/media/FjxpK_BXoAYBftx.jpg</v>
      </c>
      <c r="J32" t="str">
        <f>HYPERLINK("http://pbs.twimg.com/media/FjxpK_DWAAAIvYX.jpg", "http://pbs.twimg.com/media/FjxpK_DWAAAIvYX.jpg")</f>
        <v>http://pbs.twimg.com/media/FjxpK_DWAAAIvYX.jpg</v>
      </c>
      <c r="K32" t="str">
        <f>HYPERLINK("http://pbs.twimg.com/media/FjxpK-_XoAAR5t6.jpg", "http://pbs.twimg.com/media/FjxpK-_XoAAR5t6.jpg")</f>
        <v>http://pbs.twimg.com/media/FjxpK-_XoAAR5t6.jpg</v>
      </c>
      <c r="L32">
        <v>0.77829999999999999</v>
      </c>
      <c r="M32">
        <v>0</v>
      </c>
      <c r="N32">
        <v>0.84799999999999998</v>
      </c>
      <c r="O32">
        <v>0.152</v>
      </c>
    </row>
    <row r="33" spans="1:15" x14ac:dyDescent="0.2">
      <c r="A33" s="1" t="str">
        <f>HYPERLINK("http://www.twitter.com/banuakdenizli/status/1602232131983667202", "1602232131983667202")</f>
        <v>1602232131983667202</v>
      </c>
      <c r="B33" t="s">
        <v>15</v>
      </c>
      <c r="C33" s="2">
        <v>44907.389837962961</v>
      </c>
      <c r="D33">
        <v>0</v>
      </c>
      <c r="E33">
        <v>44</v>
      </c>
      <c r="F33" t="s">
        <v>17</v>
      </c>
      <c r="G33" t="s">
        <v>61</v>
      </c>
      <c r="H33" t="str">
        <f>HYPERLINK("https://video.twimg.com/amplify_video/1602044137502814208/vid/1920x1080/2KtfjVqhC-Ct5XUG.mp4?tag=16", "https://video.twimg.com/amplify_video/1602044137502814208/vid/1920x1080/2KtfjVqhC-Ct5XUG.mp4?tag=16")</f>
        <v>https://video.twimg.com/amplify_video/1602044137502814208/vid/1920x1080/2KtfjVqhC-Ct5XUG.mp4?tag=16</v>
      </c>
      <c r="L33">
        <v>0.47670000000000001</v>
      </c>
      <c r="M33">
        <v>0</v>
      </c>
      <c r="N33">
        <v>0.91600000000000004</v>
      </c>
      <c r="O33">
        <v>8.4000000000000005E-2</v>
      </c>
    </row>
    <row r="34" spans="1:15" x14ac:dyDescent="0.2">
      <c r="A34" s="1" t="str">
        <f>HYPERLINK("http://www.twitter.com/banuakdenizli/status/1602219253410717697", "1602219253410717697")</f>
        <v>1602219253410717697</v>
      </c>
      <c r="B34" t="s">
        <v>15</v>
      </c>
      <c r="C34" s="2">
        <v>44907.354305555556</v>
      </c>
      <c r="D34">
        <v>0</v>
      </c>
      <c r="E34">
        <v>7</v>
      </c>
      <c r="F34" t="s">
        <v>16</v>
      </c>
      <c r="G34" t="s">
        <v>62</v>
      </c>
      <c r="H34" t="str">
        <f>HYPERLINK("http://pbs.twimg.com/media/Fjw5sCbWAAAYqlg.jpg", "http://pbs.twimg.com/media/Fjw5sCbWAAAYqlg.jpg")</f>
        <v>http://pbs.twimg.com/media/Fjw5sCbWAAAYqlg.jpg</v>
      </c>
      <c r="I34" t="str">
        <f>HYPERLINK("http://pbs.twimg.com/media/Fjw5sCZXEAAW8hm.jpg", "http://pbs.twimg.com/media/Fjw5sCZXEAAW8hm.jpg")</f>
        <v>http://pbs.twimg.com/media/Fjw5sCZXEAAW8hm.jpg</v>
      </c>
      <c r="L34">
        <v>0.4753</v>
      </c>
      <c r="M34">
        <v>0</v>
      </c>
      <c r="N34">
        <v>0.93100000000000005</v>
      </c>
      <c r="O34">
        <v>6.9000000000000006E-2</v>
      </c>
    </row>
    <row r="35" spans="1:15" x14ac:dyDescent="0.2">
      <c r="A35" s="1" t="str">
        <f>HYPERLINK("http://www.twitter.com/banuakdenizli/status/1601945216281464832", "1601945216281464832")</f>
        <v>1601945216281464832</v>
      </c>
      <c r="B35" t="s">
        <v>15</v>
      </c>
      <c r="C35" s="2">
        <v>44906.598101851851</v>
      </c>
      <c r="D35">
        <v>0</v>
      </c>
      <c r="E35">
        <v>11</v>
      </c>
      <c r="F35" t="s">
        <v>18</v>
      </c>
      <c r="G35" t="s">
        <v>63</v>
      </c>
      <c r="H35" t="str">
        <f>HYPERLINK("http://pbs.twimg.com/media/Fjs20HxX0AAaz4F.jpg", "http://pbs.twimg.com/media/Fjs20HxX0AAaz4F.jpg")</f>
        <v>http://pbs.twimg.com/media/Fjs20HxX0AAaz4F.jpg</v>
      </c>
      <c r="I35" t="str">
        <f>HYPERLINK("http://pbs.twimg.com/media/Fjs23DFXwAwE-Z-.jpg", "http://pbs.twimg.com/media/Fjs23DFXwAwE-Z-.jpg")</f>
        <v>http://pbs.twimg.com/media/Fjs23DFXwAwE-Z-.jpg</v>
      </c>
      <c r="J35" t="str">
        <f>HYPERLINK("http://pbs.twimg.com/media/Fjs1Y3VWQAMKb8o.jpg", "http://pbs.twimg.com/media/Fjs1Y3VWQAMKb8o.jpg")</f>
        <v>http://pbs.twimg.com/media/Fjs1Y3VWQAMKb8o.jpg</v>
      </c>
      <c r="L35">
        <v>0</v>
      </c>
      <c r="M35">
        <v>0</v>
      </c>
      <c r="N35">
        <v>1</v>
      </c>
      <c r="O35">
        <v>0</v>
      </c>
    </row>
    <row r="36" spans="1:15" x14ac:dyDescent="0.2">
      <c r="A36" s="1" t="str">
        <f>HYPERLINK("http://www.twitter.com/banuakdenizli/status/1601944942078746624", "1601944942078746624")</f>
        <v>1601944942078746624</v>
      </c>
      <c r="B36" t="s">
        <v>15</v>
      </c>
      <c r="C36" s="2">
        <v>44906.597349537027</v>
      </c>
      <c r="D36">
        <v>0</v>
      </c>
      <c r="E36">
        <v>16</v>
      </c>
      <c r="F36" t="s">
        <v>51</v>
      </c>
      <c r="G36" t="s">
        <v>64</v>
      </c>
      <c r="H36" t="str">
        <f>HYPERLINK("http://pbs.twimg.com/media/FjsVfLSXoAAeCwd.jpg", "http://pbs.twimg.com/media/FjsVfLSXoAAeCwd.jpg")</f>
        <v>http://pbs.twimg.com/media/FjsVfLSXoAAeCwd.jpg</v>
      </c>
      <c r="I36" t="str">
        <f>HYPERLINK("http://pbs.twimg.com/media/FjsrFypWYAEr8KX.jpg", "http://pbs.twimg.com/media/FjsrFypWYAEr8KX.jpg")</f>
        <v>http://pbs.twimg.com/media/FjsrFypWYAEr8KX.jpg</v>
      </c>
      <c r="J36" t="str">
        <f>HYPERLINK("http://pbs.twimg.com/media/FjsVcuAWAAAL9sq.jpg", "http://pbs.twimg.com/media/FjsVcuAWAAAL9sq.jpg")</f>
        <v>http://pbs.twimg.com/media/FjsVcuAWAAAL9sq.jpg</v>
      </c>
      <c r="K36" t="str">
        <f>HYPERLINK("http://pbs.twimg.com/media/FjsVdiMXkAE3kz0.jpg", "http://pbs.twimg.com/media/FjsVdiMXkAE3kz0.jpg")</f>
        <v>http://pbs.twimg.com/media/FjsVdiMXkAE3kz0.jpg</v>
      </c>
      <c r="L36">
        <v>0</v>
      </c>
      <c r="M36">
        <v>0</v>
      </c>
      <c r="N36">
        <v>1</v>
      </c>
      <c r="O36">
        <v>0</v>
      </c>
    </row>
    <row r="37" spans="1:15" x14ac:dyDescent="0.2">
      <c r="A37" s="1" t="str">
        <f>HYPERLINK("http://www.twitter.com/banuakdenizli/status/1601864099121577986", "1601864099121577986")</f>
        <v>1601864099121577986</v>
      </c>
      <c r="B37" t="s">
        <v>15</v>
      </c>
      <c r="C37" s="2">
        <v>44906.37427083333</v>
      </c>
      <c r="D37">
        <v>0</v>
      </c>
      <c r="E37">
        <v>5</v>
      </c>
      <c r="F37" t="s">
        <v>16</v>
      </c>
      <c r="G37" t="s">
        <v>65</v>
      </c>
      <c r="L37">
        <v>0</v>
      </c>
      <c r="M37">
        <v>0</v>
      </c>
      <c r="N37">
        <v>1</v>
      </c>
      <c r="O37">
        <v>0</v>
      </c>
    </row>
    <row r="38" spans="1:15" x14ac:dyDescent="0.2">
      <c r="A38" s="1" t="str">
        <f>HYPERLINK("http://www.twitter.com/banuakdenizli/status/1601608454413881344", "1601608454413881344")</f>
        <v>1601608454413881344</v>
      </c>
      <c r="B38" t="s">
        <v>15</v>
      </c>
      <c r="C38" s="2">
        <v>44905.668819444443</v>
      </c>
      <c r="D38">
        <v>0</v>
      </c>
      <c r="E38">
        <v>8</v>
      </c>
      <c r="F38" t="s">
        <v>17</v>
      </c>
      <c r="G38" t="s">
        <v>66</v>
      </c>
      <c r="H38" t="str">
        <f>HYPERLINK("http://pbs.twimg.com/media/FjlwB2iVsAIJ7Tm.jpg", "http://pbs.twimg.com/media/FjlwB2iVsAIJ7Tm.jpg")</f>
        <v>http://pbs.twimg.com/media/FjlwB2iVsAIJ7Tm.jpg</v>
      </c>
      <c r="I38" t="str">
        <f>HYPERLINK("http://pbs.twimg.com/media/FjlwB2iVEAAmh-q.jpg", "http://pbs.twimg.com/media/FjlwB2iVEAAmh-q.jpg")</f>
        <v>http://pbs.twimg.com/media/FjlwB2iVEAAmh-q.jpg</v>
      </c>
      <c r="J38" t="str">
        <f>HYPERLINK("http://pbs.twimg.com/media/FjlwB2iUYAAiEuQ.jpg", "http://pbs.twimg.com/media/FjlwB2iUYAAiEuQ.jpg")</f>
        <v>http://pbs.twimg.com/media/FjlwB2iUYAAiEuQ.jpg</v>
      </c>
      <c r="L38">
        <v>0</v>
      </c>
      <c r="M38">
        <v>0</v>
      </c>
      <c r="N38">
        <v>1</v>
      </c>
      <c r="O38">
        <v>0</v>
      </c>
    </row>
    <row r="39" spans="1:15" x14ac:dyDescent="0.2">
      <c r="A39" s="1" t="str">
        <f>HYPERLINK("http://www.twitter.com/banuakdenizli/status/1601309021792632833", "1601309021792632833")</f>
        <v>1601309021792632833</v>
      </c>
      <c r="B39" t="s">
        <v>15</v>
      </c>
      <c r="C39" s="2">
        <v>44904.842546296299</v>
      </c>
      <c r="D39">
        <v>0</v>
      </c>
      <c r="E39">
        <v>9</v>
      </c>
      <c r="F39" t="s">
        <v>18</v>
      </c>
      <c r="G39" t="s">
        <v>67</v>
      </c>
      <c r="H39" t="str">
        <f>HYPERLINK("http://pbs.twimg.com/media/Fjj9HlPXEAMxX-G.jpg", "http://pbs.twimg.com/media/Fjj9HlPXEAMxX-G.jpg")</f>
        <v>http://pbs.twimg.com/media/Fjj9HlPXEAMxX-G.jpg</v>
      </c>
      <c r="L39">
        <v>0</v>
      </c>
      <c r="M39">
        <v>0</v>
      </c>
      <c r="N39">
        <v>1</v>
      </c>
      <c r="O39">
        <v>0</v>
      </c>
    </row>
    <row r="40" spans="1:15" x14ac:dyDescent="0.2">
      <c r="A40" s="1" t="str">
        <f>HYPERLINK("http://www.twitter.com/banuakdenizli/status/1600957603592511489", "1600957603592511489")</f>
        <v>1600957603592511489</v>
      </c>
      <c r="B40" t="s">
        <v>15</v>
      </c>
      <c r="C40" s="2">
        <v>44903.872812499998</v>
      </c>
      <c r="D40">
        <v>0</v>
      </c>
      <c r="E40">
        <v>49</v>
      </c>
      <c r="F40" t="s">
        <v>17</v>
      </c>
      <c r="G40" t="s">
        <v>68</v>
      </c>
      <c r="H40" t="str">
        <f>HYPERLINK("http://pbs.twimg.com/media/FjeiC-sXEBEzYEl.jpg", "http://pbs.twimg.com/media/FjeiC-sXEBEzYEl.jpg")</f>
        <v>http://pbs.twimg.com/media/FjeiC-sXEBEzYEl.jpg</v>
      </c>
      <c r="L40">
        <v>0</v>
      </c>
      <c r="M40">
        <v>0</v>
      </c>
      <c r="N40">
        <v>1</v>
      </c>
      <c r="O40">
        <v>0</v>
      </c>
    </row>
    <row r="41" spans="1:15" x14ac:dyDescent="0.2">
      <c r="A41" s="1" t="str">
        <f>HYPERLINK("http://www.twitter.com/banuakdenizli/status/1600904117961883648", "1600904117961883648")</f>
        <v>1600904117961883648</v>
      </c>
      <c r="B41" t="s">
        <v>15</v>
      </c>
      <c r="C41" s="2">
        <v>44903.725219907406</v>
      </c>
      <c r="D41">
        <v>0</v>
      </c>
      <c r="E41">
        <v>6</v>
      </c>
      <c r="F41" t="s">
        <v>16</v>
      </c>
      <c r="G41" t="s">
        <v>69</v>
      </c>
      <c r="H41" t="str">
        <f>HYPERLINK("http://pbs.twimg.com/media/Fjd-nliXwAE8FUv.jpg", "http://pbs.twimg.com/media/Fjd-nliXwAE8FUv.jpg")</f>
        <v>http://pbs.twimg.com/media/Fjd-nliXwAE8FUv.jpg</v>
      </c>
      <c r="I41" t="str">
        <f>HYPERLINK("http://pbs.twimg.com/media/Fjd-nlfWYAIM_Kn.jpg", "http://pbs.twimg.com/media/Fjd-nlfWYAIM_Kn.jpg")</f>
        <v>http://pbs.twimg.com/media/Fjd-nlfWYAIM_Kn.jpg</v>
      </c>
      <c r="L41">
        <v>0</v>
      </c>
      <c r="M41">
        <v>0</v>
      </c>
      <c r="N41">
        <v>1</v>
      </c>
      <c r="O41">
        <v>0</v>
      </c>
    </row>
    <row r="42" spans="1:15" x14ac:dyDescent="0.2">
      <c r="A42" s="1" t="str">
        <f>HYPERLINK("http://www.twitter.com/banuakdenizli/status/1600828662894714880", "1600828662894714880")</f>
        <v>1600828662894714880</v>
      </c>
      <c r="B42" t="s">
        <v>15</v>
      </c>
      <c r="C42" s="2">
        <v>44903.517002314817</v>
      </c>
      <c r="D42">
        <v>0</v>
      </c>
      <c r="E42">
        <v>9</v>
      </c>
      <c r="F42" t="s">
        <v>51</v>
      </c>
      <c r="G42" t="s">
        <v>70</v>
      </c>
      <c r="H42" t="str">
        <f>HYPERLINK("http://pbs.twimg.com/media/FjdAD3RXkAMpk1l.jpg", "http://pbs.twimg.com/media/FjdAD3RXkAMpk1l.jpg")</f>
        <v>http://pbs.twimg.com/media/FjdAD3RXkAMpk1l.jpg</v>
      </c>
      <c r="I42" t="str">
        <f>HYPERLINK("http://pbs.twimg.com/media/FjdAD3WXEAEPXCR.jpg", "http://pbs.twimg.com/media/FjdAD3WXEAEPXCR.jpg")</f>
        <v>http://pbs.twimg.com/media/FjdAD3WXEAEPXCR.jpg</v>
      </c>
      <c r="J42" t="str">
        <f>HYPERLINK("http://pbs.twimg.com/media/FjdAD3PWAAAXVIE.jpg", "http://pbs.twimg.com/media/FjdAD3PWAAAXVIE.jpg")</f>
        <v>http://pbs.twimg.com/media/FjdAD3PWAAAXVIE.jpg</v>
      </c>
      <c r="K42" t="str">
        <f>HYPERLINK("http://pbs.twimg.com/media/FjdAD3UWQAA4DFQ.jpg", "http://pbs.twimg.com/media/FjdAD3UWQAA4DFQ.jpg")</f>
        <v>http://pbs.twimg.com/media/FjdAD3UWQAA4DFQ.jpg</v>
      </c>
      <c r="L42">
        <v>0</v>
      </c>
      <c r="M42">
        <v>0</v>
      </c>
      <c r="N42">
        <v>1</v>
      </c>
      <c r="O42">
        <v>0</v>
      </c>
    </row>
    <row r="43" spans="1:15" x14ac:dyDescent="0.2">
      <c r="A43" s="1" t="str">
        <f>HYPERLINK("http://www.twitter.com/banuakdenizli/status/1600828475606433792", "1600828475606433792")</f>
        <v>1600828475606433792</v>
      </c>
      <c r="B43" t="s">
        <v>15</v>
      </c>
      <c r="C43" s="2">
        <v>44903.516493055547</v>
      </c>
      <c r="D43">
        <v>0</v>
      </c>
      <c r="E43">
        <v>16</v>
      </c>
      <c r="F43" t="s">
        <v>51</v>
      </c>
      <c r="G43" t="s">
        <v>71</v>
      </c>
      <c r="H43" t="str">
        <f>HYPERLINK("http://pbs.twimg.com/media/FjdI2n2XgAAwxN7.jpg", "http://pbs.twimg.com/media/FjdI2n2XgAAwxN7.jpg")</f>
        <v>http://pbs.twimg.com/media/FjdI2n2XgAAwxN7.jpg</v>
      </c>
      <c r="L43">
        <v>0</v>
      </c>
      <c r="M43">
        <v>0</v>
      </c>
      <c r="N43">
        <v>1</v>
      </c>
      <c r="O43">
        <v>0</v>
      </c>
    </row>
    <row r="44" spans="1:15" x14ac:dyDescent="0.2">
      <c r="A44" s="1" t="str">
        <f>HYPERLINK("http://www.twitter.com/banuakdenizli/status/1600585369099112454", "1600585369099112454")</f>
        <v>1600585369099112454</v>
      </c>
      <c r="B44" t="s">
        <v>15</v>
      </c>
      <c r="C44" s="2">
        <v>44902.845648148148</v>
      </c>
      <c r="D44">
        <v>0</v>
      </c>
      <c r="E44">
        <v>6</v>
      </c>
      <c r="F44" t="s">
        <v>16</v>
      </c>
      <c r="G44" t="s">
        <v>72</v>
      </c>
      <c r="H44" t="str">
        <f>HYPERLINK("http://pbs.twimg.com/media/FjZrxQWXkAA-Jtp.jpg", "http://pbs.twimg.com/media/FjZrxQWXkAA-Jtp.jpg")</f>
        <v>http://pbs.twimg.com/media/FjZrxQWXkAA-Jtp.jpg</v>
      </c>
      <c r="L44">
        <v>-0.29599999999999999</v>
      </c>
      <c r="M44">
        <v>5.6000000000000001E-2</v>
      </c>
      <c r="N44">
        <v>0.94399999999999995</v>
      </c>
      <c r="O44">
        <v>0</v>
      </c>
    </row>
    <row r="45" spans="1:15" x14ac:dyDescent="0.2">
      <c r="A45" s="1" t="str">
        <f>HYPERLINK("http://www.twitter.com/banuakdenizli/status/1600576932676001793", "1600576932676001793")</f>
        <v>1600576932676001793</v>
      </c>
      <c r="B45" t="s">
        <v>15</v>
      </c>
      <c r="C45" s="2">
        <v>44902.82236111111</v>
      </c>
      <c r="D45">
        <v>0</v>
      </c>
      <c r="E45">
        <v>7</v>
      </c>
      <c r="F45" t="s">
        <v>20</v>
      </c>
      <c r="G45" t="s">
        <v>73</v>
      </c>
      <c r="H45" t="str">
        <f>HYPERLINK("http://pbs.twimg.com/media/FjOrz0BXgAAP7MM.jpg", "http://pbs.twimg.com/media/FjOrz0BXgAAP7MM.jpg")</f>
        <v>http://pbs.twimg.com/media/FjOrz0BXgAAP7MM.jpg</v>
      </c>
      <c r="I45" t="str">
        <f>HYPERLINK("http://pbs.twimg.com/media/FjOr1LXXoAIA66s.jpg", "http://pbs.twimg.com/media/FjOr1LXXoAIA66s.jpg")</f>
        <v>http://pbs.twimg.com/media/FjOr1LXXoAIA66s.jpg</v>
      </c>
      <c r="L45">
        <v>0</v>
      </c>
      <c r="M45">
        <v>0</v>
      </c>
      <c r="N45">
        <v>1</v>
      </c>
      <c r="O45">
        <v>0</v>
      </c>
    </row>
    <row r="46" spans="1:15" x14ac:dyDescent="0.2">
      <c r="A46" s="1" t="str">
        <f>HYPERLINK("http://www.twitter.com/banuakdenizli/status/1600576901818589184", "1600576901818589184")</f>
        <v>1600576901818589184</v>
      </c>
      <c r="B46" t="s">
        <v>15</v>
      </c>
      <c r="C46" s="2">
        <v>44902.822280092587</v>
      </c>
      <c r="D46">
        <v>0</v>
      </c>
      <c r="E46">
        <v>16</v>
      </c>
      <c r="F46" t="s">
        <v>17</v>
      </c>
      <c r="G46" t="s">
        <v>74</v>
      </c>
      <c r="H46" t="str">
        <f>HYPERLINK("https://video.twimg.com/ext_tw_video/1600498295566123012/pu/vid/1280x720/b1B6rb1XMAF_acPf.mp4?tag=12", "https://video.twimg.com/ext_tw_video/1600498295566123012/pu/vid/1280x720/b1B6rb1XMAF_acPf.mp4?tag=12")</f>
        <v>https://video.twimg.com/ext_tw_video/1600498295566123012/pu/vid/1280x720/b1B6rb1XMAF_acPf.mp4?tag=12</v>
      </c>
      <c r="L46">
        <v>0</v>
      </c>
      <c r="M46">
        <v>0</v>
      </c>
      <c r="N46">
        <v>1</v>
      </c>
      <c r="O46">
        <v>0</v>
      </c>
    </row>
    <row r="47" spans="1:15" x14ac:dyDescent="0.2">
      <c r="A47" s="1" t="str">
        <f>HYPERLINK("http://www.twitter.com/banuakdenizli/status/1600532262973579264", "1600532262973579264")</f>
        <v>1600532262973579264</v>
      </c>
      <c r="B47" t="s">
        <v>15</v>
      </c>
      <c r="C47" s="2">
        <v>44902.699097222219</v>
      </c>
      <c r="D47">
        <v>0</v>
      </c>
      <c r="E47">
        <v>2</v>
      </c>
      <c r="F47" t="s">
        <v>16</v>
      </c>
      <c r="G47" t="s">
        <v>75</v>
      </c>
      <c r="H47" t="str">
        <f>HYPERLINK("http://pbs.twimg.com/media/FjY7VPbWAAI8oPT.jpg", "http://pbs.twimg.com/media/FjY7VPbWAAI8oPT.jpg")</f>
        <v>http://pbs.twimg.com/media/FjY7VPbWAAI8oPT.jpg</v>
      </c>
      <c r="I47" t="str">
        <f>HYPERLINK("http://pbs.twimg.com/media/FjY7VPdXoAgwfMR.jpg", "http://pbs.twimg.com/media/FjY7VPdXoAgwfMR.jpg")</f>
        <v>http://pbs.twimg.com/media/FjY7VPdXoAgwfMR.jpg</v>
      </c>
      <c r="J47" t="str">
        <f>HYPERLINK("http://pbs.twimg.com/media/FjY7VPdXoAQbvxN.jpg", "http://pbs.twimg.com/media/FjY7VPdXoAQbvxN.jpg")</f>
        <v>http://pbs.twimg.com/media/FjY7VPdXoAQbvxN.jpg</v>
      </c>
      <c r="K47" t="str">
        <f>HYPERLINK("http://pbs.twimg.com/media/FjY7VPmX0AA_W72.jpg", "http://pbs.twimg.com/media/FjY7VPmX0AA_W72.jpg")</f>
        <v>http://pbs.twimg.com/media/FjY7VPmX0AA_W72.jpg</v>
      </c>
      <c r="L47">
        <v>0</v>
      </c>
      <c r="M47">
        <v>0</v>
      </c>
      <c r="N47">
        <v>1</v>
      </c>
      <c r="O47">
        <v>0</v>
      </c>
    </row>
    <row r="48" spans="1:15" x14ac:dyDescent="0.2">
      <c r="A48" s="1" t="str">
        <f>HYPERLINK("http://www.twitter.com/banuakdenizli/status/1600521273037266948", "1600521273037266948")</f>
        <v>1600521273037266948</v>
      </c>
      <c r="B48" t="s">
        <v>15</v>
      </c>
      <c r="C48" s="2">
        <v>44902.668773148151</v>
      </c>
      <c r="D48">
        <v>7</v>
      </c>
      <c r="E48">
        <v>2</v>
      </c>
      <c r="G48" t="s">
        <v>76</v>
      </c>
      <c r="H48" t="str">
        <f>HYPERLINK("http://pbs.twimg.com/media/FjYxnMKWAAA0EUc.jpg", "http://pbs.twimg.com/media/FjYxnMKWAAA0EUc.jpg")</f>
        <v>http://pbs.twimg.com/media/FjYxnMKWAAA0EUc.jpg</v>
      </c>
      <c r="L48">
        <v>0</v>
      </c>
      <c r="M48">
        <v>0</v>
      </c>
      <c r="N48">
        <v>1</v>
      </c>
      <c r="O48">
        <v>0</v>
      </c>
    </row>
    <row r="49" spans="1:15" x14ac:dyDescent="0.2">
      <c r="A49" s="1" t="str">
        <f>HYPERLINK("http://www.twitter.com/banuakdenizli/status/1600431472581615616", "1600431472581615616")</f>
        <v>1600431472581615616</v>
      </c>
      <c r="B49" t="s">
        <v>15</v>
      </c>
      <c r="C49" s="2">
        <v>44902.420972222222</v>
      </c>
      <c r="D49">
        <v>0</v>
      </c>
      <c r="E49">
        <v>6</v>
      </c>
      <c r="F49" t="s">
        <v>16</v>
      </c>
      <c r="G49" t="s">
        <v>77</v>
      </c>
      <c r="H49" t="str">
        <f>HYPERLINK("http://pbs.twimg.com/media/FjXf4_uXoAEbx9E.jpg", "http://pbs.twimg.com/media/FjXf4_uXoAEbx9E.jpg")</f>
        <v>http://pbs.twimg.com/media/FjXf4_uXoAEbx9E.jpg</v>
      </c>
      <c r="L49">
        <v>0</v>
      </c>
      <c r="M49">
        <v>0</v>
      </c>
      <c r="N49">
        <v>1</v>
      </c>
      <c r="O49">
        <v>0</v>
      </c>
    </row>
    <row r="50" spans="1:15" x14ac:dyDescent="0.2">
      <c r="A50" s="1" t="str">
        <f>HYPERLINK("http://www.twitter.com/banuakdenizli/status/1600400543926476800", "1600400543926476800")</f>
        <v>1600400543926476800</v>
      </c>
      <c r="B50" t="s">
        <v>15</v>
      </c>
      <c r="C50" s="2">
        <v>44902.335625</v>
      </c>
      <c r="D50">
        <v>0</v>
      </c>
      <c r="E50">
        <v>57</v>
      </c>
      <c r="F50" t="s">
        <v>17</v>
      </c>
      <c r="G50" t="s">
        <v>78</v>
      </c>
      <c r="H50" t="str">
        <f>HYPERLINK("http://pbs.twimg.com/media/FjTMF6gXgAAVi1E.jpg", "http://pbs.twimg.com/media/FjTMF6gXgAAVi1E.jpg")</f>
        <v>http://pbs.twimg.com/media/FjTMF6gXgAAVi1E.jpg</v>
      </c>
      <c r="I50" t="str">
        <f>HYPERLINK("http://pbs.twimg.com/media/FjTMF6cXoAQ4GPi.jpg", "http://pbs.twimg.com/media/FjTMF6cXoAQ4GPi.jpg")</f>
        <v>http://pbs.twimg.com/media/FjTMF6cXoAQ4GPi.jpg</v>
      </c>
      <c r="J50" t="str">
        <f>HYPERLINK("http://pbs.twimg.com/media/FjTMF6fWQAE1r3v.jpg", "http://pbs.twimg.com/media/FjTMF6fWQAE1r3v.jpg")</f>
        <v>http://pbs.twimg.com/media/FjTMF6fWQAE1r3v.jpg</v>
      </c>
      <c r="K50" t="str">
        <f>HYPERLINK("http://pbs.twimg.com/media/FjTMF6gWYAQuYZL.jpg", "http://pbs.twimg.com/media/FjTMF6gWYAQuYZL.jpg")</f>
        <v>http://pbs.twimg.com/media/FjTMF6gWYAQuYZL.jpg</v>
      </c>
      <c r="L50">
        <v>0</v>
      </c>
      <c r="M50">
        <v>0</v>
      </c>
      <c r="N50">
        <v>1</v>
      </c>
      <c r="O50">
        <v>0</v>
      </c>
    </row>
    <row r="51" spans="1:15" x14ac:dyDescent="0.2">
      <c r="A51" s="1" t="str">
        <f>HYPERLINK("http://www.twitter.com/banuakdenizli/status/1600398511853359104", "1600398511853359104")</f>
        <v>1600398511853359104</v>
      </c>
      <c r="B51" t="s">
        <v>15</v>
      </c>
      <c r="C51" s="2">
        <v>44902.330011574071</v>
      </c>
      <c r="D51">
        <v>4</v>
      </c>
      <c r="E51">
        <v>0</v>
      </c>
      <c r="G51" t="s">
        <v>79</v>
      </c>
      <c r="L51">
        <v>0</v>
      </c>
      <c r="M51">
        <v>0</v>
      </c>
      <c r="N51">
        <v>1</v>
      </c>
      <c r="O51">
        <v>0</v>
      </c>
    </row>
    <row r="52" spans="1:15" x14ac:dyDescent="0.2">
      <c r="A52" s="1" t="str">
        <f>HYPERLINK("http://www.twitter.com/banuakdenizli/status/1600215019194527744", "1600215019194527744")</f>
        <v>1600215019194527744</v>
      </c>
      <c r="B52" t="s">
        <v>15</v>
      </c>
      <c r="C52" s="2">
        <v>44901.82366898148</v>
      </c>
      <c r="D52">
        <v>0</v>
      </c>
      <c r="E52">
        <v>46</v>
      </c>
      <c r="F52" t="s">
        <v>17</v>
      </c>
      <c r="G52" t="s">
        <v>80</v>
      </c>
      <c r="H52" t="str">
        <f>HYPERLINK("http://pbs.twimg.com/media/FjUMne6WAAgrk16.jpg", "http://pbs.twimg.com/media/FjUMne6WAAgrk16.jpg")</f>
        <v>http://pbs.twimg.com/media/FjUMne6WAAgrk16.jpg</v>
      </c>
      <c r="I52" t="str">
        <f>HYPERLINK("http://pbs.twimg.com/media/FjUMne6WAAIDu4g.jpg", "http://pbs.twimg.com/media/FjUMne6WAAIDu4g.jpg")</f>
        <v>http://pbs.twimg.com/media/FjUMne6WAAIDu4g.jpg</v>
      </c>
      <c r="J52" t="str">
        <f>HYPERLINK("http://pbs.twimg.com/media/FjUMne8WABYdAAS.jpg", "http://pbs.twimg.com/media/FjUMne8WABYdAAS.jpg")</f>
        <v>http://pbs.twimg.com/media/FjUMne8WABYdAAS.jpg</v>
      </c>
      <c r="L52">
        <v>0</v>
      </c>
      <c r="M52">
        <v>0</v>
      </c>
      <c r="N52">
        <v>1</v>
      </c>
      <c r="O52">
        <v>0</v>
      </c>
    </row>
    <row r="53" spans="1:15" x14ac:dyDescent="0.2">
      <c r="A53" s="1" t="str">
        <f>HYPERLINK("http://www.twitter.com/banuakdenizli/status/1600083106018402305", "1600083106018402305")</f>
        <v>1600083106018402305</v>
      </c>
      <c r="B53" t="s">
        <v>15</v>
      </c>
      <c r="C53" s="2">
        <v>44901.459664351853</v>
      </c>
      <c r="D53">
        <v>0</v>
      </c>
      <c r="E53">
        <v>9</v>
      </c>
      <c r="F53" t="s">
        <v>51</v>
      </c>
      <c r="G53" t="s">
        <v>81</v>
      </c>
      <c r="H53" t="str">
        <f>HYPERLINK("http://pbs.twimg.com/media/FjSi4DnWAAEE2Fz.jpg", "http://pbs.twimg.com/media/FjSi4DnWAAEE2Fz.jpg")</f>
        <v>http://pbs.twimg.com/media/FjSi4DnWAAEE2Fz.jpg</v>
      </c>
      <c r="I53" t="str">
        <f>HYPERLINK("http://pbs.twimg.com/media/FjSi4DkXEAAIwLf.jpg", "http://pbs.twimg.com/media/FjSi4DkXEAAIwLf.jpg")</f>
        <v>http://pbs.twimg.com/media/FjSi4DkXEAAIwLf.jpg</v>
      </c>
      <c r="J53" t="str">
        <f>HYPERLINK("http://pbs.twimg.com/media/FjSi4DnXkAEtwAH.jpg", "http://pbs.twimg.com/media/FjSi4DnXkAEtwAH.jpg")</f>
        <v>http://pbs.twimg.com/media/FjSi4DnXkAEtwAH.jpg</v>
      </c>
      <c r="K53" t="str">
        <f>HYPERLINK("http://pbs.twimg.com/media/FjSi4DlXEAAF3_O.jpg", "http://pbs.twimg.com/media/FjSi4DlXEAAF3_O.jpg")</f>
        <v>http://pbs.twimg.com/media/FjSi4DlXEAAF3_O.jpg</v>
      </c>
      <c r="L53">
        <v>0</v>
      </c>
      <c r="M53">
        <v>0</v>
      </c>
      <c r="N53">
        <v>1</v>
      </c>
      <c r="O53">
        <v>0</v>
      </c>
    </row>
    <row r="54" spans="1:15" x14ac:dyDescent="0.2">
      <c r="A54" s="1" t="str">
        <f>HYPERLINK("http://www.twitter.com/banuakdenizli/status/1600021284691156993", "1600021284691156993")</f>
        <v>1600021284691156993</v>
      </c>
      <c r="B54" t="s">
        <v>15</v>
      </c>
      <c r="C54" s="2">
        <v>44901.2890625</v>
      </c>
      <c r="D54">
        <v>0</v>
      </c>
      <c r="E54">
        <v>10</v>
      </c>
      <c r="F54" t="s">
        <v>18</v>
      </c>
      <c r="G54" t="s">
        <v>82</v>
      </c>
      <c r="H54" t="str">
        <f>HYPERLINK("http://pbs.twimg.com/media/FjQVk21WQAAUG6Z.jpg", "http://pbs.twimg.com/media/FjQVk21WQAAUG6Z.jpg")</f>
        <v>http://pbs.twimg.com/media/FjQVk21WQAAUG6Z.jpg</v>
      </c>
      <c r="I54" t="str">
        <f>HYPERLINK("http://pbs.twimg.com/media/FjQVk21XoAElaGn.jpg", "http://pbs.twimg.com/media/FjQVk21XoAElaGn.jpg")</f>
        <v>http://pbs.twimg.com/media/FjQVk21XoAElaGn.jpg</v>
      </c>
      <c r="J54" t="str">
        <f>HYPERLINK("http://pbs.twimg.com/media/FjQVk20X0AA3D7B.jpg", "http://pbs.twimg.com/media/FjQVk20X0AA3D7B.jpg")</f>
        <v>http://pbs.twimg.com/media/FjQVk20X0AA3D7B.jpg</v>
      </c>
      <c r="K54" t="str">
        <f>HYPERLINK("http://pbs.twimg.com/media/FjQVk20XEAASSZE.jpg", "http://pbs.twimg.com/media/FjQVk20XEAASSZE.jpg")</f>
        <v>http://pbs.twimg.com/media/FjQVk20XEAASSZE.jpg</v>
      </c>
      <c r="L54">
        <v>0</v>
      </c>
      <c r="M54">
        <v>0</v>
      </c>
      <c r="N54">
        <v>1</v>
      </c>
      <c r="O54">
        <v>0</v>
      </c>
    </row>
    <row r="55" spans="1:15" x14ac:dyDescent="0.2">
      <c r="A55" s="1" t="str">
        <f>HYPERLINK("http://www.twitter.com/banuakdenizli/status/1599859912443514881", "1599859912443514881")</f>
        <v>1599859912443514881</v>
      </c>
      <c r="B55" t="s">
        <v>15</v>
      </c>
      <c r="C55" s="2">
        <v>44900.843761574077</v>
      </c>
      <c r="D55">
        <v>0</v>
      </c>
      <c r="E55">
        <v>38</v>
      </c>
      <c r="F55" t="s">
        <v>17</v>
      </c>
      <c r="G55" t="s">
        <v>83</v>
      </c>
      <c r="H55" t="str">
        <f>HYPERLINK("https://video.twimg.com/ext_tw_video/1599852347538214921/pu/vid/1280x720/_7RdeTgLINCJvlGH.mp4?tag=12", "https://video.twimg.com/ext_tw_video/1599852347538214921/pu/vid/1280x720/_7RdeTgLINCJvlGH.mp4?tag=12")</f>
        <v>https://video.twimg.com/ext_tw_video/1599852347538214921/pu/vid/1280x720/_7RdeTgLINCJvlGH.mp4?tag=12</v>
      </c>
      <c r="L55">
        <v>0</v>
      </c>
      <c r="M55">
        <v>0</v>
      </c>
      <c r="N55">
        <v>1</v>
      </c>
      <c r="O55">
        <v>0</v>
      </c>
    </row>
    <row r="56" spans="1:15" x14ac:dyDescent="0.2">
      <c r="A56" s="1" t="str">
        <f>HYPERLINK("http://www.twitter.com/banuakdenizli/status/1599739817440735232", "1599739817440735232")</f>
        <v>1599739817440735232</v>
      </c>
      <c r="B56" t="s">
        <v>15</v>
      </c>
      <c r="C56" s="2">
        <v>44900.512361111112</v>
      </c>
      <c r="D56">
        <v>13</v>
      </c>
      <c r="E56">
        <v>4</v>
      </c>
      <c r="G56" t="s">
        <v>84</v>
      </c>
      <c r="H56" t="str">
        <f>HYPERLINK("http://pbs.twimg.com/media/FjNq4dGWYAI15kl.jpg", "http://pbs.twimg.com/media/FjNq4dGWYAI15kl.jpg")</f>
        <v>http://pbs.twimg.com/media/FjNq4dGWYAI15kl.jpg</v>
      </c>
      <c r="I56" t="str">
        <f>HYPERLINK("http://pbs.twimg.com/media/FjNq4dOWAAI63DX.jpg", "http://pbs.twimg.com/media/FjNq4dOWAAI63DX.jpg")</f>
        <v>http://pbs.twimg.com/media/FjNq4dOWAAI63DX.jpg</v>
      </c>
      <c r="L56">
        <v>0</v>
      </c>
      <c r="M56">
        <v>0</v>
      </c>
      <c r="N56">
        <v>1</v>
      </c>
      <c r="O56">
        <v>0</v>
      </c>
    </row>
    <row r="57" spans="1:15" x14ac:dyDescent="0.2">
      <c r="A57" s="1" t="str">
        <f>HYPERLINK("http://www.twitter.com/banuakdenizli/status/1599739807399571458", "1599739807399571458")</f>
        <v>1599739807399571458</v>
      </c>
      <c r="B57" t="s">
        <v>15</v>
      </c>
      <c r="C57" s="2">
        <v>44900.512337962973</v>
      </c>
      <c r="D57">
        <v>22</v>
      </c>
      <c r="E57">
        <v>7</v>
      </c>
      <c r="G57" t="s">
        <v>85</v>
      </c>
      <c r="H57" t="str">
        <f>HYPERLINK("http://pbs.twimg.com/media/FjNq3x8XEAAi-LG.jpg", "http://pbs.twimg.com/media/FjNq3x8XEAAi-LG.jpg")</f>
        <v>http://pbs.twimg.com/media/FjNq3x8XEAAi-LG.jpg</v>
      </c>
      <c r="L57">
        <v>0</v>
      </c>
      <c r="M57">
        <v>0</v>
      </c>
      <c r="N57">
        <v>1</v>
      </c>
      <c r="O57">
        <v>0</v>
      </c>
    </row>
    <row r="58" spans="1:15" x14ac:dyDescent="0.2">
      <c r="A58" s="1" t="str">
        <f>HYPERLINK("http://www.twitter.com/banuakdenizli/status/1599690796210745344", "1599690796210745344")</f>
        <v>1599690796210745344</v>
      </c>
      <c r="B58" t="s">
        <v>15</v>
      </c>
      <c r="C58" s="2">
        <v>44900.37709490741</v>
      </c>
      <c r="D58">
        <v>0</v>
      </c>
      <c r="E58">
        <v>14</v>
      </c>
      <c r="F58" t="s">
        <v>20</v>
      </c>
      <c r="G58" t="s">
        <v>86</v>
      </c>
      <c r="H58" t="str">
        <f>HYPERLINK("http://pbs.twimg.com/media/FjAh9vPWAAA6ERe.jpg", "http://pbs.twimg.com/media/FjAh9vPWAAA6ERe.jpg")</f>
        <v>http://pbs.twimg.com/media/FjAh9vPWAAA6ERe.jpg</v>
      </c>
      <c r="I58" t="str">
        <f>HYPERLINK("http://pbs.twimg.com/media/FjAiRZbXEAcVnUT.jpg", "http://pbs.twimg.com/media/FjAiRZbXEAcVnUT.jpg")</f>
        <v>http://pbs.twimg.com/media/FjAiRZbXEAcVnUT.jpg</v>
      </c>
      <c r="L58">
        <v>0</v>
      </c>
      <c r="M58">
        <v>0</v>
      </c>
      <c r="N58">
        <v>1</v>
      </c>
      <c r="O58">
        <v>0</v>
      </c>
    </row>
    <row r="59" spans="1:15" x14ac:dyDescent="0.2">
      <c r="A59" s="1" t="str">
        <f>HYPERLINK("http://www.twitter.com/banuakdenizli/status/1599646039631618053", "1599646039631618053")</f>
        <v>1599646039631618053</v>
      </c>
      <c r="B59" t="s">
        <v>15</v>
      </c>
      <c r="C59" s="2">
        <v>44900.253587962958</v>
      </c>
      <c r="D59">
        <v>0</v>
      </c>
      <c r="E59">
        <v>17</v>
      </c>
      <c r="F59" t="s">
        <v>51</v>
      </c>
      <c r="G59" t="s">
        <v>87</v>
      </c>
      <c r="H59" t="str">
        <f>HYPERLINK("http://pbs.twimg.com/media/FjMVeKxXEAAKrio.jpg", "http://pbs.twimg.com/media/FjMVeKxXEAAKrio.jpg")</f>
        <v>http://pbs.twimg.com/media/FjMVeKxXEAAKrio.jpg</v>
      </c>
      <c r="I59" t="str">
        <f>HYPERLINK("http://pbs.twimg.com/media/FjMVeK1WYAEbELT.jpg", "http://pbs.twimg.com/media/FjMVeK1WYAEbELT.jpg")</f>
        <v>http://pbs.twimg.com/media/FjMVeK1WYAEbELT.jpg</v>
      </c>
      <c r="J59" t="str">
        <f>HYPERLINK("http://pbs.twimg.com/media/FjMVeKwX0AIE6jH.jpg", "http://pbs.twimg.com/media/FjMVeKwX0AIE6jH.jpg")</f>
        <v>http://pbs.twimg.com/media/FjMVeKwX0AIE6jH.jpg</v>
      </c>
      <c r="K59" t="str">
        <f>HYPERLINK("http://pbs.twimg.com/media/FjMVeK2XgAEtJFn.jpg", "http://pbs.twimg.com/media/FjMVeK2XgAEtJFn.jpg")</f>
        <v>http://pbs.twimg.com/media/FjMVeK2XgAEtJFn.jpg</v>
      </c>
      <c r="L59">
        <v>0</v>
      </c>
      <c r="M59">
        <v>0</v>
      </c>
      <c r="N59">
        <v>1</v>
      </c>
      <c r="O59">
        <v>0</v>
      </c>
    </row>
    <row r="60" spans="1:15" x14ac:dyDescent="0.2">
      <c r="A60" s="1" t="str">
        <f>HYPERLINK("http://www.twitter.com/banuakdenizli/status/1599507439891513344", "1599507439891513344")</f>
        <v>1599507439891513344</v>
      </c>
      <c r="B60" t="s">
        <v>15</v>
      </c>
      <c r="C60" s="2">
        <v>44899.871122685188</v>
      </c>
      <c r="D60">
        <v>0</v>
      </c>
      <c r="E60">
        <v>7</v>
      </c>
      <c r="F60" t="s">
        <v>20</v>
      </c>
      <c r="G60" t="s">
        <v>88</v>
      </c>
      <c r="H60" t="str">
        <f>HYPERLINK("http://pbs.twimg.com/media/Fi1FlJHWAAclxtJ.jpg", "http://pbs.twimg.com/media/Fi1FlJHWAAclxtJ.jpg")</f>
        <v>http://pbs.twimg.com/media/Fi1FlJHWAAclxtJ.jpg</v>
      </c>
      <c r="L60">
        <v>0</v>
      </c>
      <c r="M60">
        <v>0</v>
      </c>
      <c r="N60">
        <v>1</v>
      </c>
      <c r="O60">
        <v>0</v>
      </c>
    </row>
    <row r="61" spans="1:15" x14ac:dyDescent="0.2">
      <c r="A61" s="1" t="str">
        <f>HYPERLINK("http://www.twitter.com/banuakdenizli/status/1599438113683968000", "1599438113683968000")</f>
        <v>1599438113683968000</v>
      </c>
      <c r="B61" t="s">
        <v>15</v>
      </c>
      <c r="C61" s="2">
        <v>44899.679826388892</v>
      </c>
      <c r="D61">
        <v>10</v>
      </c>
      <c r="E61">
        <v>4</v>
      </c>
      <c r="G61" t="s">
        <v>89</v>
      </c>
      <c r="H61" t="str">
        <f>HYPERLINK("http://pbs.twimg.com/media/FjJYe6WWIAAF58H.jpg", "http://pbs.twimg.com/media/FjJYe6WWIAAF58H.jpg")</f>
        <v>http://pbs.twimg.com/media/FjJYe6WWIAAF58H.jpg</v>
      </c>
      <c r="I61" t="str">
        <f>HYPERLINK("http://pbs.twimg.com/media/FjJYe6WWIAEWMju.jpg", "http://pbs.twimg.com/media/FjJYe6WWIAEWMju.jpg")</f>
        <v>http://pbs.twimg.com/media/FjJYe6WWIAEWMju.jpg</v>
      </c>
      <c r="L61">
        <v>0</v>
      </c>
      <c r="M61">
        <v>0</v>
      </c>
      <c r="N61">
        <v>1</v>
      </c>
      <c r="O61">
        <v>0</v>
      </c>
    </row>
    <row r="62" spans="1:15" x14ac:dyDescent="0.2">
      <c r="A62" s="1" t="str">
        <f>HYPERLINK("http://www.twitter.com/banuakdenizli/status/1599414932600016896", "1599414932600016896")</f>
        <v>1599414932600016896</v>
      </c>
      <c r="B62" t="s">
        <v>15</v>
      </c>
      <c r="C62" s="2">
        <v>44899.615856481483</v>
      </c>
      <c r="D62">
        <v>0</v>
      </c>
      <c r="E62">
        <v>3</v>
      </c>
      <c r="F62" t="s">
        <v>16</v>
      </c>
      <c r="G62" t="s">
        <v>90</v>
      </c>
      <c r="H62" t="str">
        <f>HYPERLINK("http://pbs.twimg.com/media/FjJAyFiWAAARzc0.jpg", "http://pbs.twimg.com/media/FjJAyFiWAAARzc0.jpg")</f>
        <v>http://pbs.twimg.com/media/FjJAyFiWAAARzc0.jpg</v>
      </c>
      <c r="I62" t="str">
        <f>HYPERLINK("http://pbs.twimg.com/media/FjJAyFjXEAMWrT0.jpg", "http://pbs.twimg.com/media/FjJAyFjXEAMWrT0.jpg")</f>
        <v>http://pbs.twimg.com/media/FjJAyFjXEAMWrT0.jpg</v>
      </c>
      <c r="L62">
        <v>0.31819999999999998</v>
      </c>
      <c r="M62">
        <v>0</v>
      </c>
      <c r="N62">
        <v>0.93300000000000005</v>
      </c>
      <c r="O62">
        <v>6.7000000000000004E-2</v>
      </c>
    </row>
    <row r="63" spans="1:15" x14ac:dyDescent="0.2">
      <c r="A63" s="1" t="str">
        <f>HYPERLINK("http://www.twitter.com/banuakdenizli/status/1599414902900170752", "1599414902900170752")</f>
        <v>1599414902900170752</v>
      </c>
      <c r="B63" t="s">
        <v>15</v>
      </c>
      <c r="C63" s="2">
        <v>44899.61577546296</v>
      </c>
      <c r="D63">
        <v>0</v>
      </c>
      <c r="E63">
        <v>2</v>
      </c>
      <c r="F63" t="s">
        <v>16</v>
      </c>
      <c r="G63" t="s">
        <v>91</v>
      </c>
      <c r="H63" t="str">
        <f>HYPERLINK("http://pbs.twimg.com/media/FjJCtiiWYAAJymo.jpg", "http://pbs.twimg.com/media/FjJCtiiWYAAJymo.jpg")</f>
        <v>http://pbs.twimg.com/media/FjJCtiiWYAAJymo.jpg</v>
      </c>
      <c r="I63" t="str">
        <f>HYPERLINK("http://pbs.twimg.com/media/FjJCtikXkAIiLN9.jpg", "http://pbs.twimg.com/media/FjJCtikXkAIiLN9.jpg")</f>
        <v>http://pbs.twimg.com/media/FjJCtikXkAIiLN9.jpg</v>
      </c>
      <c r="J63" t="str">
        <f>HYPERLINK("http://pbs.twimg.com/media/FjJCtikWAAAL3UY.jpg", "http://pbs.twimg.com/media/FjJCtikWAAAL3UY.jpg")</f>
        <v>http://pbs.twimg.com/media/FjJCtikWAAAL3UY.jpg</v>
      </c>
      <c r="L63">
        <v>0</v>
      </c>
      <c r="M63">
        <v>0</v>
      </c>
      <c r="N63">
        <v>1</v>
      </c>
      <c r="O63">
        <v>0</v>
      </c>
    </row>
    <row r="64" spans="1:15" x14ac:dyDescent="0.2">
      <c r="A64" s="1" t="str">
        <f>HYPERLINK("http://www.twitter.com/banuakdenizli/status/1599364372815413248", "1599364372815413248")</f>
        <v>1599364372815413248</v>
      </c>
      <c r="B64" t="s">
        <v>15</v>
      </c>
      <c r="C64" s="2">
        <v>44899.476331018523</v>
      </c>
      <c r="D64">
        <v>0</v>
      </c>
      <c r="E64">
        <v>3</v>
      </c>
      <c r="F64" t="s">
        <v>16</v>
      </c>
      <c r="G64" t="s">
        <v>92</v>
      </c>
      <c r="H64" t="str">
        <f>HYPERLINK("http://pbs.twimg.com/media/FjIS4JVWIAAtsIZ.jpg", "http://pbs.twimg.com/media/FjIS4JVWIAAtsIZ.jpg")</f>
        <v>http://pbs.twimg.com/media/FjIS4JVWIAAtsIZ.jpg</v>
      </c>
      <c r="I64" t="str">
        <f>HYPERLINK("http://pbs.twimg.com/media/FjIS4JRWAAEf9Mi.jpg", "http://pbs.twimg.com/media/FjIS4JRWAAEf9Mi.jpg")</f>
        <v>http://pbs.twimg.com/media/FjIS4JRWAAEf9Mi.jpg</v>
      </c>
      <c r="L64">
        <v>0</v>
      </c>
      <c r="M64">
        <v>0</v>
      </c>
      <c r="N64">
        <v>1</v>
      </c>
      <c r="O64">
        <v>0</v>
      </c>
    </row>
    <row r="65" spans="1:15" x14ac:dyDescent="0.2">
      <c r="A65" s="1" t="str">
        <f>HYPERLINK("http://www.twitter.com/banuakdenizli/status/1599323962281889794", "1599323962281889794")</f>
        <v>1599323962281889794</v>
      </c>
      <c r="B65" t="s">
        <v>15</v>
      </c>
      <c r="C65" s="2">
        <v>44899.36482638889</v>
      </c>
      <c r="D65">
        <v>0</v>
      </c>
      <c r="E65">
        <v>8</v>
      </c>
      <c r="F65" t="s">
        <v>93</v>
      </c>
      <c r="G65" t="s">
        <v>94</v>
      </c>
      <c r="L65">
        <v>0</v>
      </c>
      <c r="M65">
        <v>0</v>
      </c>
      <c r="N65">
        <v>1</v>
      </c>
      <c r="O65">
        <v>0</v>
      </c>
    </row>
    <row r="66" spans="1:15" x14ac:dyDescent="0.2">
      <c r="A66" s="1" t="str">
        <f>HYPERLINK("http://www.twitter.com/banuakdenizli/status/1599152475692421120", "1599152475692421120")</f>
        <v>1599152475692421120</v>
      </c>
      <c r="B66" t="s">
        <v>15</v>
      </c>
      <c r="C66" s="2">
        <v>44898.891608796293</v>
      </c>
      <c r="D66">
        <v>0</v>
      </c>
      <c r="E66">
        <v>14</v>
      </c>
      <c r="F66" t="s">
        <v>51</v>
      </c>
      <c r="G66" t="s">
        <v>95</v>
      </c>
      <c r="L66">
        <v>0.34</v>
      </c>
      <c r="M66">
        <v>0</v>
      </c>
      <c r="N66">
        <v>0.876</v>
      </c>
      <c r="O66">
        <v>0.124</v>
      </c>
    </row>
    <row r="67" spans="1:15" x14ac:dyDescent="0.2">
      <c r="A67" s="1" t="str">
        <f>HYPERLINK("http://www.twitter.com/banuakdenizli/status/1599149141237542912", "1599149141237542912")</f>
        <v>1599149141237542912</v>
      </c>
      <c r="B67" t="s">
        <v>15</v>
      </c>
      <c r="C67" s="2">
        <v>44898.882407407407</v>
      </c>
      <c r="D67">
        <v>0</v>
      </c>
      <c r="E67">
        <v>6</v>
      </c>
      <c r="F67" t="s">
        <v>93</v>
      </c>
      <c r="G67" t="s">
        <v>96</v>
      </c>
      <c r="H67" t="str">
        <f>HYPERLINK("http://pbs.twimg.com/media/FjDrDFVWYAAgWWu.jpg", "http://pbs.twimg.com/media/FjDrDFVWYAAgWWu.jpg")</f>
        <v>http://pbs.twimg.com/media/FjDrDFVWYAAgWWu.jpg</v>
      </c>
      <c r="L67">
        <v>0</v>
      </c>
      <c r="M67">
        <v>0</v>
      </c>
      <c r="N67">
        <v>1</v>
      </c>
      <c r="O67">
        <v>0</v>
      </c>
    </row>
    <row r="68" spans="1:15" x14ac:dyDescent="0.2">
      <c r="A68" s="1" t="str">
        <f>HYPERLINK("http://www.twitter.com/banuakdenizli/status/1599117942230171648", "1599117942230171648")</f>
        <v>1599117942230171648</v>
      </c>
      <c r="B68" t="s">
        <v>15</v>
      </c>
      <c r="C68" s="2">
        <v>44898.796319444453</v>
      </c>
      <c r="D68">
        <v>0</v>
      </c>
      <c r="E68">
        <v>6</v>
      </c>
      <c r="F68" t="s">
        <v>97</v>
      </c>
      <c r="G68" t="s">
        <v>98</v>
      </c>
      <c r="L68">
        <v>0</v>
      </c>
      <c r="M68">
        <v>0</v>
      </c>
      <c r="N68">
        <v>1</v>
      </c>
      <c r="O68">
        <v>0</v>
      </c>
    </row>
    <row r="69" spans="1:15" x14ac:dyDescent="0.2">
      <c r="A69" s="1" t="str">
        <f>HYPERLINK("http://www.twitter.com/banuakdenizli/status/1599086731004764160", "1599086731004764160")</f>
        <v>1599086731004764160</v>
      </c>
      <c r="B69" t="s">
        <v>15</v>
      </c>
      <c r="C69" s="2">
        <v>44898.710185185177</v>
      </c>
      <c r="D69">
        <v>0</v>
      </c>
      <c r="E69">
        <v>21</v>
      </c>
      <c r="F69" t="s">
        <v>17</v>
      </c>
      <c r="G69" t="s">
        <v>99</v>
      </c>
      <c r="H69" t="str">
        <f>HYPERLINK("http://pbs.twimg.com/media/FjEWGqGWYAAMxt2.jpg", "http://pbs.twimg.com/media/FjEWGqGWYAAMxt2.jpg")</f>
        <v>http://pbs.twimg.com/media/FjEWGqGWYAAMxt2.jpg</v>
      </c>
      <c r="L69">
        <v>0.47670000000000001</v>
      </c>
      <c r="M69">
        <v>0</v>
      </c>
      <c r="N69">
        <v>0.92100000000000004</v>
      </c>
      <c r="O69">
        <v>7.9000000000000001E-2</v>
      </c>
    </row>
    <row r="70" spans="1:15" x14ac:dyDescent="0.2">
      <c r="A70" s="1" t="str">
        <f>HYPERLINK("http://www.twitter.com/banuakdenizli/status/1599082444363530240", "1599082444363530240")</f>
        <v>1599082444363530240</v>
      </c>
      <c r="B70" t="s">
        <v>15</v>
      </c>
      <c r="C70" s="2">
        <v>44898.69835648148</v>
      </c>
      <c r="D70">
        <v>0</v>
      </c>
      <c r="E70">
        <v>15</v>
      </c>
      <c r="F70" t="s">
        <v>17</v>
      </c>
      <c r="G70" t="s">
        <v>100</v>
      </c>
      <c r="H70" t="str">
        <f>HYPERLINK("http://pbs.twimg.com/media/FjCuTVfXkAIiqIs.jpg", "http://pbs.twimg.com/media/FjCuTVfXkAIiqIs.jpg")</f>
        <v>http://pbs.twimg.com/media/FjCuTVfXkAIiqIs.jpg</v>
      </c>
      <c r="I70" t="str">
        <f>HYPERLINK("http://pbs.twimg.com/media/FjCuTTvXoAAaYvP.jpg", "http://pbs.twimg.com/media/FjCuTTvXoAAaYvP.jpg")</f>
        <v>http://pbs.twimg.com/media/FjCuTTvXoAAaYvP.jpg</v>
      </c>
      <c r="J70" t="str">
        <f>HYPERLINK("http://pbs.twimg.com/media/FjCuTVlXgAId--c.jpg", "http://pbs.twimg.com/media/FjCuTVlXgAId--c.jpg")</f>
        <v>http://pbs.twimg.com/media/FjCuTVlXgAId--c.jpg</v>
      </c>
      <c r="K70" t="str">
        <f>HYPERLINK("http://pbs.twimg.com/media/FjCuTVmXwAATxx_.jpg", "http://pbs.twimg.com/media/FjCuTVmXwAATxx_.jpg")</f>
        <v>http://pbs.twimg.com/media/FjCuTVmXwAATxx_.jpg</v>
      </c>
      <c r="L70">
        <v>0</v>
      </c>
      <c r="M70">
        <v>0</v>
      </c>
      <c r="N70">
        <v>1</v>
      </c>
      <c r="O70">
        <v>0</v>
      </c>
    </row>
    <row r="71" spans="1:15" x14ac:dyDescent="0.2">
      <c r="A71" s="1" t="str">
        <f>HYPERLINK("http://www.twitter.com/banuakdenizli/status/1599050351612923905", "1599050351612923905")</f>
        <v>1599050351612923905</v>
      </c>
      <c r="B71" t="s">
        <v>15</v>
      </c>
      <c r="C71" s="2">
        <v>44898.609803240739</v>
      </c>
      <c r="D71">
        <v>0</v>
      </c>
      <c r="E71">
        <v>3</v>
      </c>
      <c r="F71" t="s">
        <v>24</v>
      </c>
      <c r="G71" t="s">
        <v>101</v>
      </c>
      <c r="L71">
        <v>0</v>
      </c>
      <c r="M71">
        <v>0</v>
      </c>
      <c r="N71">
        <v>1</v>
      </c>
      <c r="O71">
        <v>0</v>
      </c>
    </row>
    <row r="72" spans="1:15" x14ac:dyDescent="0.2">
      <c r="A72" s="1" t="str">
        <f>HYPERLINK("http://www.twitter.com/banuakdenizli/status/1599023806529429504", "1599023806529429504")</f>
        <v>1599023806529429504</v>
      </c>
      <c r="B72" t="s">
        <v>15</v>
      </c>
      <c r="C72" s="2">
        <v>44898.536550925928</v>
      </c>
      <c r="D72">
        <v>0</v>
      </c>
      <c r="E72">
        <v>15</v>
      </c>
      <c r="F72" t="s">
        <v>51</v>
      </c>
      <c r="G72" t="s">
        <v>102</v>
      </c>
      <c r="H72" t="str">
        <f>HYPERLINK("http://pbs.twimg.com/media/FjDSJw0XgAETTFj.jpg", "http://pbs.twimg.com/media/FjDSJw0XgAETTFj.jpg")</f>
        <v>http://pbs.twimg.com/media/FjDSJw0XgAETTFj.jpg</v>
      </c>
      <c r="I72" t="str">
        <f>HYPERLINK("http://pbs.twimg.com/media/FjDSJwzWAAEfHo0.jpg", "http://pbs.twimg.com/media/FjDSJwzWAAEfHo0.jpg")</f>
        <v>http://pbs.twimg.com/media/FjDSJwzWAAEfHo0.jpg</v>
      </c>
      <c r="J72" t="str">
        <f>HYPERLINK("http://pbs.twimg.com/media/FjDSJw0XoAAcajC.jpg", "http://pbs.twimg.com/media/FjDSJw0XoAAcajC.jpg")</f>
        <v>http://pbs.twimg.com/media/FjDSJw0XoAAcajC.jpg</v>
      </c>
      <c r="K72" t="str">
        <f>HYPERLINK("http://pbs.twimg.com/media/FjDSJw1XoAAkz-2.jpg", "http://pbs.twimg.com/media/FjDSJw1XoAAkz-2.jpg")</f>
        <v>http://pbs.twimg.com/media/FjDSJw1XoAAkz-2.jpg</v>
      </c>
      <c r="L72">
        <v>0.34</v>
      </c>
      <c r="M72">
        <v>0</v>
      </c>
      <c r="N72">
        <v>0.94099999999999995</v>
      </c>
      <c r="O72">
        <v>5.8999999999999997E-2</v>
      </c>
    </row>
    <row r="73" spans="1:15" x14ac:dyDescent="0.2">
      <c r="A73" s="1" t="str">
        <f>HYPERLINK("http://www.twitter.com/banuakdenizli/status/1599023642008256518", "1599023642008256518")</f>
        <v>1599023642008256518</v>
      </c>
      <c r="B73" t="s">
        <v>15</v>
      </c>
      <c r="C73" s="2">
        <v>44898.536099537043</v>
      </c>
      <c r="D73">
        <v>0</v>
      </c>
      <c r="E73">
        <v>6</v>
      </c>
      <c r="F73" t="s">
        <v>20</v>
      </c>
      <c r="G73" t="s">
        <v>103</v>
      </c>
      <c r="H73" t="str">
        <f>HYPERLINK("http://pbs.twimg.com/media/FivzTJlXEAQDZDc.jpg", "http://pbs.twimg.com/media/FivzTJlXEAQDZDc.jpg")</f>
        <v>http://pbs.twimg.com/media/FivzTJlXEAQDZDc.jpg</v>
      </c>
      <c r="L73">
        <v>0</v>
      </c>
      <c r="M73">
        <v>0</v>
      </c>
      <c r="N73">
        <v>1</v>
      </c>
      <c r="O73">
        <v>0</v>
      </c>
    </row>
    <row r="74" spans="1:15" x14ac:dyDescent="0.2">
      <c r="A74" s="1" t="str">
        <f>HYPERLINK("http://www.twitter.com/banuakdenizli/status/1599003985435709440", "1599003985435709440")</f>
        <v>1599003985435709440</v>
      </c>
      <c r="B74" t="s">
        <v>15</v>
      </c>
      <c r="C74" s="2">
        <v>44898.481851851851</v>
      </c>
      <c r="D74">
        <v>0</v>
      </c>
      <c r="E74">
        <v>5</v>
      </c>
      <c r="F74" t="s">
        <v>51</v>
      </c>
      <c r="G74" t="s">
        <v>104</v>
      </c>
      <c r="L74">
        <v>0</v>
      </c>
      <c r="M74">
        <v>0</v>
      </c>
      <c r="N74">
        <v>1</v>
      </c>
      <c r="O74">
        <v>0</v>
      </c>
    </row>
    <row r="75" spans="1:15" x14ac:dyDescent="0.2">
      <c r="A75" s="1" t="str">
        <f>HYPERLINK("http://www.twitter.com/banuakdenizli/status/1598779681049694209", "1598779681049694209")</f>
        <v>1598779681049694209</v>
      </c>
      <c r="B75" t="s">
        <v>15</v>
      </c>
      <c r="C75" s="2">
        <v>44897.862893518519</v>
      </c>
      <c r="D75">
        <v>0</v>
      </c>
      <c r="E75">
        <v>15</v>
      </c>
      <c r="F75" t="s">
        <v>24</v>
      </c>
      <c r="G75" t="s">
        <v>105</v>
      </c>
      <c r="L75">
        <v>0</v>
      </c>
      <c r="M75">
        <v>0</v>
      </c>
      <c r="N75">
        <v>1</v>
      </c>
      <c r="O75">
        <v>0</v>
      </c>
    </row>
    <row r="76" spans="1:15" x14ac:dyDescent="0.2">
      <c r="A76" s="1" t="str">
        <f>HYPERLINK("http://www.twitter.com/banuakdenizli/status/1598773359613018112", "1598773359613018112")</f>
        <v>1598773359613018112</v>
      </c>
      <c r="B76" t="s">
        <v>15</v>
      </c>
      <c r="C76" s="2">
        <v>44897.845451388886</v>
      </c>
      <c r="D76">
        <v>0</v>
      </c>
      <c r="E76">
        <v>48</v>
      </c>
      <c r="F76" t="s">
        <v>17</v>
      </c>
      <c r="G76" t="s">
        <v>106</v>
      </c>
      <c r="H76" t="str">
        <f>HYPERLINK("http://pbs.twimg.com/media/Fi-0XwRWYAAgm1v.jpg", "http://pbs.twimg.com/media/Fi-0XwRWYAAgm1v.jpg")</f>
        <v>http://pbs.twimg.com/media/Fi-0XwRWYAAgm1v.jpg</v>
      </c>
      <c r="L76">
        <v>0.58589999999999998</v>
      </c>
      <c r="M76">
        <v>0</v>
      </c>
      <c r="N76">
        <v>0.873</v>
      </c>
      <c r="O76">
        <v>0.127</v>
      </c>
    </row>
    <row r="77" spans="1:15" x14ac:dyDescent="0.2">
      <c r="A77" s="1" t="str">
        <f>HYPERLINK("http://www.twitter.com/banuakdenizli/status/1598648769284902912", "1598648769284902912")</f>
        <v>1598648769284902912</v>
      </c>
      <c r="B77" t="s">
        <v>15</v>
      </c>
      <c r="C77" s="2">
        <v>44897.501643518517</v>
      </c>
      <c r="D77">
        <v>0</v>
      </c>
      <c r="E77">
        <v>8</v>
      </c>
      <c r="F77" t="s">
        <v>18</v>
      </c>
      <c r="G77" t="s">
        <v>107</v>
      </c>
      <c r="H77" t="str">
        <f>HYPERLINK("https://video.twimg.com/ext_tw_video/1598630891894579200/pu/vid/1280x720/tEaRmgbxERfyyBzT.mp4?tag=12", "https://video.twimg.com/ext_tw_video/1598630891894579200/pu/vid/1280x720/tEaRmgbxERfyyBzT.mp4?tag=12")</f>
        <v>https://video.twimg.com/ext_tw_video/1598630891894579200/pu/vid/1280x720/tEaRmgbxERfyyBzT.mp4?tag=12</v>
      </c>
      <c r="L77">
        <v>0</v>
      </c>
      <c r="M77">
        <v>0</v>
      </c>
      <c r="N77">
        <v>1</v>
      </c>
      <c r="O77">
        <v>0</v>
      </c>
    </row>
    <row r="78" spans="1:15" x14ac:dyDescent="0.2">
      <c r="A78" s="1" t="str">
        <f>HYPERLINK("http://www.twitter.com/banuakdenizli/status/1598281955891503105", "1598281955891503105")</f>
        <v>1598281955891503105</v>
      </c>
      <c r="B78" t="s">
        <v>15</v>
      </c>
      <c r="C78" s="2">
        <v>44896.489432870367</v>
      </c>
      <c r="D78">
        <v>6</v>
      </c>
      <c r="E78">
        <v>3</v>
      </c>
      <c r="G78" t="s">
        <v>108</v>
      </c>
      <c r="L78">
        <v>0.44040000000000001</v>
      </c>
      <c r="M78">
        <v>0</v>
      </c>
      <c r="N78">
        <v>0.92300000000000004</v>
      </c>
      <c r="O78">
        <v>7.6999999999999999E-2</v>
      </c>
    </row>
    <row r="79" spans="1:15" x14ac:dyDescent="0.2">
      <c r="A79" s="1" t="str">
        <f>HYPERLINK("http://www.twitter.com/banuakdenizli/status/1598021845864759296", "1598021845864759296")</f>
        <v>1598021845864759296</v>
      </c>
      <c r="B79" t="s">
        <v>15</v>
      </c>
      <c r="C79" s="2">
        <v>44895.771666666667</v>
      </c>
      <c r="D79">
        <v>0</v>
      </c>
      <c r="E79">
        <v>4</v>
      </c>
      <c r="F79" t="s">
        <v>24</v>
      </c>
      <c r="G79" t="s">
        <v>109</v>
      </c>
      <c r="L79">
        <v>0</v>
      </c>
      <c r="M79">
        <v>0</v>
      </c>
      <c r="N79">
        <v>1</v>
      </c>
      <c r="O79">
        <v>0</v>
      </c>
    </row>
    <row r="80" spans="1:15" x14ac:dyDescent="0.2">
      <c r="A80" s="1" t="str">
        <f>HYPERLINK("http://www.twitter.com/banuakdenizli/status/1598021761085349889", "1598021761085349889")</f>
        <v>1598021761085349889</v>
      </c>
      <c r="B80" t="s">
        <v>15</v>
      </c>
      <c r="C80" s="2">
        <v>44895.771435185183</v>
      </c>
      <c r="D80">
        <v>0</v>
      </c>
      <c r="E80">
        <v>6</v>
      </c>
      <c r="F80" t="s">
        <v>51</v>
      </c>
      <c r="G80" t="s">
        <v>110</v>
      </c>
      <c r="H80" t="str">
        <f>HYPERLINK("https://video.twimg.com/ext_tw_video/1598017094704037898/pu/vid/1280x720/VXTk_ZnSlYCxhykS.mp4?tag=12", "https://video.twimg.com/ext_tw_video/1598017094704037898/pu/vid/1280x720/VXTk_ZnSlYCxhykS.mp4?tag=12")</f>
        <v>https://video.twimg.com/ext_tw_video/1598017094704037898/pu/vid/1280x720/VXTk_ZnSlYCxhykS.mp4?tag=12</v>
      </c>
      <c r="L80">
        <v>0</v>
      </c>
      <c r="M80">
        <v>0</v>
      </c>
      <c r="N80">
        <v>1</v>
      </c>
      <c r="O80">
        <v>0</v>
      </c>
    </row>
    <row r="81" spans="1:15" x14ac:dyDescent="0.2">
      <c r="A81" s="1" t="str">
        <f>HYPERLINK("http://www.twitter.com/banuakdenizli/status/1598012384836481025", "1598012384836481025")</f>
        <v>1598012384836481025</v>
      </c>
      <c r="B81" t="s">
        <v>15</v>
      </c>
      <c r="C81" s="2">
        <v>44895.745555555557</v>
      </c>
      <c r="D81">
        <v>0</v>
      </c>
      <c r="E81">
        <v>8</v>
      </c>
      <c r="F81" t="s">
        <v>24</v>
      </c>
      <c r="G81" t="s">
        <v>111</v>
      </c>
      <c r="L81">
        <v>0</v>
      </c>
      <c r="M81">
        <v>0</v>
      </c>
      <c r="N81">
        <v>1</v>
      </c>
      <c r="O81">
        <v>0</v>
      </c>
    </row>
    <row r="82" spans="1:15" x14ac:dyDescent="0.2">
      <c r="A82" s="1" t="str">
        <f>HYPERLINK("http://www.twitter.com/banuakdenizli/status/1598011662954422272", "1598011662954422272")</f>
        <v>1598011662954422272</v>
      </c>
      <c r="B82" t="s">
        <v>15</v>
      </c>
      <c r="C82" s="2">
        <v>44895.743564814817</v>
      </c>
      <c r="D82">
        <v>0</v>
      </c>
      <c r="E82">
        <v>9</v>
      </c>
      <c r="F82" t="s">
        <v>24</v>
      </c>
      <c r="G82" t="s">
        <v>112</v>
      </c>
      <c r="H82" t="str">
        <f>HYPERLINK("http://pbs.twimg.com/media/Fi1GH77WAAs7WAt.jpg", "http://pbs.twimg.com/media/Fi1GH77WAAs7WAt.jpg")</f>
        <v>http://pbs.twimg.com/media/Fi1GH77WAAs7WAt.jpg</v>
      </c>
      <c r="I82" t="str">
        <f>HYPERLINK("http://pbs.twimg.com/media/Fi1GH74WAAs1MPP.jpg", "http://pbs.twimg.com/media/Fi1GH74WAAs1MPP.jpg")</f>
        <v>http://pbs.twimg.com/media/Fi1GH74WAAs1MPP.jpg</v>
      </c>
      <c r="L82">
        <v>0</v>
      </c>
      <c r="M82">
        <v>0</v>
      </c>
      <c r="N82">
        <v>1</v>
      </c>
      <c r="O82">
        <v>0</v>
      </c>
    </row>
    <row r="83" spans="1:15" x14ac:dyDescent="0.2">
      <c r="A83" s="1" t="str">
        <f>HYPERLINK("http://www.twitter.com/banuakdenizli/status/1597988029255516162", "1597988029255516162")</f>
        <v>1597988029255516162</v>
      </c>
      <c r="B83" t="s">
        <v>15</v>
      </c>
      <c r="C83" s="2">
        <v>44895.678356481483</v>
      </c>
      <c r="D83">
        <v>0</v>
      </c>
      <c r="E83">
        <v>33</v>
      </c>
      <c r="F83" t="s">
        <v>17</v>
      </c>
      <c r="G83" t="s">
        <v>113</v>
      </c>
      <c r="H83" t="str">
        <f>HYPERLINK("https://video.twimg.com/amplify_video/1597980967079067648/vid/1280x720/rI3hwcXevp5iDvGf.mp4?tag=16", "https://video.twimg.com/amplify_video/1597980967079067648/vid/1280x720/rI3hwcXevp5iDvGf.mp4?tag=16")</f>
        <v>https://video.twimg.com/amplify_video/1597980967079067648/vid/1280x720/rI3hwcXevp5iDvGf.mp4?tag=16</v>
      </c>
      <c r="L83">
        <v>0</v>
      </c>
      <c r="M83">
        <v>0</v>
      </c>
      <c r="N83">
        <v>1</v>
      </c>
      <c r="O83">
        <v>0</v>
      </c>
    </row>
    <row r="84" spans="1:15" x14ac:dyDescent="0.2">
      <c r="A84" s="1" t="str">
        <f>HYPERLINK("http://www.twitter.com/banuakdenizli/status/1597969315781046272", "1597969315781046272")</f>
        <v>1597969315781046272</v>
      </c>
      <c r="B84" t="s">
        <v>15</v>
      </c>
      <c r="C84" s="2">
        <v>44895.626712962963</v>
      </c>
      <c r="D84">
        <v>0</v>
      </c>
      <c r="E84">
        <v>24</v>
      </c>
      <c r="F84" t="s">
        <v>24</v>
      </c>
      <c r="G84" t="s">
        <v>114</v>
      </c>
      <c r="H84" t="str">
        <f>HYPERLINK("http://pbs.twimg.com/media/Fi0AAG1UYAApQ1_.jpg", "http://pbs.twimg.com/media/Fi0AAG1UYAApQ1_.jpg")</f>
        <v>http://pbs.twimg.com/media/Fi0AAG1UYAApQ1_.jpg</v>
      </c>
      <c r="I84" t="str">
        <f>HYPERLINK("http://pbs.twimg.com/media/Fi0AAG2UcAAhpm-.jpg", "http://pbs.twimg.com/media/Fi0AAG2UcAAhpm-.jpg")</f>
        <v>http://pbs.twimg.com/media/Fi0AAG2UcAAhpm-.jpg</v>
      </c>
      <c r="L84">
        <v>0</v>
      </c>
      <c r="M84">
        <v>0</v>
      </c>
      <c r="N84">
        <v>1</v>
      </c>
      <c r="O84">
        <v>0</v>
      </c>
    </row>
    <row r="85" spans="1:15" x14ac:dyDescent="0.2">
      <c r="A85" s="1" t="str">
        <f>HYPERLINK("http://www.twitter.com/banuakdenizli/status/1597958273462054914", "1597958273462054914")</f>
        <v>1597958273462054914</v>
      </c>
      <c r="B85" t="s">
        <v>15</v>
      </c>
      <c r="C85" s="2">
        <v>44895.596238425933</v>
      </c>
      <c r="D85">
        <v>6</v>
      </c>
      <c r="E85">
        <v>1</v>
      </c>
      <c r="G85" t="s">
        <v>115</v>
      </c>
      <c r="H85" t="str">
        <f>HYPERLINK("http://pbs.twimg.com/media/Fi0WjmAXwAAd1fU.jpg", "http://pbs.twimg.com/media/Fi0WjmAXwAAd1fU.jpg")</f>
        <v>http://pbs.twimg.com/media/Fi0WjmAXwAAd1fU.jpg</v>
      </c>
      <c r="L85">
        <v>0</v>
      </c>
      <c r="M85">
        <v>0</v>
      </c>
      <c r="N85">
        <v>1</v>
      </c>
      <c r="O85">
        <v>0</v>
      </c>
    </row>
    <row r="86" spans="1:15" x14ac:dyDescent="0.2">
      <c r="A86" s="1" t="str">
        <f>HYPERLINK("http://www.twitter.com/banuakdenizli/status/1597932368538394625", "1597932368538394625")</f>
        <v>1597932368538394625</v>
      </c>
      <c r="B86" t="s">
        <v>15</v>
      </c>
      <c r="C86" s="2">
        <v>44895.524756944447</v>
      </c>
      <c r="D86">
        <v>7</v>
      </c>
      <c r="E86">
        <v>3</v>
      </c>
      <c r="G86" t="s">
        <v>116</v>
      </c>
      <c r="L86">
        <v>0</v>
      </c>
      <c r="M86">
        <v>0</v>
      </c>
      <c r="N86">
        <v>1</v>
      </c>
      <c r="O86">
        <v>0</v>
      </c>
    </row>
    <row r="87" spans="1:15" x14ac:dyDescent="0.2">
      <c r="A87" s="1" t="str">
        <f>HYPERLINK("http://www.twitter.com/banuakdenizli/status/1597827301827563521", "1597827301827563521")</f>
        <v>1597827301827563521</v>
      </c>
      <c r="B87" t="s">
        <v>15</v>
      </c>
      <c r="C87" s="2">
        <v>44895.234826388893</v>
      </c>
      <c r="D87">
        <v>0</v>
      </c>
      <c r="E87">
        <v>6</v>
      </c>
      <c r="F87" t="s">
        <v>16</v>
      </c>
      <c r="G87" t="s">
        <v>117</v>
      </c>
      <c r="L87">
        <v>0</v>
      </c>
      <c r="M87">
        <v>0</v>
      </c>
      <c r="N87">
        <v>1</v>
      </c>
      <c r="O87">
        <v>0</v>
      </c>
    </row>
    <row r="88" spans="1:15" x14ac:dyDescent="0.2">
      <c r="A88" s="1" t="str">
        <f>HYPERLINK("http://www.twitter.com/banuakdenizli/status/1597813773167132672", "1597813773167132672")</f>
        <v>1597813773167132672</v>
      </c>
      <c r="B88" t="s">
        <v>15</v>
      </c>
      <c r="C88" s="2">
        <v>44895.197500000002</v>
      </c>
      <c r="D88">
        <v>0</v>
      </c>
      <c r="E88">
        <v>17</v>
      </c>
      <c r="F88" t="s">
        <v>24</v>
      </c>
      <c r="G88" t="s">
        <v>118</v>
      </c>
      <c r="H88" t="str">
        <f>HYPERLINK("http://pbs.twimg.com/media/FiySDVjUYAAWfLN.jpg", "http://pbs.twimg.com/media/FiySDVjUYAAWfLN.jpg")</f>
        <v>http://pbs.twimg.com/media/FiySDVjUYAAWfLN.jpg</v>
      </c>
      <c r="L88">
        <v>-0.29599999999999999</v>
      </c>
      <c r="M88">
        <v>4.8000000000000001E-2</v>
      </c>
      <c r="N88">
        <v>0.95199999999999996</v>
      </c>
      <c r="O88">
        <v>0</v>
      </c>
    </row>
    <row r="89" spans="1:15" x14ac:dyDescent="0.2">
      <c r="A89" s="1" t="str">
        <f>HYPERLINK("http://www.twitter.com/banuakdenizli/status/1597657416052932608", "1597657416052932608")</f>
        <v>1597657416052932608</v>
      </c>
      <c r="B89" t="s">
        <v>15</v>
      </c>
      <c r="C89" s="2">
        <v>44894.766030092593</v>
      </c>
      <c r="D89">
        <v>0</v>
      </c>
      <c r="E89">
        <v>482</v>
      </c>
      <c r="F89" t="s">
        <v>21</v>
      </c>
      <c r="G89" t="s">
        <v>119</v>
      </c>
      <c r="L89">
        <v>0</v>
      </c>
      <c r="M89">
        <v>0</v>
      </c>
      <c r="N89">
        <v>1</v>
      </c>
      <c r="O89">
        <v>0</v>
      </c>
    </row>
    <row r="90" spans="1:15" x14ac:dyDescent="0.2">
      <c r="A90" s="1" t="str">
        <f>HYPERLINK("http://www.twitter.com/banuakdenizli/status/1597571272992755712", "1597571272992755712")</f>
        <v>1597571272992755712</v>
      </c>
      <c r="B90" t="s">
        <v>15</v>
      </c>
      <c r="C90" s="2">
        <v>44894.528321759259</v>
      </c>
      <c r="D90">
        <v>0</v>
      </c>
      <c r="E90">
        <v>20</v>
      </c>
      <c r="F90" t="s">
        <v>51</v>
      </c>
      <c r="G90" t="s">
        <v>120</v>
      </c>
      <c r="H90" t="str">
        <f>HYPERLINK("http://pbs.twimg.com/media/FipdEEtWQAIcQf5.jpg", "http://pbs.twimg.com/media/FipdEEtWQAIcQf5.jpg")</f>
        <v>http://pbs.twimg.com/media/FipdEEtWQAIcQf5.jpg</v>
      </c>
      <c r="I90" t="str">
        <f>HYPERLINK("http://pbs.twimg.com/media/FipdEEoXwAI1k0r.jpg", "http://pbs.twimg.com/media/FipdEEoXwAI1k0r.jpg")</f>
        <v>http://pbs.twimg.com/media/FipdEEoXwAI1k0r.jpg</v>
      </c>
      <c r="J90" t="str">
        <f>HYPERLINK("http://pbs.twimg.com/media/FipdEErXkAEVEIt.jpg", "http://pbs.twimg.com/media/FipdEErXkAEVEIt.jpg")</f>
        <v>http://pbs.twimg.com/media/FipdEErXkAEVEIt.jpg</v>
      </c>
      <c r="K90" t="str">
        <f>HYPERLINK("http://pbs.twimg.com/media/FipdEEuWIAET84M.jpg", "http://pbs.twimg.com/media/FipdEEuWIAET84M.jpg")</f>
        <v>http://pbs.twimg.com/media/FipdEEuWIAET84M.jpg</v>
      </c>
      <c r="L90">
        <v>0</v>
      </c>
      <c r="M90">
        <v>0</v>
      </c>
      <c r="N90">
        <v>1</v>
      </c>
      <c r="O90">
        <v>0</v>
      </c>
    </row>
    <row r="91" spans="1:15" x14ac:dyDescent="0.2">
      <c r="A91" s="1" t="str">
        <f>HYPERLINK("http://www.twitter.com/banuakdenizli/status/1597571199936397315", "1597571199936397315")</f>
        <v>1597571199936397315</v>
      </c>
      <c r="B91" t="s">
        <v>15</v>
      </c>
      <c r="C91" s="2">
        <v>44894.528124999997</v>
      </c>
      <c r="D91">
        <v>0</v>
      </c>
      <c r="E91">
        <v>5</v>
      </c>
      <c r="F91" t="s">
        <v>51</v>
      </c>
      <c r="G91" t="s">
        <v>121</v>
      </c>
      <c r="H91" t="str">
        <f>HYPERLINK("http://pbs.twimg.com/media/FipTlu-XEAA9nTv.jpg", "http://pbs.twimg.com/media/FipTlu-XEAA9nTv.jpg")</f>
        <v>http://pbs.twimg.com/media/FipTlu-XEAA9nTv.jpg</v>
      </c>
      <c r="L91">
        <v>0</v>
      </c>
      <c r="M91">
        <v>0</v>
      </c>
      <c r="N91">
        <v>1</v>
      </c>
      <c r="O91">
        <v>0</v>
      </c>
    </row>
    <row r="92" spans="1:15" x14ac:dyDescent="0.2">
      <c r="A92" s="1" t="str">
        <f>HYPERLINK("http://www.twitter.com/banuakdenizli/status/1597571108441817091", "1597571108441817091")</f>
        <v>1597571108441817091</v>
      </c>
      <c r="B92" t="s">
        <v>15</v>
      </c>
      <c r="C92" s="2">
        <v>44894.527870370373</v>
      </c>
      <c r="D92">
        <v>0</v>
      </c>
      <c r="E92">
        <v>12</v>
      </c>
      <c r="F92" t="s">
        <v>122</v>
      </c>
      <c r="G92" t="s">
        <v>123</v>
      </c>
      <c r="H92" t="str">
        <f>HYPERLINK("https://video.twimg.com/ext_tw_video/1597271616093831169/pu/vid/720x1280/yA6BzBVV4IptOLtt.mp4?tag=12", "https://video.twimg.com/ext_tw_video/1597271616093831169/pu/vid/720x1280/yA6BzBVV4IptOLtt.mp4?tag=12")</f>
        <v>https://video.twimg.com/ext_tw_video/1597271616093831169/pu/vid/720x1280/yA6BzBVV4IptOLtt.mp4?tag=12</v>
      </c>
      <c r="L92">
        <v>0</v>
      </c>
      <c r="M92">
        <v>0</v>
      </c>
      <c r="N92">
        <v>1</v>
      </c>
      <c r="O92">
        <v>0</v>
      </c>
    </row>
    <row r="93" spans="1:15" x14ac:dyDescent="0.2">
      <c r="A93" s="1" t="str">
        <f>HYPERLINK("http://www.twitter.com/banuakdenizli/status/1597268057012871168", "1597268057012871168")</f>
        <v>1597268057012871168</v>
      </c>
      <c r="B93" t="s">
        <v>15</v>
      </c>
      <c r="C93" s="2">
        <v>44893.691608796304</v>
      </c>
      <c r="D93">
        <v>0</v>
      </c>
      <c r="E93">
        <v>9</v>
      </c>
      <c r="F93" t="s">
        <v>17</v>
      </c>
      <c r="G93" t="s">
        <v>124</v>
      </c>
      <c r="L93">
        <v>0</v>
      </c>
      <c r="M93">
        <v>0</v>
      </c>
      <c r="N93">
        <v>1</v>
      </c>
      <c r="O93">
        <v>0</v>
      </c>
    </row>
    <row r="94" spans="1:15" x14ac:dyDescent="0.2">
      <c r="A94" s="1" t="str">
        <f>HYPERLINK("http://www.twitter.com/banuakdenizli/status/1597266988359102464", "1597266988359102464")</f>
        <v>1597266988359102464</v>
      </c>
      <c r="B94" t="s">
        <v>15</v>
      </c>
      <c r="C94" s="2">
        <v>44893.688657407409</v>
      </c>
      <c r="D94">
        <v>0</v>
      </c>
      <c r="E94">
        <v>31</v>
      </c>
      <c r="F94" t="s">
        <v>17</v>
      </c>
      <c r="G94" t="s">
        <v>125</v>
      </c>
      <c r="H94" t="str">
        <f>HYPERLINK("https://video.twimg.com/ext_tw_video/1597266646011465728/pu/vid/848x480/YsNdclKd602hGYTb.mp4?tag=12", "https://video.twimg.com/ext_tw_video/1597266646011465728/pu/vid/848x480/YsNdclKd602hGYTb.mp4?tag=12")</f>
        <v>https://video.twimg.com/ext_tw_video/1597266646011465728/pu/vid/848x480/YsNdclKd602hGYTb.mp4?tag=12</v>
      </c>
      <c r="L94">
        <v>0</v>
      </c>
      <c r="M94">
        <v>0</v>
      </c>
      <c r="N94">
        <v>1</v>
      </c>
      <c r="O94">
        <v>0</v>
      </c>
    </row>
    <row r="95" spans="1:15" x14ac:dyDescent="0.2">
      <c r="A95" s="1" t="str">
        <f>HYPERLINK("http://www.twitter.com/banuakdenizli/status/1596926174340743170", "1596926174340743170")</f>
        <v>1596926174340743170</v>
      </c>
      <c r="B95" t="s">
        <v>15</v>
      </c>
      <c r="C95" s="2">
        <v>44892.748194444437</v>
      </c>
      <c r="D95">
        <v>4</v>
      </c>
      <c r="E95">
        <v>0</v>
      </c>
      <c r="G95" t="s">
        <v>126</v>
      </c>
      <c r="H95" t="str">
        <f>HYPERLINK("http://pbs.twimg.com/media/Filr41LXwAYNXOR.jpg", "http://pbs.twimg.com/media/Filr41LXwAYNXOR.jpg")</f>
        <v>http://pbs.twimg.com/media/Filr41LXwAYNXOR.jpg</v>
      </c>
      <c r="I95" t="str">
        <f>HYPERLINK("http://pbs.twimg.com/media/Filr41KXkAAH8Ps.jpg", "http://pbs.twimg.com/media/Filr41KXkAAH8Ps.jpg")</f>
        <v>http://pbs.twimg.com/media/Filr41KXkAAH8Ps.jpg</v>
      </c>
      <c r="L95">
        <v>0</v>
      </c>
      <c r="M95">
        <v>0</v>
      </c>
      <c r="N95">
        <v>1</v>
      </c>
      <c r="O95">
        <v>0</v>
      </c>
    </row>
    <row r="96" spans="1:15" x14ac:dyDescent="0.2">
      <c r="A96" s="1" t="str">
        <f>HYPERLINK("http://www.twitter.com/banuakdenizli/status/1596925426177552385", "1596925426177552385")</f>
        <v>1596925426177552385</v>
      </c>
      <c r="B96" t="s">
        <v>15</v>
      </c>
      <c r="C96" s="2">
        <v>44892.746122685188</v>
      </c>
      <c r="D96">
        <v>0</v>
      </c>
      <c r="E96">
        <v>0</v>
      </c>
      <c r="G96" t="s">
        <v>127</v>
      </c>
      <c r="H96" t="str">
        <f>HYPERLINK("http://pbs.twimg.com/media/FilrNQ8WQAAuXLR.jpg", "http://pbs.twimg.com/media/FilrNQ8WQAAuXLR.jpg")</f>
        <v>http://pbs.twimg.com/media/FilrNQ8WQAAuXLR.jpg</v>
      </c>
      <c r="I96" t="str">
        <f>HYPERLINK("http://pbs.twimg.com/media/FilrNQ7WACYO4rQ.jpg", "http://pbs.twimg.com/media/FilrNQ7WACYO4rQ.jpg")</f>
        <v>http://pbs.twimg.com/media/FilrNQ7WACYO4rQ.jpg</v>
      </c>
      <c r="L96">
        <v>0</v>
      </c>
      <c r="M96">
        <v>0</v>
      </c>
      <c r="N96">
        <v>1</v>
      </c>
      <c r="O96">
        <v>0</v>
      </c>
    </row>
    <row r="97" spans="1:15" x14ac:dyDescent="0.2">
      <c r="A97" s="1" t="str">
        <f>HYPERLINK("http://www.twitter.com/banuakdenizli/status/1596671526954094592", "1596671526954094592")</f>
        <v>1596671526954094592</v>
      </c>
      <c r="B97" t="s">
        <v>15</v>
      </c>
      <c r="C97" s="2">
        <v>44892.045497685183</v>
      </c>
      <c r="D97">
        <v>0</v>
      </c>
      <c r="E97">
        <v>635</v>
      </c>
      <c r="F97" t="s">
        <v>21</v>
      </c>
      <c r="G97" t="s">
        <v>128</v>
      </c>
      <c r="L97">
        <v>0.19839999999999999</v>
      </c>
      <c r="M97">
        <v>8.6999999999999994E-2</v>
      </c>
      <c r="N97">
        <v>0.79400000000000004</v>
      </c>
      <c r="O97">
        <v>0.11799999999999999</v>
      </c>
    </row>
    <row r="98" spans="1:15" x14ac:dyDescent="0.2">
      <c r="A98" s="1" t="str">
        <f>HYPERLINK("http://www.twitter.com/banuakdenizli/status/1596616177396387841", "1596616177396387841")</f>
        <v>1596616177396387841</v>
      </c>
      <c r="B98" t="s">
        <v>15</v>
      </c>
      <c r="C98" s="2">
        <v>44891.892766203702</v>
      </c>
      <c r="D98">
        <v>5</v>
      </c>
      <c r="E98">
        <v>3</v>
      </c>
      <c r="G98" t="s">
        <v>129</v>
      </c>
      <c r="L98">
        <v>0</v>
      </c>
      <c r="M98">
        <v>0</v>
      </c>
      <c r="N98">
        <v>1</v>
      </c>
      <c r="O98">
        <v>0</v>
      </c>
    </row>
    <row r="99" spans="1:15" x14ac:dyDescent="0.2">
      <c r="A99" s="1" t="str">
        <f>HYPERLINK("http://www.twitter.com/banuakdenizli/status/1596587118108807168", "1596587118108807168")</f>
        <v>1596587118108807168</v>
      </c>
      <c r="B99" t="s">
        <v>15</v>
      </c>
      <c r="C99" s="2">
        <v>44891.812569444453</v>
      </c>
      <c r="D99">
        <v>0</v>
      </c>
      <c r="E99">
        <v>115</v>
      </c>
      <c r="F99" t="s">
        <v>21</v>
      </c>
      <c r="G99" t="s">
        <v>130</v>
      </c>
      <c r="H99" t="str">
        <f>HYPERLINK("https://video.twimg.com/ext_tw_video/1596585711607717888/pu/vid/848x480/GNTSpYID_PIjJBWO.mp4?tag=12", "https://video.twimg.com/ext_tw_video/1596585711607717888/pu/vid/848x480/GNTSpYID_PIjJBWO.mp4?tag=12")</f>
        <v>https://video.twimg.com/ext_tw_video/1596585711607717888/pu/vid/848x480/GNTSpYID_PIjJBWO.mp4?tag=12</v>
      </c>
      <c r="L99">
        <v>0</v>
      </c>
      <c r="M99">
        <v>0</v>
      </c>
      <c r="N99">
        <v>1</v>
      </c>
      <c r="O99">
        <v>0</v>
      </c>
    </row>
    <row r="100" spans="1:15" x14ac:dyDescent="0.2">
      <c r="A100" s="1" t="str">
        <f>HYPERLINK("http://www.twitter.com/banuakdenizli/status/1596581992556277760", "1596581992556277760")</f>
        <v>1596581992556277760</v>
      </c>
      <c r="B100" t="s">
        <v>15</v>
      </c>
      <c r="C100" s="2">
        <v>44891.798425925917</v>
      </c>
      <c r="D100">
        <v>0</v>
      </c>
      <c r="E100">
        <v>1126</v>
      </c>
      <c r="F100" t="s">
        <v>131</v>
      </c>
      <c r="G100" t="s">
        <v>132</v>
      </c>
      <c r="L100">
        <v>0</v>
      </c>
      <c r="M100">
        <v>0</v>
      </c>
      <c r="N100">
        <v>1</v>
      </c>
      <c r="O100">
        <v>0</v>
      </c>
    </row>
    <row r="101" spans="1:15" x14ac:dyDescent="0.2">
      <c r="A101" s="1" t="str">
        <f>HYPERLINK("http://www.twitter.com/banuakdenizli/status/1596581652628910080", "1596581652628910080")</f>
        <v>1596581652628910080</v>
      </c>
      <c r="B101" t="s">
        <v>15</v>
      </c>
      <c r="C101" s="2">
        <v>44891.797488425917</v>
      </c>
      <c r="D101">
        <v>0</v>
      </c>
      <c r="E101">
        <v>7</v>
      </c>
      <c r="F101" t="s">
        <v>18</v>
      </c>
      <c r="G101" t="s">
        <v>133</v>
      </c>
      <c r="H101" t="str">
        <f>HYPERLINK("http://pbs.twimg.com/media/FigyQKAUoAE55v7.jpg", "http://pbs.twimg.com/media/FigyQKAUoAE55v7.jpg")</f>
        <v>http://pbs.twimg.com/media/FigyQKAUoAE55v7.jpg</v>
      </c>
      <c r="L101">
        <v>0</v>
      </c>
      <c r="M101">
        <v>0</v>
      </c>
      <c r="N101">
        <v>1</v>
      </c>
      <c r="O101">
        <v>0</v>
      </c>
    </row>
    <row r="102" spans="1:15" x14ac:dyDescent="0.2">
      <c r="A102" s="1" t="str">
        <f>HYPERLINK("http://www.twitter.com/banuakdenizli/status/1596561992671977472", "1596561992671977472")</f>
        <v>1596561992671977472</v>
      </c>
      <c r="B102" t="s">
        <v>15</v>
      </c>
      <c r="C102" s="2">
        <v>44891.74324074074</v>
      </c>
      <c r="D102">
        <v>0</v>
      </c>
      <c r="E102">
        <v>8</v>
      </c>
      <c r="F102" t="s">
        <v>18</v>
      </c>
      <c r="G102" t="s">
        <v>134</v>
      </c>
      <c r="H102" t="str">
        <f>HYPERLINK("http://pbs.twimg.com/media/Figgml9XwAAgolk.jpg", "http://pbs.twimg.com/media/Figgml9XwAAgolk.jpg")</f>
        <v>http://pbs.twimg.com/media/Figgml9XwAAgolk.jpg</v>
      </c>
      <c r="L102">
        <v>0</v>
      </c>
      <c r="M102">
        <v>0</v>
      </c>
      <c r="N102">
        <v>1</v>
      </c>
      <c r="O102">
        <v>0</v>
      </c>
    </row>
    <row r="103" spans="1:15" x14ac:dyDescent="0.2">
      <c r="A103" s="1" t="str">
        <f>HYPERLINK("http://www.twitter.com/banuakdenizli/status/1596557516087111682", "1596557516087111682")</f>
        <v>1596557516087111682</v>
      </c>
      <c r="B103" t="s">
        <v>15</v>
      </c>
      <c r="C103" s="2">
        <v>44891.730891203697</v>
      </c>
      <c r="D103">
        <v>0</v>
      </c>
      <c r="E103">
        <v>5</v>
      </c>
      <c r="F103" t="s">
        <v>16</v>
      </c>
      <c r="G103" t="s">
        <v>135</v>
      </c>
      <c r="H103" t="str">
        <f>HYPERLINK("http://pbs.twimg.com/media/FigchQcUUAM5Le7.jpg", "http://pbs.twimg.com/media/FigchQcUUAM5Le7.jpg")</f>
        <v>http://pbs.twimg.com/media/FigchQcUUAM5Le7.jpg</v>
      </c>
      <c r="I103" t="str">
        <f>HYPERLINK("http://pbs.twimg.com/media/FigchQaUcAEELqN.jpg", "http://pbs.twimg.com/media/FigchQaUcAEELqN.jpg")</f>
        <v>http://pbs.twimg.com/media/FigchQaUcAEELqN.jpg</v>
      </c>
      <c r="L103">
        <v>0</v>
      </c>
      <c r="M103">
        <v>0</v>
      </c>
      <c r="N103">
        <v>1</v>
      </c>
      <c r="O103">
        <v>0</v>
      </c>
    </row>
    <row r="104" spans="1:15" x14ac:dyDescent="0.2">
      <c r="A104" s="1" t="str">
        <f>HYPERLINK("http://www.twitter.com/banuakdenizli/status/1596550467710251009", "1596550467710251009")</f>
        <v>1596550467710251009</v>
      </c>
      <c r="B104" t="s">
        <v>15</v>
      </c>
      <c r="C104" s="2">
        <v>44891.711435185192</v>
      </c>
      <c r="D104">
        <v>0</v>
      </c>
      <c r="E104">
        <v>2</v>
      </c>
      <c r="F104" t="s">
        <v>20</v>
      </c>
      <c r="G104" t="s">
        <v>136</v>
      </c>
      <c r="H104" t="str">
        <f>HYPERLINK("http://pbs.twimg.com/media/FiWDj9vXkAAmlVs.jpg", "http://pbs.twimg.com/media/FiWDj9vXkAAmlVs.jpg")</f>
        <v>http://pbs.twimg.com/media/FiWDj9vXkAAmlVs.jpg</v>
      </c>
      <c r="L104">
        <v>0</v>
      </c>
      <c r="M104">
        <v>0</v>
      </c>
      <c r="N104">
        <v>1</v>
      </c>
      <c r="O104">
        <v>0</v>
      </c>
    </row>
    <row r="105" spans="1:15" x14ac:dyDescent="0.2">
      <c r="A105" s="1" t="str">
        <f>HYPERLINK("http://www.twitter.com/banuakdenizli/status/1596486323048656897", "1596486323048656897")</f>
        <v>1596486323048656897</v>
      </c>
      <c r="B105" t="s">
        <v>15</v>
      </c>
      <c r="C105" s="2">
        <v>44891.534432870372</v>
      </c>
      <c r="D105">
        <v>4</v>
      </c>
      <c r="E105">
        <v>2</v>
      </c>
      <c r="G105" t="s">
        <v>137</v>
      </c>
      <c r="H105" t="str">
        <f>HYPERLINK("http://pbs.twimg.com/media/Fifb2EzWIAsxIdQ.jpg", "http://pbs.twimg.com/media/Fifb2EzWIAsxIdQ.jpg")</f>
        <v>http://pbs.twimg.com/media/Fifb2EzWIAsxIdQ.jpg</v>
      </c>
      <c r="I105" t="str">
        <f>HYPERLINK("http://pbs.twimg.com/media/Fifb2E3XoAAzbh0.jpg", "http://pbs.twimg.com/media/Fifb2E3XoAAzbh0.jpg")</f>
        <v>http://pbs.twimg.com/media/Fifb2E3XoAAzbh0.jpg</v>
      </c>
      <c r="L105">
        <v>0.25</v>
      </c>
      <c r="M105">
        <v>0</v>
      </c>
      <c r="N105">
        <v>0.92100000000000004</v>
      </c>
      <c r="O105">
        <v>7.9000000000000001E-2</v>
      </c>
    </row>
    <row r="106" spans="1:15" x14ac:dyDescent="0.2">
      <c r="A106" s="1" t="str">
        <f>HYPERLINK("http://www.twitter.com/banuakdenizli/status/1596480801310658560", "1596480801310658560")</f>
        <v>1596480801310658560</v>
      </c>
      <c r="B106" t="s">
        <v>15</v>
      </c>
      <c r="C106" s="2">
        <v>44891.519189814811</v>
      </c>
      <c r="D106">
        <v>0</v>
      </c>
      <c r="E106">
        <v>10</v>
      </c>
      <c r="F106" t="s">
        <v>51</v>
      </c>
      <c r="G106" t="s">
        <v>138</v>
      </c>
      <c r="H106" t="str">
        <f>HYPERLINK("https://video.twimg.com/ext_tw_video/1596426665948844032/pu/vid/352x640/d74WexDEj_MIQUOH.mp4?tag=12", "https://video.twimg.com/ext_tw_video/1596426665948844032/pu/vid/352x640/d74WexDEj_MIQUOH.mp4?tag=12")</f>
        <v>https://video.twimg.com/ext_tw_video/1596426665948844032/pu/vid/352x640/d74WexDEj_MIQUOH.mp4?tag=12</v>
      </c>
      <c r="L106">
        <v>0</v>
      </c>
      <c r="M106">
        <v>0</v>
      </c>
      <c r="N106">
        <v>1</v>
      </c>
      <c r="O106">
        <v>0</v>
      </c>
    </row>
    <row r="107" spans="1:15" x14ac:dyDescent="0.2">
      <c r="A107" s="1" t="str">
        <f>HYPERLINK("http://www.twitter.com/banuakdenizli/status/1596444811502002176", "1596444811502002176")</f>
        <v>1596444811502002176</v>
      </c>
      <c r="B107" t="s">
        <v>15</v>
      </c>
      <c r="C107" s="2">
        <v>44891.41988425926</v>
      </c>
      <c r="D107">
        <v>0</v>
      </c>
      <c r="E107">
        <v>11</v>
      </c>
      <c r="F107" t="s">
        <v>51</v>
      </c>
      <c r="G107" t="s">
        <v>139</v>
      </c>
      <c r="H107" t="str">
        <f>HYPERLINK("https://video.twimg.com/ext_tw_video/1596444554332438528/pu/vid/960x540/xu3mCBgdQle80fw7.mp4?tag=12", "https://video.twimg.com/ext_tw_video/1596444554332438528/pu/vid/960x540/xu3mCBgdQle80fw7.mp4?tag=12")</f>
        <v>https://video.twimg.com/ext_tw_video/1596444554332438528/pu/vid/960x540/xu3mCBgdQle80fw7.mp4?tag=12</v>
      </c>
      <c r="L107">
        <v>0</v>
      </c>
      <c r="M107">
        <v>0</v>
      </c>
      <c r="N107">
        <v>1</v>
      </c>
      <c r="O107">
        <v>0</v>
      </c>
    </row>
    <row r="108" spans="1:15" x14ac:dyDescent="0.2">
      <c r="A108" s="1" t="str">
        <f>HYPERLINK("http://www.twitter.com/banuakdenizli/status/1596444056313208832", "1596444056313208832")</f>
        <v>1596444056313208832</v>
      </c>
      <c r="B108" t="s">
        <v>15</v>
      </c>
      <c r="C108" s="2">
        <v>44891.417800925927</v>
      </c>
      <c r="D108">
        <v>0</v>
      </c>
      <c r="E108">
        <v>7</v>
      </c>
      <c r="F108" t="s">
        <v>24</v>
      </c>
      <c r="G108" t="s">
        <v>140</v>
      </c>
      <c r="L108">
        <v>0.40189999999999998</v>
      </c>
      <c r="M108">
        <v>0</v>
      </c>
      <c r="N108">
        <v>0.88600000000000001</v>
      </c>
      <c r="O108">
        <v>0.114</v>
      </c>
    </row>
    <row r="109" spans="1:15" x14ac:dyDescent="0.2">
      <c r="A109" s="1" t="str">
        <f>HYPERLINK("http://www.twitter.com/banuakdenizli/status/1596419955784056832", "1596419955784056832")</f>
        <v>1596419955784056832</v>
      </c>
      <c r="B109" t="s">
        <v>15</v>
      </c>
      <c r="C109" s="2">
        <v>44891.3512962963</v>
      </c>
      <c r="D109">
        <v>0</v>
      </c>
      <c r="E109">
        <v>452</v>
      </c>
      <c r="F109" t="s">
        <v>35</v>
      </c>
      <c r="G109" t="s">
        <v>141</v>
      </c>
      <c r="H109" t="str">
        <f>HYPERLINK("https://video.twimg.com/ext_tw_video/1595101784002990080/pu/vid/720x1280/aMtjcsNWyoKhjila.mp4?tag=12", "https://video.twimg.com/ext_tw_video/1595101784002990080/pu/vid/720x1280/aMtjcsNWyoKhjila.mp4?tag=12")</f>
        <v>https://video.twimg.com/ext_tw_video/1595101784002990080/pu/vid/720x1280/aMtjcsNWyoKhjila.mp4?tag=12</v>
      </c>
      <c r="L109">
        <v>0.84970000000000001</v>
      </c>
      <c r="M109">
        <v>5.7000000000000002E-2</v>
      </c>
      <c r="N109">
        <v>0.70499999999999996</v>
      </c>
      <c r="O109">
        <v>0.23799999999999999</v>
      </c>
    </row>
    <row r="110" spans="1:15" x14ac:dyDescent="0.2">
      <c r="A110" s="1" t="str">
        <f>HYPERLINK("http://www.twitter.com/banuakdenizli/status/1596252262686334976", "1596252262686334976")</f>
        <v>1596252262686334976</v>
      </c>
      <c r="B110" t="s">
        <v>15</v>
      </c>
      <c r="C110" s="2">
        <v>44890.888553240737</v>
      </c>
      <c r="D110">
        <v>0</v>
      </c>
      <c r="E110">
        <v>69</v>
      </c>
      <c r="F110" t="s">
        <v>17</v>
      </c>
      <c r="G110" t="s">
        <v>142</v>
      </c>
      <c r="H110" t="str">
        <f>HYPERLINK("https://video.twimg.com/ext_tw_video/1596238654153936906/pu/vid/1280x720/RJjrCaEnD8oB7jTr.mp4?tag=12", "https://video.twimg.com/ext_tw_video/1596238654153936906/pu/vid/1280x720/RJjrCaEnD8oB7jTr.mp4?tag=12")</f>
        <v>https://video.twimg.com/ext_tw_video/1596238654153936906/pu/vid/1280x720/RJjrCaEnD8oB7jTr.mp4?tag=12</v>
      </c>
      <c r="L110">
        <v>0</v>
      </c>
      <c r="M110">
        <v>0</v>
      </c>
      <c r="N110">
        <v>1</v>
      </c>
      <c r="O110">
        <v>0</v>
      </c>
    </row>
    <row r="111" spans="1:15" x14ac:dyDescent="0.2">
      <c r="A111" s="1" t="str">
        <f>HYPERLINK("http://www.twitter.com/banuakdenizli/status/1596213494482771968", "1596213494482771968")</f>
        <v>1596213494482771968</v>
      </c>
      <c r="B111" t="s">
        <v>15</v>
      </c>
      <c r="C111" s="2">
        <v>44890.7815625</v>
      </c>
      <c r="D111">
        <v>6</v>
      </c>
      <c r="E111">
        <v>1</v>
      </c>
      <c r="G111" t="s">
        <v>143</v>
      </c>
      <c r="H111" t="str">
        <f>HYPERLINK("http://pbs.twimg.com/media/FibjrfjWAAElu0g.jpg", "http://pbs.twimg.com/media/FibjrfjWAAElu0g.jpg")</f>
        <v>http://pbs.twimg.com/media/FibjrfjWAAElu0g.jpg</v>
      </c>
      <c r="L111">
        <v>0</v>
      </c>
      <c r="M111">
        <v>0</v>
      </c>
      <c r="N111">
        <v>1</v>
      </c>
      <c r="O111">
        <v>0</v>
      </c>
    </row>
    <row r="112" spans="1:15" x14ac:dyDescent="0.2">
      <c r="A112" s="1" t="str">
        <f>HYPERLINK("http://www.twitter.com/banuakdenizli/status/1596206168002682885", "1596206168002682885")</f>
        <v>1596206168002682885</v>
      </c>
      <c r="B112" t="s">
        <v>15</v>
      </c>
      <c r="C112" s="2">
        <v>44890.761354166672</v>
      </c>
      <c r="D112">
        <v>0</v>
      </c>
      <c r="E112">
        <v>79</v>
      </c>
      <c r="F112" t="s">
        <v>17</v>
      </c>
      <c r="G112" t="s">
        <v>144</v>
      </c>
      <c r="H112" t="str">
        <f>HYPERLINK("https://video.twimg.com/ext_tw_video/1596201849148809220/pu/vid/1280x720/zCuEtuILe5Q7vO59.mp4?tag=12", "https://video.twimg.com/ext_tw_video/1596201849148809220/pu/vid/1280x720/zCuEtuILe5Q7vO59.mp4?tag=12")</f>
        <v>https://video.twimg.com/ext_tw_video/1596201849148809220/pu/vid/1280x720/zCuEtuILe5Q7vO59.mp4?tag=12</v>
      </c>
      <c r="L112">
        <v>0</v>
      </c>
      <c r="M112">
        <v>0</v>
      </c>
      <c r="N112">
        <v>1</v>
      </c>
      <c r="O112">
        <v>0</v>
      </c>
    </row>
    <row r="113" spans="1:15" x14ac:dyDescent="0.2">
      <c r="A113" s="1" t="str">
        <f>HYPERLINK("http://www.twitter.com/banuakdenizli/status/1596203627558977536", "1596203627558977536")</f>
        <v>1596203627558977536</v>
      </c>
      <c r="B113" t="s">
        <v>15</v>
      </c>
      <c r="C113" s="2">
        <v>44890.754340277781</v>
      </c>
      <c r="D113">
        <v>0</v>
      </c>
      <c r="E113">
        <v>0</v>
      </c>
      <c r="G113" t="s">
        <v>145</v>
      </c>
      <c r="L113">
        <v>0</v>
      </c>
      <c r="M113">
        <v>0</v>
      </c>
      <c r="N113">
        <v>1</v>
      </c>
      <c r="O113">
        <v>0</v>
      </c>
    </row>
    <row r="114" spans="1:15" x14ac:dyDescent="0.2">
      <c r="A114" s="1" t="str">
        <f>HYPERLINK("http://www.twitter.com/banuakdenizli/status/1596203197353193472", "1596203197353193472")</f>
        <v>1596203197353193472</v>
      </c>
      <c r="B114" t="s">
        <v>15</v>
      </c>
      <c r="C114" s="2">
        <v>44890.753148148149</v>
      </c>
      <c r="D114">
        <v>0</v>
      </c>
      <c r="E114">
        <v>16</v>
      </c>
      <c r="F114" t="s">
        <v>24</v>
      </c>
      <c r="G114" t="s">
        <v>146</v>
      </c>
      <c r="H114" t="str">
        <f>HYPERLINK("http://pbs.twimg.com/media/FibVhdbaYAAmGdM.jpg", "http://pbs.twimg.com/media/FibVhdbaYAAmGdM.jpg")</f>
        <v>http://pbs.twimg.com/media/FibVhdbaYAAmGdM.jpg</v>
      </c>
      <c r="L114">
        <v>0.34</v>
      </c>
      <c r="M114">
        <v>0</v>
      </c>
      <c r="N114">
        <v>0.91500000000000004</v>
      </c>
      <c r="O114">
        <v>8.5000000000000006E-2</v>
      </c>
    </row>
    <row r="115" spans="1:15" x14ac:dyDescent="0.2">
      <c r="A115" s="1" t="str">
        <f>HYPERLINK("http://www.twitter.com/banuakdenizli/status/1596173822692327424", "1596173822692327424")</f>
        <v>1596173822692327424</v>
      </c>
      <c r="B115" t="s">
        <v>15</v>
      </c>
      <c r="C115" s="2">
        <v>44890.672094907408</v>
      </c>
      <c r="D115">
        <v>0</v>
      </c>
      <c r="E115">
        <v>6</v>
      </c>
      <c r="F115" t="s">
        <v>18</v>
      </c>
      <c r="G115" t="s">
        <v>147</v>
      </c>
      <c r="H115" t="str">
        <f>HYPERLINK("http://pbs.twimg.com/media/FiW_LemWQAAFEVM.jpg", "http://pbs.twimg.com/media/FiW_LemWQAAFEVM.jpg")</f>
        <v>http://pbs.twimg.com/media/FiW_LemWQAAFEVM.jpg</v>
      </c>
      <c r="L115">
        <v>0.34</v>
      </c>
      <c r="M115">
        <v>0</v>
      </c>
      <c r="N115">
        <v>0.94199999999999995</v>
      </c>
      <c r="O115">
        <v>5.8000000000000003E-2</v>
      </c>
    </row>
    <row r="116" spans="1:15" x14ac:dyDescent="0.2">
      <c r="A116" s="1" t="str">
        <f>HYPERLINK("http://www.twitter.com/banuakdenizli/status/1596131544187473921", "1596131544187473921")</f>
        <v>1596131544187473921</v>
      </c>
      <c r="B116" t="s">
        <v>15</v>
      </c>
      <c r="C116" s="2">
        <v>44890.555428240739</v>
      </c>
      <c r="D116">
        <v>0</v>
      </c>
      <c r="E116">
        <v>3</v>
      </c>
      <c r="F116" t="s">
        <v>51</v>
      </c>
      <c r="G116" t="s">
        <v>148</v>
      </c>
      <c r="H116" t="str">
        <f>HYPERLINK("http://pbs.twimg.com/media/FiaYj8TX0AAAjAv.jpg", "http://pbs.twimg.com/media/FiaYj8TX0AAAjAv.jpg")</f>
        <v>http://pbs.twimg.com/media/FiaYj8TX0AAAjAv.jpg</v>
      </c>
      <c r="L116">
        <v>0</v>
      </c>
      <c r="M116">
        <v>0</v>
      </c>
      <c r="N116">
        <v>1</v>
      </c>
      <c r="O116">
        <v>0</v>
      </c>
    </row>
    <row r="117" spans="1:15" x14ac:dyDescent="0.2">
      <c r="A117" s="1" t="str">
        <f>HYPERLINK("http://www.twitter.com/banuakdenizli/status/1596131486981558280", "1596131486981558280")</f>
        <v>1596131486981558280</v>
      </c>
      <c r="B117" t="s">
        <v>15</v>
      </c>
      <c r="C117" s="2">
        <v>44890.555266203701</v>
      </c>
      <c r="D117">
        <v>0</v>
      </c>
      <c r="E117">
        <v>9</v>
      </c>
      <c r="F117" t="s">
        <v>51</v>
      </c>
      <c r="G117" t="s">
        <v>149</v>
      </c>
      <c r="H117" t="str">
        <f>HYPERLINK("http://pbs.twimg.com/media/FiaYi5ZXkAA5Jwr.jpg", "http://pbs.twimg.com/media/FiaYi5ZXkAA5Jwr.jpg")</f>
        <v>http://pbs.twimg.com/media/FiaYi5ZXkAA5Jwr.jpg</v>
      </c>
      <c r="I117" t="str">
        <f>HYPERLINK("http://pbs.twimg.com/media/FiaYi5WWQAAcEyc.jpg", "http://pbs.twimg.com/media/FiaYi5WWQAAcEyc.jpg")</f>
        <v>http://pbs.twimg.com/media/FiaYi5WWQAAcEyc.jpg</v>
      </c>
      <c r="J117" t="str">
        <f>HYPERLINK("http://pbs.twimg.com/media/FiaYi5WX0AA8Mbh.jpg", "http://pbs.twimg.com/media/FiaYi5WX0AA8Mbh.jpg")</f>
        <v>http://pbs.twimg.com/media/FiaYi5WX0AA8Mbh.jpg</v>
      </c>
      <c r="L117">
        <v>0</v>
      </c>
      <c r="M117">
        <v>0</v>
      </c>
      <c r="N117">
        <v>1</v>
      </c>
      <c r="O117">
        <v>0</v>
      </c>
    </row>
    <row r="118" spans="1:15" x14ac:dyDescent="0.2">
      <c r="A118" s="1" t="str">
        <f>HYPERLINK("http://www.twitter.com/banuakdenizli/status/1596074574856290306", "1596074574856290306")</f>
        <v>1596074574856290306</v>
      </c>
      <c r="B118" t="s">
        <v>15</v>
      </c>
      <c r="C118" s="2">
        <v>44890.398217592592</v>
      </c>
      <c r="D118">
        <v>0</v>
      </c>
      <c r="E118">
        <v>51</v>
      </c>
      <c r="F118" t="s">
        <v>24</v>
      </c>
      <c r="G118" t="s">
        <v>150</v>
      </c>
      <c r="H118" t="str">
        <f>HYPERLINK("http://pbs.twimg.com/media/FiZZxciWAAAfvM0.jpg", "http://pbs.twimg.com/media/FiZZxciWAAAfvM0.jpg")</f>
        <v>http://pbs.twimg.com/media/FiZZxciWAAAfvM0.jpg</v>
      </c>
      <c r="I118" t="str">
        <f>HYPERLINK("http://pbs.twimg.com/media/FiZa4hgWAAYizO_.jpg", "http://pbs.twimg.com/media/FiZa4hgWAAYizO_.jpg")</f>
        <v>http://pbs.twimg.com/media/FiZa4hgWAAYizO_.jpg</v>
      </c>
      <c r="L118">
        <v>0</v>
      </c>
      <c r="M118">
        <v>0</v>
      </c>
      <c r="N118">
        <v>1</v>
      </c>
      <c r="O118">
        <v>0</v>
      </c>
    </row>
    <row r="119" spans="1:15" x14ac:dyDescent="0.2">
      <c r="A119" s="1" t="str">
        <f>HYPERLINK("http://www.twitter.com/banuakdenizli/status/1595895767696285698", "1595895767696285698")</f>
        <v>1595895767696285698</v>
      </c>
      <c r="B119" t="s">
        <v>15</v>
      </c>
      <c r="C119" s="2">
        <v>44889.904803240737</v>
      </c>
      <c r="D119">
        <v>0</v>
      </c>
      <c r="E119">
        <v>24</v>
      </c>
      <c r="F119" t="s">
        <v>17</v>
      </c>
      <c r="G119" t="s">
        <v>151</v>
      </c>
      <c r="H119" t="str">
        <f>HYPERLINK("https://video.twimg.com/ext_tw_video/1595839577633296388/pu/vid/464x848/wLbonFVGmEU4nQ91.mp4?tag=12", "https://video.twimg.com/ext_tw_video/1595839577633296388/pu/vid/464x848/wLbonFVGmEU4nQ91.mp4?tag=12")</f>
        <v>https://video.twimg.com/ext_tw_video/1595839577633296388/pu/vid/464x848/wLbonFVGmEU4nQ91.mp4?tag=12</v>
      </c>
      <c r="L119">
        <v>0</v>
      </c>
      <c r="M119">
        <v>0</v>
      </c>
      <c r="N119">
        <v>1</v>
      </c>
      <c r="O119">
        <v>0</v>
      </c>
    </row>
    <row r="120" spans="1:15" x14ac:dyDescent="0.2">
      <c r="A120" s="1" t="str">
        <f>HYPERLINK("http://www.twitter.com/banuakdenizli/status/1595824303370641408", "1595824303370641408")</f>
        <v>1595824303370641408</v>
      </c>
      <c r="B120" t="s">
        <v>15</v>
      </c>
      <c r="C120" s="2">
        <v>44889.707604166673</v>
      </c>
      <c r="D120">
        <v>0</v>
      </c>
      <c r="E120">
        <v>4</v>
      </c>
      <c r="F120" t="s">
        <v>51</v>
      </c>
      <c r="G120" t="s">
        <v>152</v>
      </c>
      <c r="H120" t="str">
        <f>HYPERLINK("http://pbs.twimg.com/media/FiWBqX2WQAAsO3K.jpg", "http://pbs.twimg.com/media/FiWBqX2WQAAsO3K.jpg")</f>
        <v>http://pbs.twimg.com/media/FiWBqX2WQAAsO3K.jpg</v>
      </c>
      <c r="I120" t="str">
        <f>HYPERLINK("http://pbs.twimg.com/media/FiWBqX1XwAAp6k9.jpg", "http://pbs.twimg.com/media/FiWBqX1XwAAp6k9.jpg")</f>
        <v>http://pbs.twimg.com/media/FiWBqX1XwAAp6k9.jpg</v>
      </c>
      <c r="J120" t="str">
        <f>HYPERLINK("http://pbs.twimg.com/media/FiWBqX0XoAk_Hoi.jpg", "http://pbs.twimg.com/media/FiWBqX0XoAk_Hoi.jpg")</f>
        <v>http://pbs.twimg.com/media/FiWBqX0XoAk_Hoi.jpg</v>
      </c>
      <c r="L120">
        <v>0</v>
      </c>
      <c r="M120">
        <v>0</v>
      </c>
      <c r="N120">
        <v>1</v>
      </c>
      <c r="O120">
        <v>0</v>
      </c>
    </row>
    <row r="121" spans="1:15" x14ac:dyDescent="0.2">
      <c r="A121" s="1" t="str">
        <f>HYPERLINK("http://www.twitter.com/banuakdenizli/status/1595804259710341127", "1595804259710341127")</f>
        <v>1595804259710341127</v>
      </c>
      <c r="B121" t="s">
        <v>15</v>
      </c>
      <c r="C121" s="2">
        <v>44889.652291666673</v>
      </c>
      <c r="D121">
        <v>0</v>
      </c>
      <c r="E121">
        <v>20</v>
      </c>
      <c r="F121" t="s">
        <v>51</v>
      </c>
      <c r="G121" t="s">
        <v>153</v>
      </c>
      <c r="H121" t="str">
        <f>HYPERLINK("http://pbs.twimg.com/media/FiVmiUJXoAAatI-.jpg", "http://pbs.twimg.com/media/FiVmiUJXoAAatI-.jpg")</f>
        <v>http://pbs.twimg.com/media/FiVmiUJXoAAatI-.jpg</v>
      </c>
      <c r="I121" t="str">
        <f>HYPERLINK("http://pbs.twimg.com/media/FiVmj_tWAAQ6xbw.jpg", "http://pbs.twimg.com/media/FiVmj_tWAAQ6xbw.jpg")</f>
        <v>http://pbs.twimg.com/media/FiVmj_tWAAQ6xbw.jpg</v>
      </c>
      <c r="J121" t="str">
        <f>HYPERLINK("http://pbs.twimg.com/media/FiVmlOuXEAM9P2g.jpg", "http://pbs.twimg.com/media/FiVmlOuXEAM9P2g.jpg")</f>
        <v>http://pbs.twimg.com/media/FiVmlOuXEAM9P2g.jpg</v>
      </c>
      <c r="K121" t="str">
        <f>HYPERLINK("http://pbs.twimg.com/media/FiVm4HiXkAA8jqc.jpg", "http://pbs.twimg.com/media/FiVm4HiXkAA8jqc.jpg")</f>
        <v>http://pbs.twimg.com/media/FiVm4HiXkAA8jqc.jpg</v>
      </c>
      <c r="L121">
        <v>0</v>
      </c>
      <c r="M121">
        <v>0</v>
      </c>
      <c r="N121">
        <v>1</v>
      </c>
      <c r="O121">
        <v>0</v>
      </c>
    </row>
    <row r="122" spans="1:15" x14ac:dyDescent="0.2">
      <c r="A122" s="1" t="str">
        <f>HYPERLINK("http://www.twitter.com/banuakdenizli/status/1595790175363366913", "1595790175363366913")</f>
        <v>1595790175363366913</v>
      </c>
      <c r="B122" t="s">
        <v>15</v>
      </c>
      <c r="C122" s="2">
        <v>44889.613425925927</v>
      </c>
      <c r="D122">
        <v>0</v>
      </c>
      <c r="E122">
        <v>21</v>
      </c>
      <c r="F122" t="s">
        <v>17</v>
      </c>
      <c r="G122" t="s">
        <v>154</v>
      </c>
      <c r="H122" t="str">
        <f>HYPERLINK("https://video.twimg.com/ext_tw_video/1595778648778412040/pu/vid/1280x720/eXAH1nRF-eOelHdc.mp4?tag=12", "https://video.twimg.com/ext_tw_video/1595778648778412040/pu/vid/1280x720/eXAH1nRF-eOelHdc.mp4?tag=12")</f>
        <v>https://video.twimg.com/ext_tw_video/1595778648778412040/pu/vid/1280x720/eXAH1nRF-eOelHdc.mp4?tag=12</v>
      </c>
      <c r="L122">
        <v>-0.29599999999999999</v>
      </c>
      <c r="M122">
        <v>5.8000000000000003E-2</v>
      </c>
      <c r="N122">
        <v>0.94199999999999995</v>
      </c>
      <c r="O122">
        <v>0</v>
      </c>
    </row>
    <row r="123" spans="1:15" x14ac:dyDescent="0.2">
      <c r="A123" s="1" t="str">
        <f>HYPERLINK("http://www.twitter.com/banuakdenizli/status/1595780802306080769", "1595780802306080769")</f>
        <v>1595780802306080769</v>
      </c>
      <c r="B123" t="s">
        <v>15</v>
      </c>
      <c r="C123" s="2">
        <v>44889.587569444448</v>
      </c>
      <c r="D123">
        <v>0</v>
      </c>
      <c r="E123">
        <v>28</v>
      </c>
      <c r="F123" t="s">
        <v>17</v>
      </c>
      <c r="G123" t="s">
        <v>155</v>
      </c>
      <c r="H123" t="str">
        <f>HYPERLINK("https://video.twimg.com/ext_tw_video/1595772563887734788/pu/vid/1280x720/WlLsjoCNfuzUu_x4.mp4?tag=12", "https://video.twimg.com/ext_tw_video/1595772563887734788/pu/vid/1280x720/WlLsjoCNfuzUu_x4.mp4?tag=12")</f>
        <v>https://video.twimg.com/ext_tw_video/1595772563887734788/pu/vid/1280x720/WlLsjoCNfuzUu_x4.mp4?tag=12</v>
      </c>
      <c r="L123">
        <v>0</v>
      </c>
      <c r="M123">
        <v>0</v>
      </c>
      <c r="N123">
        <v>1</v>
      </c>
      <c r="O123">
        <v>0</v>
      </c>
    </row>
    <row r="124" spans="1:15" x14ac:dyDescent="0.2">
      <c r="A124" s="1" t="str">
        <f>HYPERLINK("http://www.twitter.com/banuakdenizli/status/1595749496671051776", "1595749496671051776")</f>
        <v>1595749496671051776</v>
      </c>
      <c r="B124" t="s">
        <v>15</v>
      </c>
      <c r="C124" s="2">
        <v>44889.501180555562</v>
      </c>
      <c r="D124">
        <v>0</v>
      </c>
      <c r="E124">
        <v>2</v>
      </c>
      <c r="F124" t="s">
        <v>16</v>
      </c>
      <c r="G124" t="s">
        <v>156</v>
      </c>
      <c r="H124" t="str">
        <f>HYPERLINK("http://pbs.twimg.com/media/FiU9ppHXgAEuTmM.jpg", "http://pbs.twimg.com/media/FiU9ppHXgAEuTmM.jpg")</f>
        <v>http://pbs.twimg.com/media/FiU9ppHXgAEuTmM.jpg</v>
      </c>
      <c r="L124">
        <v>0</v>
      </c>
      <c r="M124">
        <v>0</v>
      </c>
      <c r="N124">
        <v>1</v>
      </c>
      <c r="O124">
        <v>0</v>
      </c>
    </row>
    <row r="125" spans="1:15" x14ac:dyDescent="0.2">
      <c r="A125" s="1" t="str">
        <f>HYPERLINK("http://www.twitter.com/banuakdenizli/status/1595747934271856641", "1595747934271856641")</f>
        <v>1595747934271856641</v>
      </c>
      <c r="B125" t="s">
        <v>15</v>
      </c>
      <c r="C125" s="2">
        <v>44889.496863425928</v>
      </c>
      <c r="D125">
        <v>0</v>
      </c>
      <c r="E125">
        <v>2</v>
      </c>
      <c r="F125" t="s">
        <v>16</v>
      </c>
      <c r="G125" t="s">
        <v>157</v>
      </c>
      <c r="H125" t="str">
        <f>HYPERLINK("http://pbs.twimg.com/media/FiU8OZpXkAMaTbW.jpg", "http://pbs.twimg.com/media/FiU8OZpXkAMaTbW.jpg")</f>
        <v>http://pbs.twimg.com/media/FiU8OZpXkAMaTbW.jpg</v>
      </c>
      <c r="L125">
        <v>0</v>
      </c>
      <c r="M125">
        <v>0</v>
      </c>
      <c r="N125">
        <v>1</v>
      </c>
      <c r="O125">
        <v>0</v>
      </c>
    </row>
    <row r="126" spans="1:15" x14ac:dyDescent="0.2">
      <c r="A126" s="1" t="str">
        <f>HYPERLINK("http://www.twitter.com/banuakdenizli/status/1595722504177336320", "1595722504177336320")</f>
        <v>1595722504177336320</v>
      </c>
      <c r="B126" t="s">
        <v>15</v>
      </c>
      <c r="C126" s="2">
        <v>44889.426689814813</v>
      </c>
      <c r="D126">
        <v>0</v>
      </c>
      <c r="E126">
        <v>13</v>
      </c>
      <c r="F126" t="s">
        <v>51</v>
      </c>
      <c r="G126" t="s">
        <v>158</v>
      </c>
      <c r="H126" t="str">
        <f>HYPERLINK("http://pbs.twimg.com/media/FiUjYE9X0AAwf_6.jpg", "http://pbs.twimg.com/media/FiUjYE9X0AAwf_6.jpg")</f>
        <v>http://pbs.twimg.com/media/FiUjYE9X0AAwf_6.jpg</v>
      </c>
      <c r="L126">
        <v>0</v>
      </c>
      <c r="M126">
        <v>0</v>
      </c>
      <c r="N126">
        <v>1</v>
      </c>
      <c r="O126">
        <v>0</v>
      </c>
    </row>
    <row r="127" spans="1:15" x14ac:dyDescent="0.2">
      <c r="A127" s="1" t="str">
        <f>HYPERLINK("http://www.twitter.com/banuakdenizli/status/1595709375678668801", "1595709375678668801")</f>
        <v>1595709375678668801</v>
      </c>
      <c r="B127" t="s">
        <v>15</v>
      </c>
      <c r="C127" s="2">
        <v>44889.390462962961</v>
      </c>
      <c r="D127">
        <v>13</v>
      </c>
      <c r="E127">
        <v>12</v>
      </c>
      <c r="G127" t="s">
        <v>159</v>
      </c>
      <c r="H127" t="str">
        <f>HYPERLINK("http://pbs.twimg.com/media/FiUR9YNWIAIqISX.jpg", "http://pbs.twimg.com/media/FiUR9YNWIAIqISX.jpg")</f>
        <v>http://pbs.twimg.com/media/FiUR9YNWIAIqISX.jpg</v>
      </c>
      <c r="L127">
        <v>0.1779</v>
      </c>
      <c r="M127">
        <v>0</v>
      </c>
      <c r="N127">
        <v>0.94099999999999995</v>
      </c>
      <c r="O127">
        <v>5.8999999999999997E-2</v>
      </c>
    </row>
    <row r="128" spans="1:15" x14ac:dyDescent="0.2">
      <c r="A128" s="1" t="str">
        <f>HYPERLINK("http://www.twitter.com/banuakdenizli/status/1595703858348654594", "1595703858348654594")</f>
        <v>1595703858348654594</v>
      </c>
      <c r="B128" t="s">
        <v>15</v>
      </c>
      <c r="C128" s="2">
        <v>44889.375243055547</v>
      </c>
      <c r="D128">
        <v>0</v>
      </c>
      <c r="E128">
        <v>6</v>
      </c>
      <c r="F128" t="s">
        <v>20</v>
      </c>
      <c r="G128" t="s">
        <v>160</v>
      </c>
      <c r="H128" t="str">
        <f>HYPERLINK("http://pbs.twimg.com/media/FhyRCvEXkAA2kHx.jpg", "http://pbs.twimg.com/media/FhyRCvEXkAA2kHx.jpg")</f>
        <v>http://pbs.twimg.com/media/FhyRCvEXkAA2kHx.jpg</v>
      </c>
      <c r="I128" t="str">
        <f>HYPERLINK("http://pbs.twimg.com/media/FhyRDwrXwAAk-Hd.jpg", "http://pbs.twimg.com/media/FhyRDwrXwAAk-Hd.jpg")</f>
        <v>http://pbs.twimg.com/media/FhyRDwrXwAAk-Hd.jpg</v>
      </c>
      <c r="L128">
        <v>0</v>
      </c>
      <c r="M128">
        <v>0</v>
      </c>
      <c r="N128">
        <v>1</v>
      </c>
      <c r="O128">
        <v>0</v>
      </c>
    </row>
    <row r="129" spans="1:15" x14ac:dyDescent="0.2">
      <c r="A129" s="1" t="str">
        <f>HYPERLINK("http://www.twitter.com/banuakdenizli/status/1595471305767370753", "1595471305767370753")</f>
        <v>1595471305767370753</v>
      </c>
      <c r="B129" t="s">
        <v>15</v>
      </c>
      <c r="C129" s="2">
        <v>44888.733518518522</v>
      </c>
      <c r="D129">
        <v>0</v>
      </c>
      <c r="E129">
        <v>17</v>
      </c>
      <c r="F129" t="s">
        <v>18</v>
      </c>
      <c r="G129" t="s">
        <v>161</v>
      </c>
      <c r="H129" t="str">
        <f>HYPERLINK("http://pbs.twimg.com/media/FiQ_b7jXwAgmxq_.jpg", "http://pbs.twimg.com/media/FiQ_b7jXwAgmxq_.jpg")</f>
        <v>http://pbs.twimg.com/media/FiQ_b7jXwAgmxq_.jpg</v>
      </c>
      <c r="I129" t="str">
        <f>HYPERLINK("http://pbs.twimg.com/media/FiQ_b7lWYAA6m8F.jpg", "http://pbs.twimg.com/media/FiQ_b7lWYAA6m8F.jpg")</f>
        <v>http://pbs.twimg.com/media/FiQ_b7lWYAA6m8F.jpg</v>
      </c>
      <c r="L129">
        <v>0</v>
      </c>
      <c r="M129">
        <v>0</v>
      </c>
      <c r="N129">
        <v>1</v>
      </c>
      <c r="O129">
        <v>0</v>
      </c>
    </row>
    <row r="130" spans="1:15" x14ac:dyDescent="0.2">
      <c r="A130" s="1" t="str">
        <f>HYPERLINK("http://www.twitter.com/banuakdenizli/status/1595468786227871745", "1595468786227871745")</f>
        <v>1595468786227871745</v>
      </c>
      <c r="B130" t="s">
        <v>15</v>
      </c>
      <c r="C130" s="2">
        <v>44888.7265625</v>
      </c>
      <c r="D130">
        <v>0</v>
      </c>
      <c r="E130">
        <v>2</v>
      </c>
      <c r="F130" t="s">
        <v>51</v>
      </c>
      <c r="G130" t="s">
        <v>162</v>
      </c>
      <c r="L130">
        <v>0.61240000000000006</v>
      </c>
      <c r="M130">
        <v>0</v>
      </c>
      <c r="N130">
        <v>0.91100000000000003</v>
      </c>
      <c r="O130">
        <v>8.8999999999999996E-2</v>
      </c>
    </row>
    <row r="131" spans="1:15" x14ac:dyDescent="0.2">
      <c r="A131" s="1" t="str">
        <f>HYPERLINK("http://www.twitter.com/banuakdenizli/status/1595417057386008577", "1595417057386008577")</f>
        <v>1595417057386008577</v>
      </c>
      <c r="B131" t="s">
        <v>15</v>
      </c>
      <c r="C131" s="2">
        <v>44888.583819444437</v>
      </c>
      <c r="D131">
        <v>0</v>
      </c>
      <c r="E131">
        <v>39</v>
      </c>
      <c r="F131" t="s">
        <v>17</v>
      </c>
      <c r="G131" t="s">
        <v>163</v>
      </c>
      <c r="H131" t="str">
        <f>HYPERLINK("https://video.twimg.com/ext_tw_video/1595416925747773443/pu/vid/480x848/iiaY-Saw7Rg4GkXM.mp4?tag=12", "https://video.twimg.com/ext_tw_video/1595416925747773443/pu/vid/480x848/iiaY-Saw7Rg4GkXM.mp4?tag=12")</f>
        <v>https://video.twimg.com/ext_tw_video/1595416925747773443/pu/vid/480x848/iiaY-Saw7Rg4GkXM.mp4?tag=12</v>
      </c>
      <c r="L131">
        <v>0</v>
      </c>
      <c r="M131">
        <v>0</v>
      </c>
      <c r="N131">
        <v>1</v>
      </c>
      <c r="O131">
        <v>0</v>
      </c>
    </row>
    <row r="132" spans="1:15" x14ac:dyDescent="0.2">
      <c r="A132" s="1" t="str">
        <f>HYPERLINK("http://www.twitter.com/banuakdenizli/status/1595388703110832132", "1595388703110832132")</f>
        <v>1595388703110832132</v>
      </c>
      <c r="B132" t="s">
        <v>15</v>
      </c>
      <c r="C132" s="2">
        <v>44888.505578703713</v>
      </c>
      <c r="D132">
        <v>0</v>
      </c>
      <c r="E132">
        <v>59</v>
      </c>
      <c r="F132" t="s">
        <v>131</v>
      </c>
      <c r="G132" t="s">
        <v>164</v>
      </c>
      <c r="H132" t="str">
        <f>HYPERLINK("http://pbs.twimg.com/media/FiMeCe7WAAkAoWM.jpg", "http://pbs.twimg.com/media/FiMeCe7WAAkAoWM.jpg")</f>
        <v>http://pbs.twimg.com/media/FiMeCe7WAAkAoWM.jpg</v>
      </c>
      <c r="L132">
        <v>0</v>
      </c>
      <c r="M132">
        <v>0</v>
      </c>
      <c r="N132">
        <v>1</v>
      </c>
      <c r="O132">
        <v>0</v>
      </c>
    </row>
    <row r="133" spans="1:15" x14ac:dyDescent="0.2">
      <c r="A133" s="1" t="str">
        <f>HYPERLINK("http://www.twitter.com/banuakdenizli/status/1595367875711229953", "1595367875711229953")</f>
        <v>1595367875711229953</v>
      </c>
      <c r="B133" t="s">
        <v>15</v>
      </c>
      <c r="C133" s="2">
        <v>44888.448101851849</v>
      </c>
      <c r="D133">
        <v>0</v>
      </c>
      <c r="E133">
        <v>6</v>
      </c>
      <c r="F133" t="s">
        <v>24</v>
      </c>
      <c r="G133" t="s">
        <v>165</v>
      </c>
      <c r="H133" t="str">
        <f>HYPERLINK("http://pbs.twimg.com/media/FiPSRn5WQAIX3_B.jpg", "http://pbs.twimg.com/media/FiPSRn5WQAIX3_B.jpg")</f>
        <v>http://pbs.twimg.com/media/FiPSRn5WQAIX3_B.jpg</v>
      </c>
      <c r="L133">
        <v>0</v>
      </c>
      <c r="M133">
        <v>0</v>
      </c>
      <c r="N133">
        <v>1</v>
      </c>
      <c r="O133">
        <v>0</v>
      </c>
    </row>
    <row r="134" spans="1:15" x14ac:dyDescent="0.2">
      <c r="A134" s="1" t="str">
        <f>HYPERLINK("http://www.twitter.com/banuakdenizli/status/1595341541941428226", "1595341541941428226")</f>
        <v>1595341541941428226</v>
      </c>
      <c r="B134" t="s">
        <v>15</v>
      </c>
      <c r="C134" s="2">
        <v>44888.375439814823</v>
      </c>
      <c r="D134">
        <v>0</v>
      </c>
      <c r="E134">
        <v>15</v>
      </c>
      <c r="F134" t="s">
        <v>20</v>
      </c>
      <c r="G134" t="s">
        <v>166</v>
      </c>
      <c r="H134" t="str">
        <f>HYPERLINK("http://pbs.twimg.com/media/FhyLM93XoAIG0_L.jpg", "http://pbs.twimg.com/media/FhyLM93XoAIG0_L.jpg")</f>
        <v>http://pbs.twimg.com/media/FhyLM93XoAIG0_L.jpg</v>
      </c>
      <c r="L134">
        <v>0</v>
      </c>
      <c r="M134">
        <v>0</v>
      </c>
      <c r="N134">
        <v>1</v>
      </c>
      <c r="O134">
        <v>0</v>
      </c>
    </row>
    <row r="135" spans="1:15" x14ac:dyDescent="0.2">
      <c r="A135" s="1" t="str">
        <f>HYPERLINK("http://www.twitter.com/banuakdenizli/status/1595307186112053248", "1595307186112053248")</f>
        <v>1595307186112053248</v>
      </c>
      <c r="B135" t="s">
        <v>15</v>
      </c>
      <c r="C135" s="2">
        <v>44888.280636574083</v>
      </c>
      <c r="D135">
        <v>0</v>
      </c>
      <c r="E135">
        <v>16</v>
      </c>
      <c r="F135" t="s">
        <v>24</v>
      </c>
      <c r="G135" t="s">
        <v>167</v>
      </c>
      <c r="L135">
        <v>0</v>
      </c>
      <c r="M135">
        <v>0</v>
      </c>
      <c r="N135">
        <v>1</v>
      </c>
      <c r="O135">
        <v>0</v>
      </c>
    </row>
    <row r="136" spans="1:15" x14ac:dyDescent="0.2">
      <c r="A136" s="1" t="str">
        <f>HYPERLINK("http://www.twitter.com/banuakdenizli/status/1595305298780200965", "1595305298780200965")</f>
        <v>1595305298780200965</v>
      </c>
      <c r="B136" t="s">
        <v>15</v>
      </c>
      <c r="C136" s="2">
        <v>44888.27542824074</v>
      </c>
      <c r="D136">
        <v>0</v>
      </c>
      <c r="E136">
        <v>58</v>
      </c>
      <c r="F136" t="s">
        <v>17</v>
      </c>
      <c r="G136" t="s">
        <v>168</v>
      </c>
      <c r="H136" t="str">
        <f>HYPERLINK("https://video.twimg.com/ext_tw_video/1595146862947975205/pu/vid/848x464/Lnifbr2vkgJKzT79.mp4?tag=12", "https://video.twimg.com/ext_tw_video/1595146862947975205/pu/vid/848x464/Lnifbr2vkgJKzT79.mp4?tag=12")</f>
        <v>https://video.twimg.com/ext_tw_video/1595146862947975205/pu/vid/848x464/Lnifbr2vkgJKzT79.mp4?tag=12</v>
      </c>
      <c r="L136">
        <v>0</v>
      </c>
      <c r="M136">
        <v>0</v>
      </c>
      <c r="N136">
        <v>1</v>
      </c>
      <c r="O136">
        <v>0</v>
      </c>
    </row>
    <row r="137" spans="1:15" x14ac:dyDescent="0.2">
      <c r="A137" s="1" t="str">
        <f>HYPERLINK("http://www.twitter.com/banuakdenizli/status/1595173727242752016", "1595173727242752016")</f>
        <v>1595173727242752016</v>
      </c>
      <c r="B137" t="s">
        <v>15</v>
      </c>
      <c r="C137" s="2">
        <v>44887.912361111114</v>
      </c>
      <c r="D137">
        <v>0</v>
      </c>
      <c r="E137">
        <v>19</v>
      </c>
      <c r="F137" t="s">
        <v>24</v>
      </c>
      <c r="G137" t="s">
        <v>169</v>
      </c>
      <c r="H137" t="str">
        <f>HYPERLINK("http://pbs.twimg.com/media/FiMx-7dXEAQwvSV.jpg", "http://pbs.twimg.com/media/FiMx-7dXEAQwvSV.jpg")</f>
        <v>http://pbs.twimg.com/media/FiMx-7dXEAQwvSV.jpg</v>
      </c>
      <c r="L137">
        <v>0</v>
      </c>
      <c r="M137">
        <v>0</v>
      </c>
      <c r="N137">
        <v>1</v>
      </c>
      <c r="O137">
        <v>0</v>
      </c>
    </row>
    <row r="138" spans="1:15" x14ac:dyDescent="0.2">
      <c r="A138" s="1" t="str">
        <f>HYPERLINK("http://www.twitter.com/banuakdenizli/status/1595143882412818432", "1595143882412818432")</f>
        <v>1595143882412818432</v>
      </c>
      <c r="B138" t="s">
        <v>15</v>
      </c>
      <c r="C138" s="2">
        <v>44887.83</v>
      </c>
      <c r="D138">
        <v>0</v>
      </c>
      <c r="E138">
        <v>119</v>
      </c>
      <c r="F138" t="s">
        <v>170</v>
      </c>
      <c r="G138" t="s">
        <v>171</v>
      </c>
      <c r="L138">
        <v>0</v>
      </c>
      <c r="M138">
        <v>0</v>
      </c>
      <c r="N138">
        <v>1</v>
      </c>
      <c r="O138">
        <v>0</v>
      </c>
    </row>
    <row r="139" spans="1:15" x14ac:dyDescent="0.2">
      <c r="A139" s="1" t="str">
        <f>HYPERLINK("http://www.twitter.com/banuakdenizli/status/1595142033714610176", "1595142033714610176")</f>
        <v>1595142033714610176</v>
      </c>
      <c r="B139" t="s">
        <v>15</v>
      </c>
      <c r="C139" s="2">
        <v>44887.824895833342</v>
      </c>
      <c r="D139">
        <v>0</v>
      </c>
      <c r="E139">
        <v>10</v>
      </c>
      <c r="F139" t="s">
        <v>24</v>
      </c>
      <c r="G139" t="s">
        <v>172</v>
      </c>
      <c r="H139" t="str">
        <f>HYPERLINK("https://video.twimg.com/ext_tw_video/1595141819016396818/pu/vid/1280x720/VWGpzS7nggROmO4X.mp4?tag=12", "https://video.twimg.com/ext_tw_video/1595141819016396818/pu/vid/1280x720/VWGpzS7nggROmO4X.mp4?tag=12")</f>
        <v>https://video.twimg.com/ext_tw_video/1595141819016396818/pu/vid/1280x720/VWGpzS7nggROmO4X.mp4?tag=12</v>
      </c>
      <c r="L139">
        <v>0</v>
      </c>
      <c r="M139">
        <v>0</v>
      </c>
      <c r="N139">
        <v>1</v>
      </c>
      <c r="O139">
        <v>0</v>
      </c>
    </row>
    <row r="140" spans="1:15" x14ac:dyDescent="0.2">
      <c r="A140" s="1" t="str">
        <f>HYPERLINK("http://www.twitter.com/banuakdenizli/status/1595130159216046080", "1595130159216046080")</f>
        <v>1595130159216046080</v>
      </c>
      <c r="B140" t="s">
        <v>15</v>
      </c>
      <c r="C140" s="2">
        <v>44887.792129629634</v>
      </c>
      <c r="D140">
        <v>0</v>
      </c>
      <c r="E140">
        <v>17</v>
      </c>
      <c r="F140" t="s">
        <v>20</v>
      </c>
      <c r="G140" t="s">
        <v>173</v>
      </c>
      <c r="H140" t="str">
        <f>HYPERLINK("http://pbs.twimg.com/media/FiMFr_NXkAIqxK8.jpg", "http://pbs.twimg.com/media/FiMFr_NXkAIqxK8.jpg")</f>
        <v>http://pbs.twimg.com/media/FiMFr_NXkAIqxK8.jpg</v>
      </c>
      <c r="L140">
        <v>0</v>
      </c>
      <c r="M140">
        <v>0</v>
      </c>
      <c r="N140">
        <v>1</v>
      </c>
      <c r="O140">
        <v>0</v>
      </c>
    </row>
    <row r="141" spans="1:15" x14ac:dyDescent="0.2">
      <c r="A141" s="1" t="str">
        <f>HYPERLINK("http://www.twitter.com/banuakdenizli/status/1595123289713541120", "1595123289713541120")</f>
        <v>1595123289713541120</v>
      </c>
      <c r="B141" t="s">
        <v>15</v>
      </c>
      <c r="C141" s="2">
        <v>44887.7731712963</v>
      </c>
      <c r="D141">
        <v>0</v>
      </c>
      <c r="E141">
        <v>20</v>
      </c>
      <c r="F141" t="s">
        <v>17</v>
      </c>
      <c r="G141" t="s">
        <v>174</v>
      </c>
      <c r="H141" t="str">
        <f>HYPERLINK("http://pbs.twimg.com/media/FiMDx_6XkH0xcaF.jpg", "http://pbs.twimg.com/media/FiMDx_6XkH0xcaF.jpg")</f>
        <v>http://pbs.twimg.com/media/FiMDx_6XkH0xcaF.jpg</v>
      </c>
      <c r="I141" t="str">
        <f>HYPERLINK("http://pbs.twimg.com/media/FiMDyKaXkAIo4VP.jpg", "http://pbs.twimg.com/media/FiMDyKaXkAIo4VP.jpg")</f>
        <v>http://pbs.twimg.com/media/FiMDyKaXkAIo4VP.jpg</v>
      </c>
      <c r="J141" t="str">
        <f>HYPERLINK("http://pbs.twimg.com/media/FiMDyacXkA8OqW8.jpg", "http://pbs.twimg.com/media/FiMDyacXkA8OqW8.jpg")</f>
        <v>http://pbs.twimg.com/media/FiMDyacXkA8OqW8.jpg</v>
      </c>
      <c r="K141" t="str">
        <f>HYPERLINK("http://pbs.twimg.com/media/FiMDyi0XkCkeG1a.jpg", "http://pbs.twimg.com/media/FiMDyi0XkCkeG1a.jpg")</f>
        <v>http://pbs.twimg.com/media/FiMDyi0XkCkeG1a.jpg</v>
      </c>
      <c r="L141">
        <v>0</v>
      </c>
      <c r="M141">
        <v>0</v>
      </c>
      <c r="N141">
        <v>1</v>
      </c>
      <c r="O141">
        <v>0</v>
      </c>
    </row>
    <row r="142" spans="1:15" x14ac:dyDescent="0.2">
      <c r="A142" s="1" t="str">
        <f>HYPERLINK("http://www.twitter.com/banuakdenizli/status/1595093318589124610", "1595093318589124610")</f>
        <v>1595093318589124610</v>
      </c>
      <c r="B142" t="s">
        <v>15</v>
      </c>
      <c r="C142" s="2">
        <v>44887.690474537027</v>
      </c>
      <c r="D142">
        <v>0</v>
      </c>
      <c r="E142">
        <v>7</v>
      </c>
      <c r="F142" t="s">
        <v>19</v>
      </c>
      <c r="G142" t="s">
        <v>175</v>
      </c>
      <c r="L142">
        <v>0</v>
      </c>
      <c r="M142">
        <v>0</v>
      </c>
      <c r="N142">
        <v>1</v>
      </c>
      <c r="O142">
        <v>0</v>
      </c>
    </row>
    <row r="143" spans="1:15" x14ac:dyDescent="0.2">
      <c r="A143" s="1" t="str">
        <f>HYPERLINK("http://www.twitter.com/banuakdenizli/status/1595089848599302144", "1595089848599302144")</f>
        <v>1595089848599302144</v>
      </c>
      <c r="B143" t="s">
        <v>15</v>
      </c>
      <c r="C143" s="2">
        <v>44887.680891203701</v>
      </c>
      <c r="D143">
        <v>0</v>
      </c>
      <c r="E143">
        <v>0</v>
      </c>
      <c r="G143" t="s">
        <v>176</v>
      </c>
      <c r="L143">
        <v>0</v>
      </c>
      <c r="M143">
        <v>0</v>
      </c>
      <c r="N143">
        <v>1</v>
      </c>
      <c r="O143">
        <v>0</v>
      </c>
    </row>
    <row r="144" spans="1:15" x14ac:dyDescent="0.2">
      <c r="A144" s="1" t="str">
        <f>HYPERLINK("http://www.twitter.com/banuakdenizli/status/1595089729065816064", "1595089729065816064")</f>
        <v>1595089729065816064</v>
      </c>
      <c r="B144" t="s">
        <v>15</v>
      </c>
      <c r="C144" s="2">
        <v>44887.680567129632</v>
      </c>
      <c r="D144">
        <v>3</v>
      </c>
      <c r="E144">
        <v>0</v>
      </c>
      <c r="G144" t="s">
        <v>177</v>
      </c>
      <c r="L144">
        <v>0.55740000000000001</v>
      </c>
      <c r="M144">
        <v>0</v>
      </c>
      <c r="N144">
        <v>0.90900000000000003</v>
      </c>
      <c r="O144">
        <v>9.0999999999999998E-2</v>
      </c>
    </row>
    <row r="145" spans="1:15" x14ac:dyDescent="0.2">
      <c r="A145" s="1" t="str">
        <f>HYPERLINK("http://www.twitter.com/banuakdenizli/status/1595076760760205312", "1595076760760205312")</f>
        <v>1595076760760205312</v>
      </c>
      <c r="B145" t="s">
        <v>15</v>
      </c>
      <c r="C145" s="2">
        <v>44887.644780092603</v>
      </c>
      <c r="D145">
        <v>0</v>
      </c>
      <c r="E145">
        <v>37</v>
      </c>
      <c r="F145" t="s">
        <v>24</v>
      </c>
      <c r="G145" t="s">
        <v>178</v>
      </c>
      <c r="H145" t="str">
        <f>HYPERLINK("https://video.twimg.com/ext_tw_video/1595074691047333888/pu/vid/720x1280/hFwiQM-GZc-IWhgK.mp4?tag=12", "https://video.twimg.com/ext_tw_video/1595074691047333888/pu/vid/720x1280/hFwiQM-GZc-IWhgK.mp4?tag=12")</f>
        <v>https://video.twimg.com/ext_tw_video/1595074691047333888/pu/vid/720x1280/hFwiQM-GZc-IWhgK.mp4?tag=12</v>
      </c>
      <c r="L145">
        <v>0</v>
      </c>
      <c r="M145">
        <v>0</v>
      </c>
      <c r="N145">
        <v>1</v>
      </c>
      <c r="O145">
        <v>0</v>
      </c>
    </row>
    <row r="146" spans="1:15" x14ac:dyDescent="0.2">
      <c r="A146" s="1" t="str">
        <f>HYPERLINK("http://www.twitter.com/banuakdenizli/status/1595059505322414081", "1595059505322414081")</f>
        <v>1595059505322414081</v>
      </c>
      <c r="B146" t="s">
        <v>15</v>
      </c>
      <c r="C146" s="2">
        <v>44887.59716435185</v>
      </c>
      <c r="D146">
        <v>0</v>
      </c>
      <c r="E146">
        <v>12</v>
      </c>
      <c r="F146" t="s">
        <v>24</v>
      </c>
      <c r="G146" t="s">
        <v>179</v>
      </c>
      <c r="H146" t="str">
        <f>HYPERLINK("http://pbs.twimg.com/media/FiLC72wWIAMy-l-.jpg", "http://pbs.twimg.com/media/FiLC72wWIAMy-l-.jpg")</f>
        <v>http://pbs.twimg.com/media/FiLC72wWIAMy-l-.jpg</v>
      </c>
      <c r="L146">
        <v>0</v>
      </c>
      <c r="M146">
        <v>0</v>
      </c>
      <c r="N146">
        <v>1</v>
      </c>
      <c r="O146">
        <v>0</v>
      </c>
    </row>
    <row r="147" spans="1:15" x14ac:dyDescent="0.2">
      <c r="A147" s="1" t="str">
        <f>HYPERLINK("http://www.twitter.com/banuakdenizli/status/1595056853805060097", "1595056853805060097")</f>
        <v>1595056853805060097</v>
      </c>
      <c r="B147" t="s">
        <v>15</v>
      </c>
      <c r="C147" s="2">
        <v>44887.589849537027</v>
      </c>
      <c r="D147">
        <v>0</v>
      </c>
      <c r="E147">
        <v>22</v>
      </c>
      <c r="F147" t="s">
        <v>18</v>
      </c>
      <c r="G147" t="s">
        <v>180</v>
      </c>
      <c r="H147" t="str">
        <f>HYPERLINK("http://pbs.twimg.com/media/FiLA-KwX0AM_LKC.jpg", "http://pbs.twimg.com/media/FiLA-KwX0AM_LKC.jpg")</f>
        <v>http://pbs.twimg.com/media/FiLA-KwX0AM_LKC.jpg</v>
      </c>
      <c r="L147">
        <v>0</v>
      </c>
      <c r="M147">
        <v>0</v>
      </c>
      <c r="N147">
        <v>1</v>
      </c>
      <c r="O147">
        <v>0</v>
      </c>
    </row>
    <row r="148" spans="1:15" x14ac:dyDescent="0.2">
      <c r="A148" s="1" t="str">
        <f>HYPERLINK("http://www.twitter.com/banuakdenizli/status/1595049271845588993", "1595049271845588993")</f>
        <v>1595049271845588993</v>
      </c>
      <c r="B148" t="s">
        <v>15</v>
      </c>
      <c r="C148" s="2">
        <v>44887.568923611107</v>
      </c>
      <c r="D148">
        <v>0</v>
      </c>
      <c r="E148">
        <v>0</v>
      </c>
      <c r="G148" t="s">
        <v>181</v>
      </c>
      <c r="L148">
        <v>0</v>
      </c>
      <c r="M148">
        <v>0</v>
      </c>
      <c r="N148">
        <v>1</v>
      </c>
      <c r="O148">
        <v>0</v>
      </c>
    </row>
    <row r="149" spans="1:15" x14ac:dyDescent="0.2">
      <c r="A149" s="1" t="str">
        <f>HYPERLINK("http://www.twitter.com/banuakdenizli/status/1595049228711124997", "1595049228711124997")</f>
        <v>1595049228711124997</v>
      </c>
      <c r="B149" t="s">
        <v>15</v>
      </c>
      <c r="C149" s="2">
        <v>44887.568807870368</v>
      </c>
      <c r="D149">
        <v>2</v>
      </c>
      <c r="E149">
        <v>0</v>
      </c>
      <c r="G149" t="s">
        <v>182</v>
      </c>
      <c r="L149">
        <v>0</v>
      </c>
      <c r="M149">
        <v>0</v>
      </c>
      <c r="N149">
        <v>1</v>
      </c>
      <c r="O149">
        <v>0</v>
      </c>
    </row>
    <row r="150" spans="1:15" x14ac:dyDescent="0.2">
      <c r="A150" s="1" t="str">
        <f>HYPERLINK("http://www.twitter.com/banuakdenizli/status/1595046088985448449", "1595046088985448449")</f>
        <v>1595046088985448449</v>
      </c>
      <c r="B150" t="s">
        <v>15</v>
      </c>
      <c r="C150" s="2">
        <v>44887.56013888889</v>
      </c>
      <c r="D150">
        <v>0</v>
      </c>
      <c r="E150">
        <v>13</v>
      </c>
      <c r="F150" t="s">
        <v>24</v>
      </c>
      <c r="G150" t="s">
        <v>183</v>
      </c>
      <c r="H150" t="str">
        <f>HYPERLINK("http://pbs.twimg.com/media/FiK9dktWAAwC9kw.jpg", "http://pbs.twimg.com/media/FiK9dktWAAwC9kw.jpg")</f>
        <v>http://pbs.twimg.com/media/FiK9dktWAAwC9kw.jpg</v>
      </c>
      <c r="I150" t="str">
        <f>HYPERLINK("http://pbs.twimg.com/media/FiK9dh7X0AITzWG.jpg", "http://pbs.twimg.com/media/FiK9dh7X0AITzWG.jpg")</f>
        <v>http://pbs.twimg.com/media/FiK9dh7X0AITzWG.jpg</v>
      </c>
      <c r="L150">
        <v>0</v>
      </c>
      <c r="M150">
        <v>0</v>
      </c>
      <c r="N150">
        <v>1</v>
      </c>
      <c r="O150">
        <v>0</v>
      </c>
    </row>
    <row r="151" spans="1:15" x14ac:dyDescent="0.2">
      <c r="A151" s="1" t="str">
        <f>HYPERLINK("http://www.twitter.com/banuakdenizli/status/1595040792950751238", "1595040792950751238")</f>
        <v>1595040792950751238</v>
      </c>
      <c r="B151" t="s">
        <v>15</v>
      </c>
      <c r="C151" s="2">
        <v>44887.545532407406</v>
      </c>
      <c r="D151">
        <v>0</v>
      </c>
      <c r="E151">
        <v>10</v>
      </c>
      <c r="F151" t="s">
        <v>24</v>
      </c>
      <c r="G151" t="s">
        <v>184</v>
      </c>
      <c r="H151" t="str">
        <f>HYPERLINK("https://video.twimg.com/ext_tw_video/1595037794497331201/pu/vid/1280x720/aA0jjgzK3UI3JT5G.mp4?tag=12", "https://video.twimg.com/ext_tw_video/1595037794497331201/pu/vid/1280x720/aA0jjgzK3UI3JT5G.mp4?tag=12")</f>
        <v>https://video.twimg.com/ext_tw_video/1595037794497331201/pu/vid/1280x720/aA0jjgzK3UI3JT5G.mp4?tag=12</v>
      </c>
      <c r="L151">
        <v>0</v>
      </c>
      <c r="M151">
        <v>0</v>
      </c>
      <c r="N151">
        <v>1</v>
      </c>
      <c r="O151">
        <v>0</v>
      </c>
    </row>
    <row r="152" spans="1:15" x14ac:dyDescent="0.2">
      <c r="A152" s="1" t="str">
        <f>HYPERLINK("http://www.twitter.com/banuakdenizli/status/1595026231271034881", "1595026231271034881")</f>
        <v>1595026231271034881</v>
      </c>
      <c r="B152" t="s">
        <v>15</v>
      </c>
      <c r="C152" s="2">
        <v>44887.505347222221</v>
      </c>
      <c r="D152">
        <v>0</v>
      </c>
      <c r="E152">
        <v>20</v>
      </c>
      <c r="F152" t="s">
        <v>24</v>
      </c>
      <c r="G152" t="s">
        <v>185</v>
      </c>
      <c r="H152" t="str">
        <f>HYPERLINK("http://pbs.twimg.com/media/FiKr3tWWAAANtV_.jpg", "http://pbs.twimg.com/media/FiKr3tWWAAANtV_.jpg")</f>
        <v>http://pbs.twimg.com/media/FiKr3tWWAAANtV_.jpg</v>
      </c>
      <c r="I152" t="str">
        <f>HYPERLINK("http://pbs.twimg.com/media/FiKr3tXWYAUPM48.jpg", "http://pbs.twimg.com/media/FiKr3tXWYAUPM48.jpg")</f>
        <v>http://pbs.twimg.com/media/FiKr3tXWYAUPM48.jpg</v>
      </c>
      <c r="L152">
        <v>0</v>
      </c>
      <c r="M152">
        <v>0</v>
      </c>
      <c r="N152">
        <v>1</v>
      </c>
      <c r="O152">
        <v>0</v>
      </c>
    </row>
    <row r="153" spans="1:15" x14ac:dyDescent="0.2">
      <c r="A153" s="1" t="str">
        <f>HYPERLINK("http://www.twitter.com/banuakdenizli/status/1595025442876100609", "1595025442876100609")</f>
        <v>1595025442876100609</v>
      </c>
      <c r="B153" t="s">
        <v>15</v>
      </c>
      <c r="C153" s="2">
        <v>44887.503171296303</v>
      </c>
      <c r="D153">
        <v>0</v>
      </c>
      <c r="E153">
        <v>17</v>
      </c>
      <c r="F153" t="s">
        <v>24</v>
      </c>
      <c r="G153" t="s">
        <v>186</v>
      </c>
      <c r="H153" t="str">
        <f>HYPERLINK("http://pbs.twimg.com/media/FiKqen2XgAEwQZR.jpg", "http://pbs.twimg.com/media/FiKqen2XgAEwQZR.jpg")</f>
        <v>http://pbs.twimg.com/media/FiKqen2XgAEwQZR.jpg</v>
      </c>
      <c r="L153">
        <v>-0.29599999999999999</v>
      </c>
      <c r="M153">
        <v>4.8000000000000001E-2</v>
      </c>
      <c r="N153">
        <v>0.95199999999999996</v>
      </c>
      <c r="O153">
        <v>0</v>
      </c>
    </row>
    <row r="154" spans="1:15" x14ac:dyDescent="0.2">
      <c r="A154" s="1" t="str">
        <f>HYPERLINK("http://www.twitter.com/banuakdenizli/status/1595022844525789184", "1595022844525789184")</f>
        <v>1595022844525789184</v>
      </c>
      <c r="B154" t="s">
        <v>15</v>
      </c>
      <c r="C154" s="2">
        <v>44887.495995370373</v>
      </c>
      <c r="D154">
        <v>0</v>
      </c>
      <c r="E154">
        <v>22</v>
      </c>
      <c r="F154" t="s">
        <v>24</v>
      </c>
      <c r="G154" t="s">
        <v>187</v>
      </c>
      <c r="H154" t="str">
        <f>HYPERLINK("http://pbs.twimg.com/media/FiKosoOX0AIE-0z.jpg", "http://pbs.twimg.com/media/FiKosoOX0AIE-0z.jpg")</f>
        <v>http://pbs.twimg.com/media/FiKosoOX0AIE-0z.jpg</v>
      </c>
      <c r="L154">
        <v>0</v>
      </c>
      <c r="M154">
        <v>0</v>
      </c>
      <c r="N154">
        <v>1</v>
      </c>
      <c r="O154">
        <v>0</v>
      </c>
    </row>
    <row r="155" spans="1:15" x14ac:dyDescent="0.2">
      <c r="A155" s="1" t="str">
        <f>HYPERLINK("http://www.twitter.com/banuakdenizli/status/1595007459634155523", "1595007459634155523")</f>
        <v>1595007459634155523</v>
      </c>
      <c r="B155" t="s">
        <v>15</v>
      </c>
      <c r="C155" s="2">
        <v>44887.453541666669</v>
      </c>
      <c r="D155">
        <v>2</v>
      </c>
      <c r="E155">
        <v>0</v>
      </c>
      <c r="G155" t="s">
        <v>188</v>
      </c>
      <c r="L155">
        <v>0</v>
      </c>
      <c r="M155">
        <v>0</v>
      </c>
      <c r="N155">
        <v>1</v>
      </c>
      <c r="O155">
        <v>0</v>
      </c>
    </row>
    <row r="156" spans="1:15" x14ac:dyDescent="0.2">
      <c r="A156" s="1" t="str">
        <f>HYPERLINK("http://www.twitter.com/banuakdenizli/status/1595002093978484736", "1595002093978484736")</f>
        <v>1595002093978484736</v>
      </c>
      <c r="B156" t="s">
        <v>15</v>
      </c>
      <c r="C156" s="2">
        <v>44887.438738425917</v>
      </c>
      <c r="D156">
        <v>0</v>
      </c>
      <c r="E156">
        <v>11</v>
      </c>
      <c r="F156" t="s">
        <v>24</v>
      </c>
      <c r="G156" t="s">
        <v>189</v>
      </c>
      <c r="H156" t="str">
        <f>HYPERLINK("http://pbs.twimg.com/media/FiKV0pnXEAAdccg.jpg", "http://pbs.twimg.com/media/FiKV0pnXEAAdccg.jpg")</f>
        <v>http://pbs.twimg.com/media/FiKV0pnXEAAdccg.jpg</v>
      </c>
      <c r="L156">
        <v>0</v>
      </c>
      <c r="M156">
        <v>0</v>
      </c>
      <c r="N156">
        <v>1</v>
      </c>
      <c r="O156">
        <v>0</v>
      </c>
    </row>
    <row r="157" spans="1:15" x14ac:dyDescent="0.2">
      <c r="A157" s="1" t="str">
        <f>HYPERLINK("http://www.twitter.com/banuakdenizli/status/1595002078337843200", "1595002078337843200")</f>
        <v>1595002078337843200</v>
      </c>
      <c r="B157" t="s">
        <v>15</v>
      </c>
      <c r="C157" s="2">
        <v>44887.438692129632</v>
      </c>
      <c r="D157">
        <v>0</v>
      </c>
      <c r="E157">
        <v>31</v>
      </c>
      <c r="F157" t="s">
        <v>24</v>
      </c>
      <c r="G157" t="s">
        <v>190</v>
      </c>
      <c r="H157" t="str">
        <f>HYPERLINK("https://video.twimg.com/ext_tw_video/1595001866156474373/pu/vid/352x640/EyiKaqp9FA2R1pSZ.mp4?tag=12", "https://video.twimg.com/ext_tw_video/1595001866156474373/pu/vid/352x640/EyiKaqp9FA2R1pSZ.mp4?tag=12")</f>
        <v>https://video.twimg.com/ext_tw_video/1595001866156474373/pu/vid/352x640/EyiKaqp9FA2R1pSZ.mp4?tag=12</v>
      </c>
      <c r="L157">
        <v>0</v>
      </c>
      <c r="M157">
        <v>0</v>
      </c>
      <c r="N157">
        <v>1</v>
      </c>
      <c r="O157">
        <v>0</v>
      </c>
    </row>
    <row r="158" spans="1:15" x14ac:dyDescent="0.2">
      <c r="A158" s="1" t="str">
        <f>HYPERLINK("http://www.twitter.com/banuakdenizli/status/1594993165303439361", "1594993165303439361")</f>
        <v>1594993165303439361</v>
      </c>
      <c r="B158" t="s">
        <v>15</v>
      </c>
      <c r="C158" s="2">
        <v>44887.414097222223</v>
      </c>
      <c r="D158">
        <v>9</v>
      </c>
      <c r="E158">
        <v>6</v>
      </c>
      <c r="G158" t="s">
        <v>191</v>
      </c>
      <c r="L158">
        <v>0</v>
      </c>
      <c r="M158">
        <v>0</v>
      </c>
      <c r="N158">
        <v>1</v>
      </c>
      <c r="O158">
        <v>0</v>
      </c>
    </row>
    <row r="159" spans="1:15" x14ac:dyDescent="0.2">
      <c r="A159" s="1" t="str">
        <f>HYPERLINK("http://www.twitter.com/banuakdenizli/status/1594962021849653248", "1594962021849653248")</f>
        <v>1594962021849653248</v>
      </c>
      <c r="B159" t="s">
        <v>15</v>
      </c>
      <c r="C159" s="2">
        <v>44887.328159722223</v>
      </c>
      <c r="D159">
        <v>0</v>
      </c>
      <c r="E159">
        <v>16</v>
      </c>
      <c r="F159" t="s">
        <v>24</v>
      </c>
      <c r="G159" t="s">
        <v>192</v>
      </c>
      <c r="H159" t="str">
        <f>HYPERLINK("https://video.twimg.com/ext_tw_video/1594961450027696130/pu/vid/1280x720/ad_J8vayd4AyPoke.mp4?tag=12", "https://video.twimg.com/ext_tw_video/1594961450027696130/pu/vid/1280x720/ad_J8vayd4AyPoke.mp4?tag=12")</f>
        <v>https://video.twimg.com/ext_tw_video/1594961450027696130/pu/vid/1280x720/ad_J8vayd4AyPoke.mp4?tag=12</v>
      </c>
      <c r="L159">
        <v>0</v>
      </c>
      <c r="M159">
        <v>0</v>
      </c>
      <c r="N159">
        <v>1</v>
      </c>
      <c r="O159">
        <v>0</v>
      </c>
    </row>
    <row r="160" spans="1:15" x14ac:dyDescent="0.2">
      <c r="A160" s="1" t="str">
        <f>HYPERLINK("http://www.twitter.com/banuakdenizli/status/1594935187980550144", "1594935187980550144")</f>
        <v>1594935187980550144</v>
      </c>
      <c r="B160" t="s">
        <v>15</v>
      </c>
      <c r="C160" s="2">
        <v>44887.254108796304</v>
      </c>
      <c r="D160">
        <v>0</v>
      </c>
      <c r="E160">
        <v>15</v>
      </c>
      <c r="F160" t="s">
        <v>193</v>
      </c>
      <c r="G160" t="s">
        <v>194</v>
      </c>
      <c r="H160" t="str">
        <f>HYPERLINK("https://video.twimg.com/ext_tw_video/1594652711114473473/pu/vid/848x480/HPnMoU7VPjlC5TbK.mp4?tag=12", "https://video.twimg.com/ext_tw_video/1594652711114473473/pu/vid/848x480/HPnMoU7VPjlC5TbK.mp4?tag=12")</f>
        <v>https://video.twimg.com/ext_tw_video/1594652711114473473/pu/vid/848x480/HPnMoU7VPjlC5TbK.mp4?tag=12</v>
      </c>
      <c r="L160">
        <v>0</v>
      </c>
      <c r="M160">
        <v>0</v>
      </c>
      <c r="N160">
        <v>1</v>
      </c>
      <c r="O160">
        <v>0</v>
      </c>
    </row>
    <row r="161" spans="1:15" x14ac:dyDescent="0.2">
      <c r="A161" s="1" t="str">
        <f>HYPERLINK("http://www.twitter.com/banuakdenizli/status/1594756511007490048", "1594756511007490048")</f>
        <v>1594756511007490048</v>
      </c>
      <c r="B161" t="s">
        <v>15</v>
      </c>
      <c r="C161" s="2">
        <v>44886.761064814818</v>
      </c>
      <c r="D161">
        <v>0</v>
      </c>
      <c r="E161">
        <v>116</v>
      </c>
      <c r="F161" t="s">
        <v>17</v>
      </c>
      <c r="G161" t="s">
        <v>195</v>
      </c>
      <c r="H161" t="str">
        <f>HYPERLINK("http://pbs.twimg.com/media/FiG1ukDWQAM8R7w.jpg", "http://pbs.twimg.com/media/FiG1ukDWQAM8R7w.jpg")</f>
        <v>http://pbs.twimg.com/media/FiG1ukDWQAM8R7w.jpg</v>
      </c>
      <c r="I161" t="str">
        <f>HYPERLINK("http://pbs.twimg.com/media/FiG1ulCXwAEB5ag.jpg", "http://pbs.twimg.com/media/FiG1ulCXwAEB5ag.jpg")</f>
        <v>http://pbs.twimg.com/media/FiG1ulCXwAEB5ag.jpg</v>
      </c>
      <c r="J161" t="str">
        <f>HYPERLINK("http://pbs.twimg.com/media/FiG1ul5WQAoX2fQ.jpg", "http://pbs.twimg.com/media/FiG1ul5WQAoX2fQ.jpg")</f>
        <v>http://pbs.twimg.com/media/FiG1ul5WQAoX2fQ.jpg</v>
      </c>
      <c r="K161" t="str">
        <f>HYPERLINK("http://pbs.twimg.com/media/FiG1umnWQAk0z5x.jpg", "http://pbs.twimg.com/media/FiG1umnWQAk0z5x.jpg")</f>
        <v>http://pbs.twimg.com/media/FiG1umnWQAk0z5x.jpg</v>
      </c>
      <c r="L161">
        <v>0</v>
      </c>
      <c r="M161">
        <v>0</v>
      </c>
      <c r="N161">
        <v>1</v>
      </c>
      <c r="O161">
        <v>0</v>
      </c>
    </row>
    <row r="162" spans="1:15" x14ac:dyDescent="0.2">
      <c r="A162" s="1" t="str">
        <f>HYPERLINK("http://www.twitter.com/banuakdenizli/status/1594732590413807618", "1594732590413807618")</f>
        <v>1594732590413807618</v>
      </c>
      <c r="B162" t="s">
        <v>15</v>
      </c>
      <c r="C162" s="2">
        <v>44886.6950462963</v>
      </c>
      <c r="D162">
        <v>0</v>
      </c>
      <c r="E162">
        <v>335</v>
      </c>
      <c r="F162" t="s">
        <v>21</v>
      </c>
      <c r="G162" t="s">
        <v>196</v>
      </c>
      <c r="H162" t="str">
        <f>HYPERLINK("http://pbs.twimg.com/media/FiGSSEqWAAElhCR.jpg", "http://pbs.twimg.com/media/FiGSSEqWAAElhCR.jpg")</f>
        <v>http://pbs.twimg.com/media/FiGSSEqWAAElhCR.jpg</v>
      </c>
      <c r="L162">
        <v>0</v>
      </c>
      <c r="M162">
        <v>0</v>
      </c>
      <c r="N162">
        <v>1</v>
      </c>
      <c r="O162">
        <v>0</v>
      </c>
    </row>
    <row r="163" spans="1:15" x14ac:dyDescent="0.2">
      <c r="A163" s="1" t="str">
        <f>HYPERLINK("http://www.twitter.com/banuakdenizli/status/1594732103010230277", "1594732103010230277")</f>
        <v>1594732103010230277</v>
      </c>
      <c r="B163" t="s">
        <v>15</v>
      </c>
      <c r="C163" s="2">
        <v>44886.693703703713</v>
      </c>
      <c r="D163">
        <v>0</v>
      </c>
      <c r="E163">
        <v>184</v>
      </c>
      <c r="F163" t="s">
        <v>21</v>
      </c>
      <c r="G163" t="s">
        <v>197</v>
      </c>
      <c r="H163" t="str">
        <f>HYPERLINK("http://pbs.twimg.com/media/FiGaTJZXoAQgBTS.jpg", "http://pbs.twimg.com/media/FiGaTJZXoAQgBTS.jpg")</f>
        <v>http://pbs.twimg.com/media/FiGaTJZXoAQgBTS.jpg</v>
      </c>
      <c r="L163">
        <v>0</v>
      </c>
      <c r="M163">
        <v>0</v>
      </c>
      <c r="N163">
        <v>1</v>
      </c>
      <c r="O163">
        <v>0</v>
      </c>
    </row>
    <row r="164" spans="1:15" x14ac:dyDescent="0.2">
      <c r="A164" s="1" t="str">
        <f>HYPERLINK("http://www.twitter.com/banuakdenizli/status/1594731953705877504", "1594731953705877504")</f>
        <v>1594731953705877504</v>
      </c>
      <c r="B164" t="s">
        <v>15</v>
      </c>
      <c r="C164" s="2">
        <v>44886.693298611113</v>
      </c>
      <c r="D164">
        <v>2</v>
      </c>
      <c r="E164">
        <v>0</v>
      </c>
      <c r="G164" t="s">
        <v>198</v>
      </c>
      <c r="L164">
        <v>0</v>
      </c>
      <c r="M164">
        <v>0</v>
      </c>
      <c r="N164">
        <v>1</v>
      </c>
      <c r="O164">
        <v>0</v>
      </c>
    </row>
    <row r="165" spans="1:15" x14ac:dyDescent="0.2">
      <c r="A165" s="1" t="str">
        <f>HYPERLINK("http://www.twitter.com/banuakdenizli/status/1594731077469601794", "1594731077469601794")</f>
        <v>1594731077469601794</v>
      </c>
      <c r="B165" t="s">
        <v>15</v>
      </c>
      <c r="C165" s="2">
        <v>44886.690879629627</v>
      </c>
      <c r="D165">
        <v>0</v>
      </c>
      <c r="E165">
        <v>155</v>
      </c>
      <c r="F165" t="s">
        <v>21</v>
      </c>
      <c r="G165" t="s">
        <v>199</v>
      </c>
      <c r="H165" t="str">
        <f>HYPERLINK("http://pbs.twimg.com/media/FiFsuyOWIAAmjFa.jpg", "http://pbs.twimg.com/media/FiFsuyOWIAAmjFa.jpg")</f>
        <v>http://pbs.twimg.com/media/FiFsuyOWIAAmjFa.jpg</v>
      </c>
      <c r="L165">
        <v>0</v>
      </c>
      <c r="M165">
        <v>0</v>
      </c>
      <c r="N165">
        <v>1</v>
      </c>
      <c r="O165">
        <v>0</v>
      </c>
    </row>
    <row r="166" spans="1:15" x14ac:dyDescent="0.2">
      <c r="A166" s="1" t="str">
        <f>HYPERLINK("http://www.twitter.com/banuakdenizli/status/1594728737257689094", "1594728737257689094")</f>
        <v>1594728737257689094</v>
      </c>
      <c r="B166" t="s">
        <v>15</v>
      </c>
      <c r="C166" s="2">
        <v>44886.684421296297</v>
      </c>
      <c r="D166">
        <v>3</v>
      </c>
      <c r="E166">
        <v>0</v>
      </c>
      <c r="G166" t="s">
        <v>200</v>
      </c>
      <c r="L166">
        <v>0</v>
      </c>
      <c r="M166">
        <v>0</v>
      </c>
      <c r="N166">
        <v>1</v>
      </c>
      <c r="O166">
        <v>0</v>
      </c>
    </row>
    <row r="167" spans="1:15" x14ac:dyDescent="0.2">
      <c r="A167" s="1" t="str">
        <f>HYPERLINK("http://www.twitter.com/banuakdenizli/status/1594718859549982721", "1594718859549982721")</f>
        <v>1594718859549982721</v>
      </c>
      <c r="B167" t="s">
        <v>15</v>
      </c>
      <c r="C167" s="2">
        <v>44886.657164351847</v>
      </c>
      <c r="D167">
        <v>2</v>
      </c>
      <c r="E167">
        <v>0</v>
      </c>
      <c r="G167" t="s">
        <v>201</v>
      </c>
      <c r="L167">
        <v>0</v>
      </c>
      <c r="M167">
        <v>0</v>
      </c>
      <c r="N167">
        <v>1</v>
      </c>
      <c r="O167">
        <v>0</v>
      </c>
    </row>
    <row r="168" spans="1:15" x14ac:dyDescent="0.2">
      <c r="A168" s="1" t="str">
        <f>HYPERLINK("http://www.twitter.com/banuakdenizli/status/1594717910324355073", "1594717910324355073")</f>
        <v>1594717910324355073</v>
      </c>
      <c r="B168" t="s">
        <v>15</v>
      </c>
      <c r="C168" s="2">
        <v>44886.654537037037</v>
      </c>
      <c r="D168">
        <v>2</v>
      </c>
      <c r="E168">
        <v>1</v>
      </c>
      <c r="G168" t="s">
        <v>202</v>
      </c>
      <c r="L168">
        <v>0</v>
      </c>
      <c r="M168">
        <v>0</v>
      </c>
      <c r="N168">
        <v>1</v>
      </c>
      <c r="O168">
        <v>0</v>
      </c>
    </row>
    <row r="169" spans="1:15" x14ac:dyDescent="0.2">
      <c r="A169" s="1" t="str">
        <f>HYPERLINK("http://www.twitter.com/banuakdenizli/status/1594716676683169793", "1594716676683169793")</f>
        <v>1594716676683169793</v>
      </c>
      <c r="B169" t="s">
        <v>15</v>
      </c>
      <c r="C169" s="2">
        <v>44886.651134259257</v>
      </c>
      <c r="D169">
        <v>0</v>
      </c>
      <c r="E169">
        <v>63</v>
      </c>
      <c r="F169" t="s">
        <v>17</v>
      </c>
      <c r="G169" t="s">
        <v>203</v>
      </c>
      <c r="H169" t="str">
        <f>HYPERLINK("http://pbs.twimg.com/media/FiGK4ShXoAQ5lYe.jpg", "http://pbs.twimg.com/media/FiGK4ShXoAQ5lYe.jpg")</f>
        <v>http://pbs.twimg.com/media/FiGK4ShXoAQ5lYe.jpg</v>
      </c>
      <c r="I169" t="str">
        <f>HYPERLINK("http://pbs.twimg.com/media/FiGK4crXEAAIqC3.jpg", "http://pbs.twimg.com/media/FiGK4crXEAAIqC3.jpg")</f>
        <v>http://pbs.twimg.com/media/FiGK4crXEAAIqC3.jpg</v>
      </c>
      <c r="J169" t="str">
        <f>HYPERLINK("http://pbs.twimg.com/media/FiGK4maXkAA8Mc3.jpg", "http://pbs.twimg.com/media/FiGK4maXkAA8Mc3.jpg")</f>
        <v>http://pbs.twimg.com/media/FiGK4maXkAA8Mc3.jpg</v>
      </c>
      <c r="K169" t="str">
        <f>HYPERLINK("http://pbs.twimg.com/media/FiGK4u5WIAABUko.jpg", "http://pbs.twimg.com/media/FiGK4u5WIAABUko.jpg")</f>
        <v>http://pbs.twimg.com/media/FiGK4u5WIAABUko.jpg</v>
      </c>
      <c r="L169">
        <v>0</v>
      </c>
      <c r="M169">
        <v>0</v>
      </c>
      <c r="N169">
        <v>1</v>
      </c>
      <c r="O169">
        <v>0</v>
      </c>
    </row>
    <row r="170" spans="1:15" x14ac:dyDescent="0.2">
      <c r="A170" s="1" t="str">
        <f>HYPERLINK("http://www.twitter.com/banuakdenizli/status/1594713951241224193", "1594713951241224193")</f>
        <v>1594713951241224193</v>
      </c>
      <c r="B170" t="s">
        <v>15</v>
      </c>
      <c r="C170" s="2">
        <v>44886.643611111111</v>
      </c>
      <c r="D170">
        <v>0</v>
      </c>
      <c r="E170">
        <v>12</v>
      </c>
      <c r="F170" t="s">
        <v>24</v>
      </c>
      <c r="G170" t="s">
        <v>204</v>
      </c>
      <c r="H170" t="str">
        <f>HYPERLINK("http://pbs.twimg.com/media/FiE30l8WQAE84ES.jpg", "http://pbs.twimg.com/media/FiE30l8WQAE84ES.jpg")</f>
        <v>http://pbs.twimg.com/media/FiE30l8WQAE84ES.jpg</v>
      </c>
      <c r="I170" t="str">
        <f>HYPERLINK("http://pbs.twimg.com/media/FiE30mAXwAA8urM.jpg", "http://pbs.twimg.com/media/FiE30mAXwAA8urM.jpg")</f>
        <v>http://pbs.twimg.com/media/FiE30mAXwAA8urM.jpg</v>
      </c>
      <c r="L170">
        <v>0</v>
      </c>
      <c r="M170">
        <v>0</v>
      </c>
      <c r="N170">
        <v>1</v>
      </c>
      <c r="O170">
        <v>0</v>
      </c>
    </row>
    <row r="171" spans="1:15" x14ac:dyDescent="0.2">
      <c r="A171" s="1" t="str">
        <f>HYPERLINK("http://www.twitter.com/banuakdenizli/status/1594698621840228352", "1594698621840228352")</f>
        <v>1594698621840228352</v>
      </c>
      <c r="B171" t="s">
        <v>15</v>
      </c>
      <c r="C171" s="2">
        <v>44886.601319444453</v>
      </c>
      <c r="D171">
        <v>0</v>
      </c>
      <c r="E171">
        <v>20</v>
      </c>
      <c r="F171" t="s">
        <v>24</v>
      </c>
      <c r="G171" t="s">
        <v>205</v>
      </c>
      <c r="H171" t="str">
        <f>HYPERLINK("http://pbs.twimg.com/media/FiGAft0XoAAVuWq.jpg", "http://pbs.twimg.com/media/FiGAft0XoAAVuWq.jpg")</f>
        <v>http://pbs.twimg.com/media/FiGAft0XoAAVuWq.jpg</v>
      </c>
      <c r="I171" t="str">
        <f>HYPERLINK("http://pbs.twimg.com/media/FiGAftyXwAEEfUd.jpg", "http://pbs.twimg.com/media/FiGAftyXwAEEfUd.jpg")</f>
        <v>http://pbs.twimg.com/media/FiGAftyXwAEEfUd.jpg</v>
      </c>
      <c r="L171">
        <v>0</v>
      </c>
      <c r="M171">
        <v>0</v>
      </c>
      <c r="N171">
        <v>1</v>
      </c>
      <c r="O171">
        <v>0</v>
      </c>
    </row>
    <row r="172" spans="1:15" x14ac:dyDescent="0.2">
      <c r="A172" s="1" t="str">
        <f>HYPERLINK("http://www.twitter.com/banuakdenizli/status/1594693054375817217", "1594693054375817217")</f>
        <v>1594693054375817217</v>
      </c>
      <c r="B172" t="s">
        <v>15</v>
      </c>
      <c r="C172" s="2">
        <v>44886.585949074077</v>
      </c>
      <c r="D172">
        <v>0</v>
      </c>
      <c r="E172">
        <v>81</v>
      </c>
      <c r="F172" t="s">
        <v>17</v>
      </c>
      <c r="G172" t="s">
        <v>206</v>
      </c>
      <c r="H172" t="str">
        <f>HYPERLINK("https://video.twimg.com/ext_tw_video/1594684510364377088/pu/vid/1280x720/Pog4D2hQ_Ou68EI7.mp4?tag=12", "https://video.twimg.com/ext_tw_video/1594684510364377088/pu/vid/1280x720/Pog4D2hQ_Ou68EI7.mp4?tag=12")</f>
        <v>https://video.twimg.com/ext_tw_video/1594684510364377088/pu/vid/1280x720/Pog4D2hQ_Ou68EI7.mp4?tag=12</v>
      </c>
      <c r="L172">
        <v>0</v>
      </c>
      <c r="M172">
        <v>0</v>
      </c>
      <c r="N172">
        <v>1</v>
      </c>
      <c r="O172">
        <v>0</v>
      </c>
    </row>
    <row r="173" spans="1:15" x14ac:dyDescent="0.2">
      <c r="A173" s="1" t="str">
        <f>HYPERLINK("http://www.twitter.com/banuakdenizli/status/1594631447524134912", "1594631447524134912")</f>
        <v>1594631447524134912</v>
      </c>
      <c r="B173" t="s">
        <v>15</v>
      </c>
      <c r="C173" s="2">
        <v>44886.415949074071</v>
      </c>
      <c r="D173">
        <v>0</v>
      </c>
      <c r="E173">
        <v>30</v>
      </c>
      <c r="F173" t="s">
        <v>24</v>
      </c>
      <c r="G173" t="s">
        <v>207</v>
      </c>
      <c r="L173">
        <v>0</v>
      </c>
      <c r="M173">
        <v>0</v>
      </c>
      <c r="N173">
        <v>1</v>
      </c>
      <c r="O173">
        <v>0</v>
      </c>
    </row>
    <row r="174" spans="1:15" x14ac:dyDescent="0.2">
      <c r="A174" s="1" t="str">
        <f>HYPERLINK("http://www.twitter.com/banuakdenizli/status/1594564171118432257", "1594564171118432257")</f>
        <v>1594564171118432257</v>
      </c>
      <c r="B174" t="s">
        <v>15</v>
      </c>
      <c r="C174" s="2">
        <v>44886.230300925927</v>
      </c>
      <c r="D174">
        <v>0</v>
      </c>
      <c r="E174">
        <v>12</v>
      </c>
      <c r="F174" t="s">
        <v>122</v>
      </c>
      <c r="G174" t="s">
        <v>208</v>
      </c>
      <c r="H174" t="str">
        <f>HYPERLINK("http://pbs.twimg.com/media/FiEFGEjXwAAwdDX.jpg", "http://pbs.twimg.com/media/FiEFGEjXwAAwdDX.jpg")</f>
        <v>http://pbs.twimg.com/media/FiEFGEjXwAAwdDX.jpg</v>
      </c>
      <c r="L174">
        <v>0</v>
      </c>
      <c r="M174">
        <v>0</v>
      </c>
      <c r="N174">
        <v>1</v>
      </c>
      <c r="O174">
        <v>0</v>
      </c>
    </row>
    <row r="175" spans="1:15" x14ac:dyDescent="0.2">
      <c r="A175" s="1" t="str">
        <f>HYPERLINK("http://www.twitter.com/banuakdenizli/status/1594561871524368385", "1594561871524368385")</f>
        <v>1594561871524368385</v>
      </c>
      <c r="B175" t="s">
        <v>15</v>
      </c>
      <c r="C175" s="2">
        <v>44886.223958333343</v>
      </c>
      <c r="D175">
        <v>0</v>
      </c>
      <c r="E175">
        <v>20</v>
      </c>
      <c r="F175" t="s">
        <v>24</v>
      </c>
      <c r="G175" t="s">
        <v>209</v>
      </c>
      <c r="H175" t="str">
        <f>HYPERLINK("http://pbs.twimg.com/media/Fh_5IWaXgAMQKD4.jpg", "http://pbs.twimg.com/media/Fh_5IWaXgAMQKD4.jpg")</f>
        <v>http://pbs.twimg.com/media/Fh_5IWaXgAMQKD4.jpg</v>
      </c>
      <c r="I175" t="str">
        <f>HYPERLINK("http://pbs.twimg.com/media/Fh_5IWTXkAc3AUF.jpg", "http://pbs.twimg.com/media/Fh_5IWTXkAc3AUF.jpg")</f>
        <v>http://pbs.twimg.com/media/Fh_5IWTXkAc3AUF.jpg</v>
      </c>
      <c r="L175">
        <v>0</v>
      </c>
      <c r="M175">
        <v>0</v>
      </c>
      <c r="N175">
        <v>1</v>
      </c>
      <c r="O175">
        <v>0</v>
      </c>
    </row>
    <row r="176" spans="1:15" x14ac:dyDescent="0.2">
      <c r="A176" s="1" t="str">
        <f>HYPERLINK("http://www.twitter.com/banuakdenizli/status/1594371260695330822", "1594371260695330822")</f>
        <v>1594371260695330822</v>
      </c>
      <c r="B176" t="s">
        <v>15</v>
      </c>
      <c r="C176" s="2">
        <v>44885.697974537034</v>
      </c>
      <c r="D176">
        <v>0</v>
      </c>
      <c r="E176">
        <v>6</v>
      </c>
      <c r="F176" t="s">
        <v>16</v>
      </c>
      <c r="G176" t="s">
        <v>210</v>
      </c>
      <c r="H176" t="str">
        <f>HYPERLINK("http://pbs.twimg.com/media/FiAluNrXoAA8q_3.jpg", "http://pbs.twimg.com/media/FiAluNrXoAA8q_3.jpg")</f>
        <v>http://pbs.twimg.com/media/FiAluNrXoAA8q_3.jpg</v>
      </c>
      <c r="L176">
        <v>0</v>
      </c>
      <c r="M176">
        <v>0</v>
      </c>
      <c r="N176">
        <v>1</v>
      </c>
      <c r="O176">
        <v>0</v>
      </c>
    </row>
    <row r="177" spans="1:15" x14ac:dyDescent="0.2">
      <c r="A177" s="1" t="str">
        <f>HYPERLINK("http://www.twitter.com/banuakdenizli/status/1594370955295563779", "1594370955295563779")</f>
        <v>1594370955295563779</v>
      </c>
      <c r="B177" t="s">
        <v>15</v>
      </c>
      <c r="C177" s="2">
        <v>44885.697129629632</v>
      </c>
      <c r="D177">
        <v>0</v>
      </c>
      <c r="E177">
        <v>3</v>
      </c>
      <c r="F177" t="s">
        <v>16</v>
      </c>
      <c r="G177" t="s">
        <v>211</v>
      </c>
      <c r="H177" t="str">
        <f>HYPERLINK("http://pbs.twimg.com/media/FiAdVyyWAAAPlvh.jpg", "http://pbs.twimg.com/media/FiAdVyyWAAAPlvh.jpg")</f>
        <v>http://pbs.twimg.com/media/FiAdVyyWAAAPlvh.jpg</v>
      </c>
      <c r="L177">
        <v>0</v>
      </c>
      <c r="M177">
        <v>0</v>
      </c>
      <c r="N177">
        <v>1</v>
      </c>
      <c r="O177">
        <v>0</v>
      </c>
    </row>
    <row r="178" spans="1:15" x14ac:dyDescent="0.2">
      <c r="A178" s="1" t="str">
        <f>HYPERLINK("http://www.twitter.com/banuakdenizli/status/1594365511197986816", "1594365511197986816")</f>
        <v>1594365511197986816</v>
      </c>
      <c r="B178" t="s">
        <v>15</v>
      </c>
      <c r="C178" s="2">
        <v>44885.682106481479</v>
      </c>
      <c r="D178">
        <v>0</v>
      </c>
      <c r="E178">
        <v>1715</v>
      </c>
      <c r="F178" t="s">
        <v>21</v>
      </c>
      <c r="G178" t="s">
        <v>212</v>
      </c>
      <c r="H178" t="str">
        <f>HYPERLINK("https://video.twimg.com/ext_tw_video/1594359237341319168/pu/vid/480x848/Y-_deF8LV9uhBJnO.mp4?tag=12", "https://video.twimg.com/ext_tw_video/1594359237341319168/pu/vid/480x848/Y-_deF8LV9uhBJnO.mp4?tag=12")</f>
        <v>https://video.twimg.com/ext_tw_video/1594359237341319168/pu/vid/480x848/Y-_deF8LV9uhBJnO.mp4?tag=12</v>
      </c>
      <c r="L178">
        <v>0</v>
      </c>
      <c r="M178">
        <v>0</v>
      </c>
      <c r="N178">
        <v>1</v>
      </c>
      <c r="O178">
        <v>0</v>
      </c>
    </row>
    <row r="179" spans="1:15" x14ac:dyDescent="0.2">
      <c r="A179" s="1" t="str">
        <f>HYPERLINK("http://www.twitter.com/banuakdenizli/status/1594324948738269186", "1594324948738269186")</f>
        <v>1594324948738269186</v>
      </c>
      <c r="B179" t="s">
        <v>15</v>
      </c>
      <c r="C179" s="2">
        <v>44885.570173611108</v>
      </c>
      <c r="D179">
        <v>0</v>
      </c>
      <c r="E179">
        <v>39</v>
      </c>
      <c r="F179" t="s">
        <v>17</v>
      </c>
      <c r="G179" t="s">
        <v>213</v>
      </c>
      <c r="H179" t="str">
        <f>HYPERLINK("https://video.twimg.com/ext_tw_video/1594159828896829442/pu/vid/1280x720/bhi6wLw9BXoWUarg.mp4?tag=12", "https://video.twimg.com/ext_tw_video/1594159828896829442/pu/vid/1280x720/bhi6wLw9BXoWUarg.mp4?tag=12")</f>
        <v>https://video.twimg.com/ext_tw_video/1594159828896829442/pu/vid/1280x720/bhi6wLw9BXoWUarg.mp4?tag=12</v>
      </c>
      <c r="L179">
        <v>0</v>
      </c>
      <c r="M179">
        <v>0</v>
      </c>
      <c r="N179">
        <v>1</v>
      </c>
      <c r="O179">
        <v>0</v>
      </c>
    </row>
    <row r="180" spans="1:15" x14ac:dyDescent="0.2">
      <c r="A180" s="1" t="str">
        <f>HYPERLINK("http://www.twitter.com/banuakdenizli/status/1594324350840078337", "1594324350840078337")</f>
        <v>1594324350840078337</v>
      </c>
      <c r="B180" t="s">
        <v>15</v>
      </c>
      <c r="C180" s="2">
        <v>44885.568530092591</v>
      </c>
      <c r="D180">
        <v>0</v>
      </c>
      <c r="E180">
        <v>205</v>
      </c>
      <c r="F180" t="s">
        <v>21</v>
      </c>
      <c r="G180" t="s">
        <v>214</v>
      </c>
      <c r="H180" t="str">
        <f>HYPERLINK("https://video.twimg.com/ext_tw_video/1594318492890763265/pu/vid/720x1280/7XZ7LMG9fnt2iRs_.mp4?tag=12", "https://video.twimg.com/ext_tw_video/1594318492890763265/pu/vid/720x1280/7XZ7LMG9fnt2iRs_.mp4?tag=12")</f>
        <v>https://video.twimg.com/ext_tw_video/1594318492890763265/pu/vid/720x1280/7XZ7LMG9fnt2iRs_.mp4?tag=12</v>
      </c>
      <c r="L180">
        <v>0</v>
      </c>
      <c r="M180">
        <v>0</v>
      </c>
      <c r="N180">
        <v>1</v>
      </c>
      <c r="O180">
        <v>0</v>
      </c>
    </row>
    <row r="181" spans="1:15" x14ac:dyDescent="0.2">
      <c r="A181" s="1" t="str">
        <f>HYPERLINK("http://www.twitter.com/banuakdenizli/status/1594312019616100353", "1594312019616100353")</f>
        <v>1594312019616100353</v>
      </c>
      <c r="B181" t="s">
        <v>15</v>
      </c>
      <c r="C181" s="2">
        <v>44885.534502314818</v>
      </c>
      <c r="D181">
        <v>4</v>
      </c>
      <c r="E181">
        <v>0</v>
      </c>
      <c r="G181" t="s">
        <v>215</v>
      </c>
      <c r="L181">
        <v>0</v>
      </c>
      <c r="M181">
        <v>0</v>
      </c>
      <c r="N181">
        <v>1</v>
      </c>
      <c r="O181">
        <v>0</v>
      </c>
    </row>
    <row r="182" spans="1:15" x14ac:dyDescent="0.2">
      <c r="A182" s="1" t="str">
        <f>HYPERLINK("http://www.twitter.com/banuakdenizli/status/1594310298189848576", "1594310298189848576")</f>
        <v>1594310298189848576</v>
      </c>
      <c r="B182" t="s">
        <v>15</v>
      </c>
      <c r="C182" s="2">
        <v>44885.529745370368</v>
      </c>
      <c r="D182">
        <v>0</v>
      </c>
      <c r="E182">
        <v>95</v>
      </c>
      <c r="F182" t="s">
        <v>21</v>
      </c>
      <c r="G182" t="s">
        <v>216</v>
      </c>
      <c r="H182" t="str">
        <f>HYPERLINK("http://pbs.twimg.com/media/FiAeEVQXwAIoDGq.jpg", "http://pbs.twimg.com/media/FiAeEVQXwAIoDGq.jpg")</f>
        <v>http://pbs.twimg.com/media/FiAeEVQXwAIoDGq.jpg</v>
      </c>
      <c r="L182">
        <v>0</v>
      </c>
      <c r="M182">
        <v>0</v>
      </c>
      <c r="N182">
        <v>1</v>
      </c>
      <c r="O182">
        <v>0</v>
      </c>
    </row>
    <row r="183" spans="1:15" x14ac:dyDescent="0.2">
      <c r="A183" s="1" t="str">
        <f>HYPERLINK("http://www.twitter.com/banuakdenizli/status/1594284679812759552", "1594284679812759552")</f>
        <v>1594284679812759552</v>
      </c>
      <c r="B183" t="s">
        <v>15</v>
      </c>
      <c r="C183" s="2">
        <v>44885.459050925929</v>
      </c>
      <c r="D183">
        <v>0</v>
      </c>
      <c r="E183">
        <v>41</v>
      </c>
      <c r="F183" t="s">
        <v>17</v>
      </c>
      <c r="G183" t="s">
        <v>217</v>
      </c>
      <c r="H183" t="str">
        <f>HYPERLINK("http://pbs.twimg.com/media/Fh-VFZhWQAA7K4L.jpg", "http://pbs.twimg.com/media/Fh-VFZhWQAA7K4L.jpg")</f>
        <v>http://pbs.twimg.com/media/Fh-VFZhWQAA7K4L.jpg</v>
      </c>
      <c r="L183">
        <v>0</v>
      </c>
      <c r="M183">
        <v>0</v>
      </c>
      <c r="N183">
        <v>1</v>
      </c>
      <c r="O183">
        <v>0</v>
      </c>
    </row>
    <row r="184" spans="1:15" x14ac:dyDescent="0.2">
      <c r="A184" s="1" t="str">
        <f>HYPERLINK("http://www.twitter.com/banuakdenizli/status/1594279509523632128", "1594279509523632128")</f>
        <v>1594279509523632128</v>
      </c>
      <c r="B184" t="s">
        <v>15</v>
      </c>
      <c r="C184" s="2">
        <v>44885.444791666669</v>
      </c>
      <c r="D184">
        <v>0</v>
      </c>
      <c r="E184">
        <v>4</v>
      </c>
      <c r="F184" t="s">
        <v>218</v>
      </c>
      <c r="G184" t="s">
        <v>219</v>
      </c>
      <c r="H184" t="str">
        <f>HYPERLINK("http://pbs.twimg.com/media/FiAEIHRWQAAPJ62.jpg", "http://pbs.twimg.com/media/FiAEIHRWQAAPJ62.jpg")</f>
        <v>http://pbs.twimg.com/media/FiAEIHRWQAAPJ62.jpg</v>
      </c>
      <c r="L184">
        <v>0</v>
      </c>
      <c r="M184">
        <v>0</v>
      </c>
      <c r="N184">
        <v>1</v>
      </c>
      <c r="O184">
        <v>0</v>
      </c>
    </row>
    <row r="185" spans="1:15" x14ac:dyDescent="0.2">
      <c r="A185" s="1" t="str">
        <f>HYPERLINK("http://www.twitter.com/banuakdenizli/status/1594255594487435266", "1594255594487435266")</f>
        <v>1594255594487435266</v>
      </c>
      <c r="B185" t="s">
        <v>15</v>
      </c>
      <c r="C185" s="2">
        <v>44885.378796296303</v>
      </c>
      <c r="D185">
        <v>0</v>
      </c>
      <c r="E185">
        <v>10</v>
      </c>
      <c r="F185" t="s">
        <v>33</v>
      </c>
      <c r="G185" t="s">
        <v>220</v>
      </c>
      <c r="H185" t="str">
        <f>HYPERLINK("http://pbs.twimg.com/media/Fh-uxn_XEAELikW.jpg", "http://pbs.twimg.com/media/Fh-uxn_XEAELikW.jpg")</f>
        <v>http://pbs.twimg.com/media/Fh-uxn_XEAELikW.jpg</v>
      </c>
      <c r="L185">
        <v>0</v>
      </c>
      <c r="M185">
        <v>0</v>
      </c>
      <c r="N185">
        <v>1</v>
      </c>
      <c r="O185">
        <v>0</v>
      </c>
    </row>
    <row r="186" spans="1:15" x14ac:dyDescent="0.2">
      <c r="A186" s="1" t="str">
        <f>HYPERLINK("http://www.twitter.com/banuakdenizli/status/1594218432974786562", "1594218432974786562")</f>
        <v>1594218432974786562</v>
      </c>
      <c r="B186" t="s">
        <v>15</v>
      </c>
      <c r="C186" s="2">
        <v>44885.276250000003</v>
      </c>
      <c r="D186">
        <v>0</v>
      </c>
      <c r="E186">
        <v>10</v>
      </c>
      <c r="F186" t="s">
        <v>24</v>
      </c>
      <c r="G186" t="s">
        <v>221</v>
      </c>
      <c r="L186">
        <v>0</v>
      </c>
      <c r="M186">
        <v>0</v>
      </c>
      <c r="N186">
        <v>1</v>
      </c>
      <c r="O186">
        <v>0</v>
      </c>
    </row>
    <row r="187" spans="1:15" x14ac:dyDescent="0.2">
      <c r="A187" s="1" t="str">
        <f>HYPERLINK("http://www.twitter.com/banuakdenizli/status/1594059559097737216", "1594059559097737216")</f>
        <v>1594059559097737216</v>
      </c>
      <c r="B187" t="s">
        <v>15</v>
      </c>
      <c r="C187" s="2">
        <v>44884.837835648148</v>
      </c>
      <c r="D187">
        <v>0</v>
      </c>
      <c r="E187">
        <v>215</v>
      </c>
      <c r="F187" t="s">
        <v>17</v>
      </c>
      <c r="G187" t="s">
        <v>222</v>
      </c>
      <c r="L187">
        <v>-0.29599999999999999</v>
      </c>
      <c r="M187">
        <v>8.1000000000000003E-2</v>
      </c>
      <c r="N187">
        <v>0.91900000000000004</v>
      </c>
      <c r="O187">
        <v>0</v>
      </c>
    </row>
    <row r="188" spans="1:15" x14ac:dyDescent="0.2">
      <c r="A188" s="1" t="str">
        <f>HYPERLINK("http://www.twitter.com/banuakdenizli/status/1594007979023650818", "1594007979023650818")</f>
        <v>1594007979023650818</v>
      </c>
      <c r="B188" t="s">
        <v>15</v>
      </c>
      <c r="C188" s="2">
        <v>44884.695509259262</v>
      </c>
      <c r="D188">
        <v>0</v>
      </c>
      <c r="E188">
        <v>98</v>
      </c>
      <c r="F188" t="s">
        <v>223</v>
      </c>
      <c r="G188" t="s">
        <v>224</v>
      </c>
      <c r="H188" t="str">
        <f>HYPERLINK("https://video.twimg.com/ext_tw_video/1594004319996723201/pu/vid/802x540/PC3uuS9VCjDEcPl1.mp4?tag=12", "https://video.twimg.com/ext_tw_video/1594004319996723201/pu/vid/802x540/PC3uuS9VCjDEcPl1.mp4?tag=12")</f>
        <v>https://video.twimg.com/ext_tw_video/1594004319996723201/pu/vid/802x540/PC3uuS9VCjDEcPl1.mp4?tag=12</v>
      </c>
      <c r="L188">
        <v>0.47670000000000001</v>
      </c>
      <c r="M188">
        <v>0</v>
      </c>
      <c r="N188">
        <v>0.91600000000000004</v>
      </c>
      <c r="O188">
        <v>8.4000000000000005E-2</v>
      </c>
    </row>
    <row r="189" spans="1:15" x14ac:dyDescent="0.2">
      <c r="A189" s="1" t="str">
        <f>HYPERLINK("http://www.twitter.com/banuakdenizli/status/1594007806566404107", "1594007806566404107")</f>
        <v>1594007806566404107</v>
      </c>
      <c r="B189" t="s">
        <v>15</v>
      </c>
      <c r="C189" s="2">
        <v>44884.695023148153</v>
      </c>
      <c r="D189">
        <v>0</v>
      </c>
      <c r="E189">
        <v>29</v>
      </c>
      <c r="F189" t="s">
        <v>17</v>
      </c>
      <c r="G189" t="s">
        <v>225</v>
      </c>
      <c r="H189" t="str">
        <f>HYPERLINK("https://video.twimg.com/amplify_video/1594003796069261312/vid/1280x720/OBPmU2pb3whFFf7L.mp4?tag=14", "https://video.twimg.com/amplify_video/1594003796069261312/vid/1280x720/OBPmU2pb3whFFf7L.mp4?tag=14")</f>
        <v>https://video.twimg.com/amplify_video/1594003796069261312/vid/1280x720/OBPmU2pb3whFFf7L.mp4?tag=14</v>
      </c>
      <c r="L189">
        <v>0</v>
      </c>
      <c r="M189">
        <v>0</v>
      </c>
      <c r="N189">
        <v>1</v>
      </c>
      <c r="O189">
        <v>0</v>
      </c>
    </row>
    <row r="190" spans="1:15" x14ac:dyDescent="0.2">
      <c r="A190" s="1" t="str">
        <f>HYPERLINK("http://www.twitter.com/banuakdenizli/status/1594007443629113346", "1594007443629113346")</f>
        <v>1594007443629113346</v>
      </c>
      <c r="B190" t="s">
        <v>15</v>
      </c>
      <c r="C190" s="2">
        <v>44884.694027777783</v>
      </c>
      <c r="D190">
        <v>0</v>
      </c>
      <c r="E190">
        <v>7</v>
      </c>
      <c r="F190" t="s">
        <v>24</v>
      </c>
      <c r="G190" t="s">
        <v>226</v>
      </c>
      <c r="L190">
        <v>0</v>
      </c>
      <c r="M190">
        <v>0</v>
      </c>
      <c r="N190">
        <v>1</v>
      </c>
      <c r="O190">
        <v>0</v>
      </c>
    </row>
    <row r="191" spans="1:15" x14ac:dyDescent="0.2">
      <c r="A191" s="1" t="str">
        <f>HYPERLINK("http://www.twitter.com/banuakdenizli/status/1594007058000420865", "1594007058000420865")</f>
        <v>1594007058000420865</v>
      </c>
      <c r="B191" t="s">
        <v>15</v>
      </c>
      <c r="C191" s="2">
        <v>44884.692962962959</v>
      </c>
      <c r="D191">
        <v>0</v>
      </c>
      <c r="E191">
        <v>381</v>
      </c>
      <c r="F191" t="s">
        <v>21</v>
      </c>
      <c r="G191" t="s">
        <v>227</v>
      </c>
      <c r="H191" t="str">
        <f>HYPERLINK("http://pbs.twimg.com/media/Fh7cIPAWIAEeC7M.jpg", "http://pbs.twimg.com/media/Fh7cIPAWIAEeC7M.jpg")</f>
        <v>http://pbs.twimg.com/media/Fh7cIPAWIAEeC7M.jpg</v>
      </c>
      <c r="L191">
        <v>0</v>
      </c>
      <c r="M191">
        <v>0</v>
      </c>
      <c r="N191">
        <v>1</v>
      </c>
      <c r="O191">
        <v>0</v>
      </c>
    </row>
    <row r="192" spans="1:15" x14ac:dyDescent="0.2">
      <c r="A192" s="1" t="str">
        <f>HYPERLINK("http://www.twitter.com/banuakdenizli/status/1594006830287851520", "1594006830287851520")</f>
        <v>1594006830287851520</v>
      </c>
      <c r="B192" t="s">
        <v>15</v>
      </c>
      <c r="C192" s="2">
        <v>44884.692337962973</v>
      </c>
      <c r="D192">
        <v>0</v>
      </c>
      <c r="E192">
        <v>210</v>
      </c>
      <c r="F192" t="s">
        <v>21</v>
      </c>
      <c r="G192" t="s">
        <v>228</v>
      </c>
      <c r="H192" t="str">
        <f>HYPERLINK("http://pbs.twimg.com/media/Fh8IV0IWYAEIsd0.jpg", "http://pbs.twimg.com/media/Fh8IV0IWYAEIsd0.jpg")</f>
        <v>http://pbs.twimg.com/media/Fh8IV0IWYAEIsd0.jpg</v>
      </c>
      <c r="L192">
        <v>0</v>
      </c>
      <c r="M192">
        <v>0</v>
      </c>
      <c r="N192">
        <v>1</v>
      </c>
      <c r="O192">
        <v>0</v>
      </c>
    </row>
    <row r="193" spans="1:15" x14ac:dyDescent="0.2">
      <c r="A193" s="1" t="str">
        <f>HYPERLINK("http://www.twitter.com/banuakdenizli/status/1594006807290298368", "1594006807290298368")</f>
        <v>1594006807290298368</v>
      </c>
      <c r="B193" t="s">
        <v>15</v>
      </c>
      <c r="C193" s="2">
        <v>44884.69226851852</v>
      </c>
      <c r="D193">
        <v>0</v>
      </c>
      <c r="E193">
        <v>232</v>
      </c>
      <c r="F193" t="s">
        <v>21</v>
      </c>
      <c r="G193" t="s">
        <v>229</v>
      </c>
      <c r="H193" t="str">
        <f>HYPERLINK("http://pbs.twimg.com/media/Fh8HglTWIAAPNEB.jpg", "http://pbs.twimg.com/media/Fh8HglTWIAAPNEB.jpg")</f>
        <v>http://pbs.twimg.com/media/Fh8HglTWIAAPNEB.jpg</v>
      </c>
      <c r="L193">
        <v>0</v>
      </c>
      <c r="M193">
        <v>0</v>
      </c>
      <c r="N193">
        <v>1</v>
      </c>
      <c r="O193">
        <v>0</v>
      </c>
    </row>
    <row r="194" spans="1:15" x14ac:dyDescent="0.2">
      <c r="A194" s="1" t="str">
        <f>HYPERLINK("http://www.twitter.com/banuakdenizli/status/1594002752199270400", "1594002752199270400")</f>
        <v>1594002752199270400</v>
      </c>
      <c r="B194" t="s">
        <v>15</v>
      </c>
      <c r="C194" s="2">
        <v>44884.681076388893</v>
      </c>
      <c r="D194">
        <v>0</v>
      </c>
      <c r="E194">
        <v>74</v>
      </c>
      <c r="F194" t="s">
        <v>17</v>
      </c>
      <c r="G194" t="s">
        <v>230</v>
      </c>
      <c r="H194" t="str">
        <f>HYPERLINK("http://pbs.twimg.com/media/Fh70S9aXkAMMERB.jpg", "http://pbs.twimg.com/media/Fh70S9aXkAMMERB.jpg")</f>
        <v>http://pbs.twimg.com/media/Fh70S9aXkAMMERB.jpg</v>
      </c>
      <c r="I194" t="str">
        <f>HYPERLINK("http://pbs.twimg.com/media/Fh70TJ0XkAEj02h.jpg", "http://pbs.twimg.com/media/Fh70TJ0XkAEj02h.jpg")</f>
        <v>http://pbs.twimg.com/media/Fh70TJ0XkAEj02h.jpg</v>
      </c>
      <c r="J194" t="str">
        <f>HYPERLINK("http://pbs.twimg.com/media/Fh70TSIWQAEzNET.jpg", "http://pbs.twimg.com/media/Fh70TSIWQAEzNET.jpg")</f>
        <v>http://pbs.twimg.com/media/Fh70TSIWQAEzNET.jpg</v>
      </c>
      <c r="K194" t="str">
        <f>HYPERLINK("http://pbs.twimg.com/media/Fh70TZzX0AIz_MZ.jpg", "http://pbs.twimg.com/media/Fh70TZzX0AIz_MZ.jpg")</f>
        <v>http://pbs.twimg.com/media/Fh70TZzX0AIz_MZ.jpg</v>
      </c>
      <c r="L194">
        <v>0</v>
      </c>
      <c r="M194">
        <v>0</v>
      </c>
      <c r="N194">
        <v>1</v>
      </c>
      <c r="O194">
        <v>0</v>
      </c>
    </row>
    <row r="195" spans="1:15" x14ac:dyDescent="0.2">
      <c r="A195" s="1" t="str">
        <f>HYPERLINK("http://www.twitter.com/banuakdenizli/status/1593997262518099969", "1593997262518099969")</f>
        <v>1593997262518099969</v>
      </c>
      <c r="B195" t="s">
        <v>15</v>
      </c>
      <c r="C195" s="2">
        <v>44884.665937500002</v>
      </c>
      <c r="D195">
        <v>4</v>
      </c>
      <c r="E195">
        <v>1</v>
      </c>
      <c r="G195" t="s">
        <v>231</v>
      </c>
      <c r="L195">
        <v>0</v>
      </c>
      <c r="M195">
        <v>0</v>
      </c>
      <c r="N195">
        <v>1</v>
      </c>
      <c r="O195">
        <v>0</v>
      </c>
    </row>
    <row r="196" spans="1:15" x14ac:dyDescent="0.2">
      <c r="A196" s="1" t="str">
        <f>HYPERLINK("http://www.twitter.com/banuakdenizli/status/1593984376647208963", "1593984376647208963")</f>
        <v>1593984376647208963</v>
      </c>
      <c r="B196" t="s">
        <v>15</v>
      </c>
      <c r="C196" s="2">
        <v>44884.630370370367</v>
      </c>
      <c r="D196">
        <v>3</v>
      </c>
      <c r="E196">
        <v>1</v>
      </c>
      <c r="G196" t="s">
        <v>232</v>
      </c>
      <c r="L196">
        <v>0</v>
      </c>
      <c r="M196">
        <v>0</v>
      </c>
      <c r="N196">
        <v>1</v>
      </c>
      <c r="O196">
        <v>0</v>
      </c>
    </row>
    <row r="197" spans="1:15" x14ac:dyDescent="0.2">
      <c r="A197" s="1" t="str">
        <f>HYPERLINK("http://www.twitter.com/banuakdenizli/status/1593962566232965121", "1593962566232965121")</f>
        <v>1593962566232965121</v>
      </c>
      <c r="B197" t="s">
        <v>15</v>
      </c>
      <c r="C197" s="2">
        <v>44884.570185185177</v>
      </c>
      <c r="D197">
        <v>13</v>
      </c>
      <c r="E197">
        <v>6</v>
      </c>
      <c r="G197" t="s">
        <v>233</v>
      </c>
      <c r="L197">
        <v>0</v>
      </c>
      <c r="M197">
        <v>0</v>
      </c>
      <c r="N197">
        <v>1</v>
      </c>
      <c r="O197">
        <v>0</v>
      </c>
    </row>
    <row r="198" spans="1:15" x14ac:dyDescent="0.2">
      <c r="A198" s="1" t="str">
        <f>HYPERLINK("http://www.twitter.com/banuakdenizli/status/1593961462086926336", "1593961462086926336")</f>
        <v>1593961462086926336</v>
      </c>
      <c r="B198" t="s">
        <v>15</v>
      </c>
      <c r="C198" s="2">
        <v>44884.567141203697</v>
      </c>
      <c r="D198">
        <v>0</v>
      </c>
      <c r="E198">
        <v>356</v>
      </c>
      <c r="F198" t="s">
        <v>21</v>
      </c>
      <c r="G198" t="s">
        <v>234</v>
      </c>
      <c r="H198" t="str">
        <f>HYPERLINK("http://pbs.twimg.com/media/Fh7cO9GXEAUSrEU.jpg", "http://pbs.twimg.com/media/Fh7cO9GXEAUSrEU.jpg")</f>
        <v>http://pbs.twimg.com/media/Fh7cO9GXEAUSrEU.jpg</v>
      </c>
      <c r="L198">
        <v>0</v>
      </c>
      <c r="M198">
        <v>0</v>
      </c>
      <c r="N198">
        <v>1</v>
      </c>
      <c r="O198">
        <v>0</v>
      </c>
    </row>
    <row r="199" spans="1:15" x14ac:dyDescent="0.2">
      <c r="A199" s="1" t="str">
        <f>HYPERLINK("http://www.twitter.com/banuakdenizli/status/1593961179528970240", "1593961179528970240")</f>
        <v>1593961179528970240</v>
      </c>
      <c r="B199" t="s">
        <v>15</v>
      </c>
      <c r="C199" s="2">
        <v>44884.566365740742</v>
      </c>
      <c r="D199">
        <v>0</v>
      </c>
      <c r="E199">
        <v>6</v>
      </c>
      <c r="F199" t="s">
        <v>16</v>
      </c>
      <c r="G199" t="s">
        <v>235</v>
      </c>
      <c r="L199">
        <v>0</v>
      </c>
      <c r="M199">
        <v>0</v>
      </c>
      <c r="N199">
        <v>1</v>
      </c>
      <c r="O199">
        <v>0</v>
      </c>
    </row>
    <row r="200" spans="1:15" x14ac:dyDescent="0.2">
      <c r="A200" s="1" t="str">
        <f>HYPERLINK("http://www.twitter.com/banuakdenizli/status/1593952723250151424", "1593952723250151424")</f>
        <v>1593952723250151424</v>
      </c>
      <c r="B200" t="s">
        <v>15</v>
      </c>
      <c r="C200" s="2">
        <v>44884.543032407397</v>
      </c>
      <c r="D200">
        <v>0</v>
      </c>
      <c r="E200">
        <v>90</v>
      </c>
      <c r="F200" t="s">
        <v>17</v>
      </c>
      <c r="G200" t="s">
        <v>236</v>
      </c>
      <c r="H200" t="str">
        <f>HYPERLINK("http://pbs.twimg.com/media/Fh5ccfTWAAIUexS.jpg", "http://pbs.twimg.com/media/Fh5ccfTWAAIUexS.jpg")</f>
        <v>http://pbs.twimg.com/media/Fh5ccfTWAAIUexS.jpg</v>
      </c>
      <c r="L200">
        <v>0</v>
      </c>
      <c r="M200">
        <v>0</v>
      </c>
      <c r="N200">
        <v>1</v>
      </c>
      <c r="O200">
        <v>0</v>
      </c>
    </row>
    <row r="201" spans="1:15" x14ac:dyDescent="0.2">
      <c r="A201" s="1" t="str">
        <f>HYPERLINK("http://www.twitter.com/banuakdenizli/status/1593951024800493569", "1593951024800493569")</f>
        <v>1593951024800493569</v>
      </c>
      <c r="B201" t="s">
        <v>15</v>
      </c>
      <c r="C201" s="2">
        <v>44884.538344907407</v>
      </c>
      <c r="D201">
        <v>0</v>
      </c>
      <c r="E201">
        <v>94</v>
      </c>
      <c r="F201" t="s">
        <v>24</v>
      </c>
      <c r="G201" t="s">
        <v>237</v>
      </c>
      <c r="H201" t="str">
        <f>HYPERLINK("http://pbs.twimg.com/media/Fh7Y-moWYAAEk4w.jpg", "http://pbs.twimg.com/media/Fh7Y-moWYAAEk4w.jpg")</f>
        <v>http://pbs.twimg.com/media/Fh7Y-moWYAAEk4w.jpg</v>
      </c>
      <c r="L201">
        <v>0</v>
      </c>
      <c r="M201">
        <v>0</v>
      </c>
      <c r="N201">
        <v>1</v>
      </c>
      <c r="O201">
        <v>0</v>
      </c>
    </row>
    <row r="202" spans="1:15" x14ac:dyDescent="0.2">
      <c r="A202" s="1" t="str">
        <f>HYPERLINK("http://www.twitter.com/banuakdenizli/status/1593936192764010497", "1593936192764010497")</f>
        <v>1593936192764010497</v>
      </c>
      <c r="B202" t="s">
        <v>15</v>
      </c>
      <c r="C202" s="2">
        <v>44884.497407407413</v>
      </c>
      <c r="D202">
        <v>0</v>
      </c>
      <c r="E202">
        <v>2</v>
      </c>
      <c r="F202" t="s">
        <v>16</v>
      </c>
      <c r="G202" t="s">
        <v>238</v>
      </c>
      <c r="L202">
        <v>0</v>
      </c>
      <c r="M202">
        <v>0</v>
      </c>
      <c r="N202">
        <v>1</v>
      </c>
      <c r="O202">
        <v>0</v>
      </c>
    </row>
    <row r="203" spans="1:15" x14ac:dyDescent="0.2">
      <c r="A203" s="1" t="str">
        <f>HYPERLINK("http://www.twitter.com/banuakdenizli/status/1593935523747340290", "1593935523747340290")</f>
        <v>1593935523747340290</v>
      </c>
      <c r="B203" t="s">
        <v>15</v>
      </c>
      <c r="C203" s="2">
        <v>44884.495567129627</v>
      </c>
      <c r="D203">
        <v>1</v>
      </c>
      <c r="E203">
        <v>0</v>
      </c>
      <c r="G203" t="s">
        <v>239</v>
      </c>
      <c r="L203">
        <v>0</v>
      </c>
      <c r="M203">
        <v>0</v>
      </c>
      <c r="N203">
        <v>1</v>
      </c>
      <c r="O203">
        <v>0</v>
      </c>
    </row>
    <row r="204" spans="1:15" x14ac:dyDescent="0.2">
      <c r="A204" s="1" t="str">
        <f>HYPERLINK("http://www.twitter.com/banuakdenizli/status/1593926614814859270", "1593926614814859270")</f>
        <v>1593926614814859270</v>
      </c>
      <c r="B204" t="s">
        <v>15</v>
      </c>
      <c r="C204" s="2">
        <v>44884.470983796287</v>
      </c>
      <c r="D204">
        <v>0</v>
      </c>
      <c r="E204">
        <v>19</v>
      </c>
      <c r="F204" t="s">
        <v>193</v>
      </c>
      <c r="G204" t="s">
        <v>240</v>
      </c>
      <c r="H204" t="str">
        <f>HYPERLINK("https://video.twimg.com/ext_tw_video/1593910780457541635/pu/vid/1280x720/oDgiCfOynt2ge7pG.mp4?tag=12", "https://video.twimg.com/ext_tw_video/1593910780457541635/pu/vid/1280x720/oDgiCfOynt2ge7pG.mp4?tag=12")</f>
        <v>https://video.twimg.com/ext_tw_video/1593910780457541635/pu/vid/1280x720/oDgiCfOynt2ge7pG.mp4?tag=12</v>
      </c>
      <c r="L204">
        <v>0</v>
      </c>
      <c r="M204">
        <v>0</v>
      </c>
      <c r="N204">
        <v>1</v>
      </c>
      <c r="O204">
        <v>0</v>
      </c>
    </row>
    <row r="205" spans="1:15" x14ac:dyDescent="0.2">
      <c r="A205" s="1" t="str">
        <f>HYPERLINK("http://www.twitter.com/banuakdenizli/status/1593926597022826497", "1593926597022826497")</f>
        <v>1593926597022826497</v>
      </c>
      <c r="B205" t="s">
        <v>15</v>
      </c>
      <c r="C205" s="2">
        <v>44884.470937500002</v>
      </c>
      <c r="D205">
        <v>0</v>
      </c>
      <c r="E205">
        <v>13</v>
      </c>
      <c r="F205" t="s">
        <v>193</v>
      </c>
      <c r="G205" t="s">
        <v>241</v>
      </c>
      <c r="H205" t="str">
        <f>HYPERLINK("http://pbs.twimg.com/media/Fh61zaTXwAAEM4x.jpg", "http://pbs.twimg.com/media/Fh61zaTXwAAEM4x.jpg")</f>
        <v>http://pbs.twimg.com/media/Fh61zaTXwAAEM4x.jpg</v>
      </c>
      <c r="I205" t="str">
        <f>HYPERLINK("http://pbs.twimg.com/media/Fh61zdlXgAAyeBt.jpg", "http://pbs.twimg.com/media/Fh61zdlXgAAyeBt.jpg")</f>
        <v>http://pbs.twimg.com/media/Fh61zdlXgAAyeBt.jpg</v>
      </c>
      <c r="J205" t="str">
        <f>HYPERLINK("http://pbs.twimg.com/media/Fh61zdhXoAEqAFa.jpg", "http://pbs.twimg.com/media/Fh61zdhXoAEqAFa.jpg")</f>
        <v>http://pbs.twimg.com/media/Fh61zdhXoAEqAFa.jpg</v>
      </c>
      <c r="K205" t="str">
        <f>HYPERLINK("http://pbs.twimg.com/media/Fh61zaUXwAAslC8.jpg", "http://pbs.twimg.com/media/Fh61zaUXwAAslC8.jpg")</f>
        <v>http://pbs.twimg.com/media/Fh61zaUXwAAslC8.jpg</v>
      </c>
      <c r="L205">
        <v>0</v>
      </c>
      <c r="M205">
        <v>0</v>
      </c>
      <c r="N205">
        <v>1</v>
      </c>
      <c r="O205">
        <v>0</v>
      </c>
    </row>
    <row r="206" spans="1:15" x14ac:dyDescent="0.2">
      <c r="A206" s="1" t="str">
        <f>HYPERLINK("http://www.twitter.com/banuakdenizli/status/1593926571307442178", "1593926571307442178")</f>
        <v>1593926571307442178</v>
      </c>
      <c r="B206" t="s">
        <v>15</v>
      </c>
      <c r="C206" s="2">
        <v>44884.470856481479</v>
      </c>
      <c r="D206">
        <v>0</v>
      </c>
      <c r="E206">
        <v>8</v>
      </c>
      <c r="F206" t="s">
        <v>193</v>
      </c>
      <c r="G206" t="s">
        <v>242</v>
      </c>
      <c r="H206" t="str">
        <f>HYPERLINK("http://pbs.twimg.com/media/Fh62CVoXwAA0-Eo.jpg", "http://pbs.twimg.com/media/Fh62CVoXwAA0-Eo.jpg")</f>
        <v>http://pbs.twimg.com/media/Fh62CVoXwAA0-Eo.jpg</v>
      </c>
      <c r="I206" t="str">
        <f>HYPERLINK("http://pbs.twimg.com/media/Fh62CVhXgAAskZm.jpg", "http://pbs.twimg.com/media/Fh62CVhXgAAskZm.jpg")</f>
        <v>http://pbs.twimg.com/media/Fh62CVhXgAAskZm.jpg</v>
      </c>
      <c r="J206" t="str">
        <f>HYPERLINK("http://pbs.twimg.com/media/Fh62CViXEAIN80k.jpg", "http://pbs.twimg.com/media/Fh62CViXEAIN80k.jpg")</f>
        <v>http://pbs.twimg.com/media/Fh62CViXEAIN80k.jpg</v>
      </c>
      <c r="K206" t="str">
        <f>HYPERLINK("http://pbs.twimg.com/media/Fh62CVkXgAAIjjl.jpg", "http://pbs.twimg.com/media/Fh62CVkXgAAIjjl.jpg")</f>
        <v>http://pbs.twimg.com/media/Fh62CVkXgAAIjjl.jpg</v>
      </c>
      <c r="L206">
        <v>0</v>
      </c>
      <c r="M206">
        <v>0</v>
      </c>
      <c r="N206">
        <v>1</v>
      </c>
      <c r="O206">
        <v>0</v>
      </c>
    </row>
    <row r="207" spans="1:15" x14ac:dyDescent="0.2">
      <c r="A207" s="1" t="str">
        <f>HYPERLINK("http://www.twitter.com/banuakdenizli/status/1593926540890238976", "1593926540890238976")</f>
        <v>1593926540890238976</v>
      </c>
      <c r="B207" t="s">
        <v>15</v>
      </c>
      <c r="C207" s="2">
        <v>44884.470775462964</v>
      </c>
      <c r="D207">
        <v>0</v>
      </c>
      <c r="E207">
        <v>11</v>
      </c>
      <c r="F207" t="s">
        <v>193</v>
      </c>
      <c r="G207" t="s">
        <v>243</v>
      </c>
      <c r="H207" t="str">
        <f>HYPERLINK("https://video.twimg.com/ext_tw_video/1593912266709245952/pu/vid/1272x720/cmXzarZj-ALcKlxM.mp4?tag=12", "https://video.twimg.com/ext_tw_video/1593912266709245952/pu/vid/1272x720/cmXzarZj-ALcKlxM.mp4?tag=12")</f>
        <v>https://video.twimg.com/ext_tw_video/1593912266709245952/pu/vid/1272x720/cmXzarZj-ALcKlxM.mp4?tag=12</v>
      </c>
      <c r="L207">
        <v>0</v>
      </c>
      <c r="M207">
        <v>0</v>
      </c>
      <c r="N207">
        <v>1</v>
      </c>
      <c r="O207">
        <v>0</v>
      </c>
    </row>
    <row r="208" spans="1:15" x14ac:dyDescent="0.2">
      <c r="A208" s="1" t="str">
        <f>HYPERLINK("http://www.twitter.com/banuakdenizli/status/1593926518715035648", "1593926518715035648")</f>
        <v>1593926518715035648</v>
      </c>
      <c r="B208" t="s">
        <v>15</v>
      </c>
      <c r="C208" s="2">
        <v>44884.470717592587</v>
      </c>
      <c r="D208">
        <v>0</v>
      </c>
      <c r="E208">
        <v>7</v>
      </c>
      <c r="F208" t="s">
        <v>193</v>
      </c>
      <c r="G208" t="s">
        <v>244</v>
      </c>
      <c r="H208" t="str">
        <f>HYPERLINK("https://video.twimg.com/ext_tw_video/1593912914133532672/pu/vid/1272x720/9uBU5ZIxSpcHiGzH.mp4?tag=12", "https://video.twimg.com/ext_tw_video/1593912914133532672/pu/vid/1272x720/9uBU5ZIxSpcHiGzH.mp4?tag=12")</f>
        <v>https://video.twimg.com/ext_tw_video/1593912914133532672/pu/vid/1272x720/9uBU5ZIxSpcHiGzH.mp4?tag=12</v>
      </c>
      <c r="L208">
        <v>0</v>
      </c>
      <c r="M208">
        <v>0</v>
      </c>
      <c r="N208">
        <v>1</v>
      </c>
      <c r="O208">
        <v>0</v>
      </c>
    </row>
    <row r="209" spans="1:15" x14ac:dyDescent="0.2">
      <c r="A209" s="1" t="str">
        <f>HYPERLINK("http://www.twitter.com/banuakdenizli/status/1593926262090858497", "1593926262090858497")</f>
        <v>1593926262090858497</v>
      </c>
      <c r="B209" t="s">
        <v>15</v>
      </c>
      <c r="C209" s="2">
        <v>44884.470011574071</v>
      </c>
      <c r="D209">
        <v>0</v>
      </c>
      <c r="E209">
        <v>12</v>
      </c>
      <c r="F209" t="s">
        <v>24</v>
      </c>
      <c r="G209" t="s">
        <v>245</v>
      </c>
      <c r="L209">
        <v>0</v>
      </c>
      <c r="M209">
        <v>0</v>
      </c>
      <c r="N209">
        <v>1</v>
      </c>
      <c r="O209">
        <v>0</v>
      </c>
    </row>
    <row r="210" spans="1:15" x14ac:dyDescent="0.2">
      <c r="A210" s="1" t="str">
        <f>HYPERLINK("http://www.twitter.com/banuakdenizli/status/1593917775088476161", "1593917775088476161")</f>
        <v>1593917775088476161</v>
      </c>
      <c r="B210" t="s">
        <v>15</v>
      </c>
      <c r="C210" s="2">
        <v>44884.446585648147</v>
      </c>
      <c r="D210">
        <v>0</v>
      </c>
      <c r="E210">
        <v>27</v>
      </c>
      <c r="F210" t="s">
        <v>24</v>
      </c>
      <c r="G210" t="s">
        <v>246</v>
      </c>
      <c r="H210" t="str">
        <f>HYPERLINK("http://pbs.twimg.com/media/Fh6ti0-XoAAxYMZ.jpg", "http://pbs.twimg.com/media/Fh6ti0-XoAAxYMZ.jpg")</f>
        <v>http://pbs.twimg.com/media/Fh6ti0-XoAAxYMZ.jpg</v>
      </c>
      <c r="L210">
        <v>0</v>
      </c>
      <c r="M210">
        <v>0</v>
      </c>
      <c r="N210">
        <v>1</v>
      </c>
      <c r="O210">
        <v>0</v>
      </c>
    </row>
    <row r="211" spans="1:15" x14ac:dyDescent="0.2">
      <c r="A211" s="1" t="str">
        <f>HYPERLINK("http://www.twitter.com/banuakdenizli/status/1593909836642648066", "1593909836642648066")</f>
        <v>1593909836642648066</v>
      </c>
      <c r="B211" t="s">
        <v>15</v>
      </c>
      <c r="C211" s="2">
        <v>44884.424687500003</v>
      </c>
      <c r="D211">
        <v>0</v>
      </c>
      <c r="E211">
        <v>8</v>
      </c>
      <c r="F211" t="s">
        <v>193</v>
      </c>
      <c r="G211" t="s">
        <v>247</v>
      </c>
      <c r="H211" t="str">
        <f>HYPERLINK("https://video.twimg.com/ext_tw_video/1593909585521278977/pu/vid/1280x720/juo3NtkxzMYZGxTe.mp4?tag=12", "https://video.twimg.com/ext_tw_video/1593909585521278977/pu/vid/1280x720/juo3NtkxzMYZGxTe.mp4?tag=12")</f>
        <v>https://video.twimg.com/ext_tw_video/1593909585521278977/pu/vid/1280x720/juo3NtkxzMYZGxTe.mp4?tag=12</v>
      </c>
      <c r="L211">
        <v>0</v>
      </c>
      <c r="M211">
        <v>0</v>
      </c>
      <c r="N211">
        <v>1</v>
      </c>
      <c r="O211">
        <v>0</v>
      </c>
    </row>
    <row r="212" spans="1:15" x14ac:dyDescent="0.2">
      <c r="A212" s="1" t="str">
        <f>HYPERLINK("http://www.twitter.com/banuakdenizli/status/1593867153631072261", "1593867153631072261")</f>
        <v>1593867153631072261</v>
      </c>
      <c r="B212" t="s">
        <v>15</v>
      </c>
      <c r="C212" s="2">
        <v>44884.306898148148</v>
      </c>
      <c r="D212">
        <v>0</v>
      </c>
      <c r="E212">
        <v>12</v>
      </c>
      <c r="F212" t="s">
        <v>24</v>
      </c>
      <c r="G212" t="s">
        <v>248</v>
      </c>
      <c r="H212" t="str">
        <f>HYPERLINK("http://pbs.twimg.com/media/Fh6MyWOXwAAuq_Q.jpg", "http://pbs.twimg.com/media/Fh6MyWOXwAAuq_Q.jpg")</f>
        <v>http://pbs.twimg.com/media/Fh6MyWOXwAAuq_Q.jpg</v>
      </c>
      <c r="L212">
        <v>0</v>
      </c>
      <c r="M212">
        <v>0</v>
      </c>
      <c r="N212">
        <v>1</v>
      </c>
      <c r="O212">
        <v>0</v>
      </c>
    </row>
    <row r="213" spans="1:15" x14ac:dyDescent="0.2">
      <c r="A213" s="1" t="str">
        <f>HYPERLINK("http://www.twitter.com/banuakdenizli/status/1593846885453807622", "1593846885453807622")</f>
        <v>1593846885453807622</v>
      </c>
      <c r="B213" t="s">
        <v>15</v>
      </c>
      <c r="C213" s="2">
        <v>44884.250972222217</v>
      </c>
      <c r="D213">
        <v>0</v>
      </c>
      <c r="E213">
        <v>4</v>
      </c>
      <c r="F213" t="s">
        <v>16</v>
      </c>
      <c r="G213" t="s">
        <v>249</v>
      </c>
      <c r="H213" t="str">
        <f>HYPERLINK("http://pbs.twimg.com/media/Fh34AxWWIAALkS6.jpg", "http://pbs.twimg.com/media/Fh34AxWWIAALkS6.jpg")</f>
        <v>http://pbs.twimg.com/media/Fh34AxWWIAALkS6.jpg</v>
      </c>
      <c r="L213">
        <v>-0.41839999999999999</v>
      </c>
      <c r="M213">
        <v>6.4000000000000001E-2</v>
      </c>
      <c r="N213">
        <v>0.93600000000000005</v>
      </c>
      <c r="O213">
        <v>0</v>
      </c>
    </row>
    <row r="214" spans="1:15" x14ac:dyDescent="0.2">
      <c r="A214" s="1" t="str">
        <f>HYPERLINK("http://www.twitter.com/banuakdenizli/status/1593696303439134728", "1593696303439134728")</f>
        <v>1593696303439134728</v>
      </c>
      <c r="B214" t="s">
        <v>15</v>
      </c>
      <c r="C214" s="2">
        <v>44883.835439814808</v>
      </c>
      <c r="D214">
        <v>0</v>
      </c>
      <c r="E214">
        <v>80</v>
      </c>
      <c r="F214" t="s">
        <v>17</v>
      </c>
      <c r="G214" t="s">
        <v>250</v>
      </c>
      <c r="H214" t="str">
        <f>HYPERLINK("https://video.twimg.com/ext_tw_video/1593642838478278658/pu/vid/1280x720/7xLjamFUm-4YyPH3.mp4?tag=12", "https://video.twimg.com/ext_tw_video/1593642838478278658/pu/vid/1280x720/7xLjamFUm-4YyPH3.mp4?tag=12")</f>
        <v>https://video.twimg.com/ext_tw_video/1593642838478278658/pu/vid/1280x720/7xLjamFUm-4YyPH3.mp4?tag=12</v>
      </c>
      <c r="L214">
        <v>0</v>
      </c>
      <c r="M214">
        <v>0</v>
      </c>
      <c r="N214">
        <v>1</v>
      </c>
      <c r="O214">
        <v>0</v>
      </c>
    </row>
    <row r="215" spans="1:15" x14ac:dyDescent="0.2">
      <c r="A215" s="1" t="str">
        <f>HYPERLINK("http://www.twitter.com/banuakdenizli/status/1593696082504056834", "1593696082504056834")</f>
        <v>1593696082504056834</v>
      </c>
      <c r="B215" t="s">
        <v>15</v>
      </c>
      <c r="C215" s="2">
        <v>44883.834837962961</v>
      </c>
      <c r="D215">
        <v>0</v>
      </c>
      <c r="E215">
        <v>79</v>
      </c>
      <c r="F215" t="s">
        <v>17</v>
      </c>
      <c r="G215" t="s">
        <v>251</v>
      </c>
      <c r="H215" t="str">
        <f>HYPERLINK("https://video.twimg.com/amplify_video/1593686252900954113/vid/640x352/TbUAMemii0fyB0RG.mp4?tag=14", "https://video.twimg.com/amplify_video/1593686252900954113/vid/640x352/TbUAMemii0fyB0RG.mp4?tag=14")</f>
        <v>https://video.twimg.com/amplify_video/1593686252900954113/vid/640x352/TbUAMemii0fyB0RG.mp4?tag=14</v>
      </c>
      <c r="L215">
        <v>0</v>
      </c>
      <c r="M215">
        <v>0</v>
      </c>
      <c r="N215">
        <v>1</v>
      </c>
      <c r="O215">
        <v>0</v>
      </c>
    </row>
    <row r="216" spans="1:15" x14ac:dyDescent="0.2">
      <c r="A216" s="1" t="str">
        <f>HYPERLINK("http://www.twitter.com/banuakdenizli/status/1593689307973402626", "1593689307973402626")</f>
        <v>1593689307973402626</v>
      </c>
      <c r="B216" t="s">
        <v>15</v>
      </c>
      <c r="C216" s="2">
        <v>44883.816134259258</v>
      </c>
      <c r="D216">
        <v>0</v>
      </c>
      <c r="E216">
        <v>5</v>
      </c>
      <c r="F216" t="s">
        <v>252</v>
      </c>
      <c r="G216" t="s">
        <v>253</v>
      </c>
      <c r="H216" t="str">
        <f>HYPERLINK("https://video.twimg.com/ext_tw_video/1593684669802987522/pu/vid/636x360/K1HhATrXDYIAtibO.mp4?tag=12", "https://video.twimg.com/ext_tw_video/1593684669802987522/pu/vid/636x360/K1HhATrXDYIAtibO.mp4?tag=12")</f>
        <v>https://video.twimg.com/ext_tw_video/1593684669802987522/pu/vid/636x360/K1HhATrXDYIAtibO.mp4?tag=12</v>
      </c>
      <c r="L216">
        <v>0</v>
      </c>
      <c r="M216">
        <v>0</v>
      </c>
      <c r="N216">
        <v>1</v>
      </c>
      <c r="O216">
        <v>0</v>
      </c>
    </row>
    <row r="217" spans="1:15" x14ac:dyDescent="0.2">
      <c r="A217" s="1" t="str">
        <f>HYPERLINK("http://www.twitter.com/banuakdenizli/status/1593682339338616833", "1593682339338616833")</f>
        <v>1593682339338616833</v>
      </c>
      <c r="B217" t="s">
        <v>15</v>
      </c>
      <c r="C217" s="2">
        <v>44883.796909722223</v>
      </c>
      <c r="D217">
        <v>0</v>
      </c>
      <c r="E217">
        <v>128</v>
      </c>
      <c r="F217" t="s">
        <v>24</v>
      </c>
      <c r="G217" t="s">
        <v>254</v>
      </c>
      <c r="L217">
        <v>-0.1779</v>
      </c>
      <c r="M217">
        <v>5.2999999999999999E-2</v>
      </c>
      <c r="N217">
        <v>0.91100000000000003</v>
      </c>
      <c r="O217">
        <v>3.5999999999999997E-2</v>
      </c>
    </row>
    <row r="218" spans="1:15" x14ac:dyDescent="0.2">
      <c r="A218" s="1" t="str">
        <f>HYPERLINK("http://www.twitter.com/banuakdenizli/status/1593676960517038080", "1593676960517038080")</f>
        <v>1593676960517038080</v>
      </c>
      <c r="B218" t="s">
        <v>15</v>
      </c>
      <c r="C218" s="2">
        <v>44883.782071759262</v>
      </c>
      <c r="D218">
        <v>0</v>
      </c>
      <c r="E218">
        <v>11</v>
      </c>
      <c r="F218" t="s">
        <v>24</v>
      </c>
      <c r="G218" t="s">
        <v>255</v>
      </c>
      <c r="L218">
        <v>0</v>
      </c>
      <c r="M218">
        <v>0</v>
      </c>
      <c r="N218">
        <v>1</v>
      </c>
      <c r="O218">
        <v>0</v>
      </c>
    </row>
    <row r="219" spans="1:15" x14ac:dyDescent="0.2">
      <c r="A219" s="1" t="str">
        <f>HYPERLINK("http://www.twitter.com/banuakdenizli/status/1593640390241968135", "1593640390241968135")</f>
        <v>1593640390241968135</v>
      </c>
      <c r="B219" t="s">
        <v>15</v>
      </c>
      <c r="C219" s="2">
        <v>44883.681157407409</v>
      </c>
      <c r="D219">
        <v>0</v>
      </c>
      <c r="E219">
        <v>261</v>
      </c>
      <c r="F219" t="s">
        <v>170</v>
      </c>
      <c r="G219" t="s">
        <v>256</v>
      </c>
      <c r="H219" t="str">
        <f>HYPERLINK("http://pbs.twimg.com/media/Fh21UUnWYAAdJ21.jpg", "http://pbs.twimg.com/media/Fh21UUnWYAAdJ21.jpg")</f>
        <v>http://pbs.twimg.com/media/Fh21UUnWYAAdJ21.jpg</v>
      </c>
      <c r="L219">
        <v>0</v>
      </c>
      <c r="M219">
        <v>0</v>
      </c>
      <c r="N219">
        <v>1</v>
      </c>
      <c r="O219">
        <v>0</v>
      </c>
    </row>
    <row r="220" spans="1:15" x14ac:dyDescent="0.2">
      <c r="A220" s="1" t="str">
        <f>HYPERLINK("http://www.twitter.com/banuakdenizli/status/1593626419510202370", "1593626419510202370")</f>
        <v>1593626419510202370</v>
      </c>
      <c r="B220" t="s">
        <v>15</v>
      </c>
      <c r="C220" s="2">
        <v>44883.642604166656</v>
      </c>
      <c r="D220">
        <v>0</v>
      </c>
      <c r="E220">
        <v>72</v>
      </c>
      <c r="F220" t="s">
        <v>16</v>
      </c>
      <c r="G220" t="s">
        <v>257</v>
      </c>
      <c r="H220" t="str">
        <f>HYPERLINK("http://pbs.twimg.com/media/Fh2xdShWYAMuqel.jpg", "http://pbs.twimg.com/media/Fh2xdShWYAMuqel.jpg")</f>
        <v>http://pbs.twimg.com/media/Fh2xdShWYAMuqel.jpg</v>
      </c>
      <c r="L220">
        <v>0</v>
      </c>
      <c r="M220">
        <v>0</v>
      </c>
      <c r="N220">
        <v>1</v>
      </c>
      <c r="O220">
        <v>0</v>
      </c>
    </row>
    <row r="221" spans="1:15" x14ac:dyDescent="0.2">
      <c r="A221" s="1" t="str">
        <f>HYPERLINK("http://www.twitter.com/banuakdenizli/status/1593621718597353473", "1593621718597353473")</f>
        <v>1593621718597353473</v>
      </c>
      <c r="B221" t="s">
        <v>15</v>
      </c>
      <c r="C221" s="2">
        <v>44883.629629629628</v>
      </c>
      <c r="D221">
        <v>0</v>
      </c>
      <c r="E221">
        <v>7</v>
      </c>
      <c r="F221" t="s">
        <v>51</v>
      </c>
      <c r="G221" t="s">
        <v>258</v>
      </c>
      <c r="H221" t="str">
        <f>HYPERLINK("http://pbs.twimg.com/media/Fh2riEDWYAASe68.jpg", "http://pbs.twimg.com/media/Fh2riEDWYAASe68.jpg")</f>
        <v>http://pbs.twimg.com/media/Fh2riEDWYAASe68.jpg</v>
      </c>
      <c r="I221" t="str">
        <f>HYPERLINK("http://pbs.twimg.com/media/Fh2thCYXwAEdQSB.jpg", "http://pbs.twimg.com/media/Fh2thCYXwAEdQSB.jpg")</f>
        <v>http://pbs.twimg.com/media/Fh2thCYXwAEdQSB.jpg</v>
      </c>
      <c r="J221" t="str">
        <f>HYPERLINK("http://pbs.twimg.com/media/Fh2th5zWAAADYGO.jpg", "http://pbs.twimg.com/media/Fh2th5zWAAADYGO.jpg")</f>
        <v>http://pbs.twimg.com/media/Fh2th5zWAAADYGO.jpg</v>
      </c>
      <c r="L221">
        <v>0</v>
      </c>
      <c r="M221">
        <v>0</v>
      </c>
      <c r="N221">
        <v>1</v>
      </c>
      <c r="O221">
        <v>0</v>
      </c>
    </row>
    <row r="222" spans="1:15" x14ac:dyDescent="0.2">
      <c r="A222" s="1" t="str">
        <f>HYPERLINK("http://www.twitter.com/banuakdenizli/status/1593621718584655873", "1593621718584655873")</f>
        <v>1593621718584655873</v>
      </c>
      <c r="B222" t="s">
        <v>15</v>
      </c>
      <c r="C222" s="2">
        <v>44883.629629629628</v>
      </c>
      <c r="D222">
        <v>0</v>
      </c>
      <c r="E222">
        <v>31</v>
      </c>
      <c r="F222" t="s">
        <v>51</v>
      </c>
      <c r="G222" t="s">
        <v>259</v>
      </c>
      <c r="H222" t="str">
        <f>HYPERLINK("http://pbs.twimg.com/media/Fh2qHV6WYAAoxuL.jpg", "http://pbs.twimg.com/media/Fh2qHV6WYAAoxuL.jpg")</f>
        <v>http://pbs.twimg.com/media/Fh2qHV6WYAAoxuL.jpg</v>
      </c>
      <c r="I222" t="str">
        <f>HYPERLINK("http://pbs.twimg.com/media/Fh2qqBOWIAEgTBH.jpg", "http://pbs.twimg.com/media/Fh2qqBOWIAEgTBH.jpg")</f>
        <v>http://pbs.twimg.com/media/Fh2qqBOWIAEgTBH.jpg</v>
      </c>
      <c r="J222" t="str">
        <f>HYPERLINK("http://pbs.twimg.com/media/Fh2q3uJWAAE__1I.jpg", "http://pbs.twimg.com/media/Fh2q3uJWAAE__1I.jpg")</f>
        <v>http://pbs.twimg.com/media/Fh2q3uJWAAE__1I.jpg</v>
      </c>
      <c r="L222">
        <v>0</v>
      </c>
      <c r="M222">
        <v>0</v>
      </c>
      <c r="N222">
        <v>1</v>
      </c>
      <c r="O222">
        <v>0</v>
      </c>
    </row>
    <row r="223" spans="1:15" x14ac:dyDescent="0.2">
      <c r="A223" s="1" t="str">
        <f>HYPERLINK("http://www.twitter.com/banuakdenizli/status/1593569960240070658", "1593569960240070658")</f>
        <v>1593569960240070658</v>
      </c>
      <c r="B223" t="s">
        <v>15</v>
      </c>
      <c r="C223" s="2">
        <v>44883.486805555563</v>
      </c>
      <c r="D223">
        <v>0</v>
      </c>
      <c r="E223">
        <v>54</v>
      </c>
      <c r="F223" t="s">
        <v>24</v>
      </c>
      <c r="G223" t="s">
        <v>260</v>
      </c>
      <c r="H223" t="str">
        <f>HYPERLINK("http://pbs.twimg.com/media/Fh1_WIOX0AEehAI.jpg", "http://pbs.twimg.com/media/Fh1_WIOX0AEehAI.jpg")</f>
        <v>http://pbs.twimg.com/media/Fh1_WIOX0AEehAI.jpg</v>
      </c>
      <c r="L223">
        <v>0</v>
      </c>
      <c r="M223">
        <v>0</v>
      </c>
      <c r="N223">
        <v>1</v>
      </c>
      <c r="O223">
        <v>0</v>
      </c>
    </row>
    <row r="224" spans="1:15" x14ac:dyDescent="0.2">
      <c r="A224" s="1" t="str">
        <f>HYPERLINK("http://www.twitter.com/banuakdenizli/status/1593569378007597057", "1593569378007597057")</f>
        <v>1593569378007597057</v>
      </c>
      <c r="B224" t="s">
        <v>15</v>
      </c>
      <c r="C224" s="2">
        <v>44883.485196759262</v>
      </c>
      <c r="D224">
        <v>0</v>
      </c>
      <c r="E224">
        <v>87</v>
      </c>
      <c r="F224" t="s">
        <v>24</v>
      </c>
      <c r="G224" t="s">
        <v>261</v>
      </c>
      <c r="H224" t="str">
        <f>HYPERLINK("http://pbs.twimg.com/media/Fh1-mXSX0AAkrEN.jpg", "http://pbs.twimg.com/media/Fh1-mXSX0AAkrEN.jpg")</f>
        <v>http://pbs.twimg.com/media/Fh1-mXSX0AAkrEN.jpg</v>
      </c>
      <c r="L224">
        <v>0</v>
      </c>
      <c r="M224">
        <v>0</v>
      </c>
      <c r="N224">
        <v>1</v>
      </c>
      <c r="O224">
        <v>0</v>
      </c>
    </row>
    <row r="225" spans="1:15" x14ac:dyDescent="0.2">
      <c r="A225" s="1" t="str">
        <f>HYPERLINK("http://www.twitter.com/banuakdenizli/status/1593558590115168265", "1593558590115168265")</f>
        <v>1593558590115168265</v>
      </c>
      <c r="B225" t="s">
        <v>15</v>
      </c>
      <c r="C225" s="2">
        <v>44883.455428240741</v>
      </c>
      <c r="D225">
        <v>14</v>
      </c>
      <c r="E225">
        <v>7</v>
      </c>
      <c r="G225" t="s">
        <v>262</v>
      </c>
      <c r="L225">
        <v>0</v>
      </c>
      <c r="M225">
        <v>0</v>
      </c>
      <c r="N225">
        <v>1</v>
      </c>
      <c r="O225">
        <v>0</v>
      </c>
    </row>
    <row r="226" spans="1:15" x14ac:dyDescent="0.2">
      <c r="A226" s="1" t="str">
        <f>HYPERLINK("http://www.twitter.com/banuakdenizli/status/1593549576010715137", "1593549576010715137")</f>
        <v>1593549576010715137</v>
      </c>
      <c r="B226" t="s">
        <v>15</v>
      </c>
      <c r="C226" s="2">
        <v>44883.430555555547</v>
      </c>
      <c r="D226">
        <v>0</v>
      </c>
      <c r="E226">
        <v>0</v>
      </c>
      <c r="G226" t="s">
        <v>263</v>
      </c>
      <c r="L226">
        <v>0</v>
      </c>
      <c r="M226">
        <v>0</v>
      </c>
      <c r="N226">
        <v>1</v>
      </c>
      <c r="O226">
        <v>0</v>
      </c>
    </row>
    <row r="227" spans="1:15" x14ac:dyDescent="0.2">
      <c r="A227" s="1" t="str">
        <f>HYPERLINK("http://www.twitter.com/banuakdenizli/status/1593493249221607424", "1593493249221607424")</f>
        <v>1593493249221607424</v>
      </c>
      <c r="B227" t="s">
        <v>15</v>
      </c>
      <c r="C227" s="2">
        <v>44883.27511574074</v>
      </c>
      <c r="D227">
        <v>0</v>
      </c>
      <c r="E227">
        <v>97</v>
      </c>
      <c r="F227" t="s">
        <v>17</v>
      </c>
      <c r="G227" t="s">
        <v>264</v>
      </c>
      <c r="H227" t="str">
        <f>HYPERLINK("https://video.twimg.com/ext_tw_video/1593356656263544833/pu/vid/848x480/zabJVA7DWgFG1zK2.mp4?tag=12", "https://video.twimg.com/ext_tw_video/1593356656263544833/pu/vid/848x480/zabJVA7DWgFG1zK2.mp4?tag=12")</f>
        <v>https://video.twimg.com/ext_tw_video/1593356656263544833/pu/vid/848x480/zabJVA7DWgFG1zK2.mp4?tag=12</v>
      </c>
      <c r="L227">
        <v>0</v>
      </c>
      <c r="M227">
        <v>0</v>
      </c>
      <c r="N227">
        <v>1</v>
      </c>
      <c r="O227">
        <v>0</v>
      </c>
    </row>
    <row r="228" spans="1:15" x14ac:dyDescent="0.2">
      <c r="A228" s="1" t="str">
        <f>HYPERLINK("http://www.twitter.com/banuakdenizli/status/1593324383766020101", "1593324383766020101")</f>
        <v>1593324383766020101</v>
      </c>
      <c r="B228" t="s">
        <v>15</v>
      </c>
      <c r="C228" s="2">
        <v>44882.80914351852</v>
      </c>
      <c r="D228">
        <v>0</v>
      </c>
      <c r="E228">
        <v>8</v>
      </c>
      <c r="F228" t="s">
        <v>23</v>
      </c>
      <c r="G228" t="s">
        <v>265</v>
      </c>
      <c r="H228" t="str">
        <f>HYPERLINK("http://pbs.twimg.com/media/Fhyd9AzXgAEeNTc.jpg", "http://pbs.twimg.com/media/Fhyd9AzXgAEeNTc.jpg")</f>
        <v>http://pbs.twimg.com/media/Fhyd9AzXgAEeNTc.jpg</v>
      </c>
      <c r="L228">
        <v>0</v>
      </c>
      <c r="M228">
        <v>0</v>
      </c>
      <c r="N228">
        <v>1</v>
      </c>
      <c r="O228">
        <v>0</v>
      </c>
    </row>
    <row r="229" spans="1:15" x14ac:dyDescent="0.2">
      <c r="A229" s="1" t="str">
        <f>HYPERLINK("http://www.twitter.com/banuakdenizli/status/1593309355860004864", "1593309355860004864")</f>
        <v>1593309355860004864</v>
      </c>
      <c r="B229" t="s">
        <v>15</v>
      </c>
      <c r="C229" s="2">
        <v>44882.76767361111</v>
      </c>
      <c r="D229">
        <v>0</v>
      </c>
      <c r="E229">
        <v>6</v>
      </c>
      <c r="F229" t="s">
        <v>24</v>
      </c>
      <c r="G229" t="s">
        <v>266</v>
      </c>
      <c r="H229" t="str">
        <f>HYPERLINK("http://pbs.twimg.com/media/FhyST_MWYAMwR23.jpg", "http://pbs.twimg.com/media/FhyST_MWYAMwR23.jpg")</f>
        <v>http://pbs.twimg.com/media/FhyST_MWYAMwR23.jpg</v>
      </c>
      <c r="L229">
        <v>0.74239999999999995</v>
      </c>
      <c r="M229">
        <v>0</v>
      </c>
      <c r="N229">
        <v>0.84399999999999997</v>
      </c>
      <c r="O229">
        <v>0.156</v>
      </c>
    </row>
    <row r="230" spans="1:15" x14ac:dyDescent="0.2">
      <c r="A230" s="1" t="str">
        <f>HYPERLINK("http://www.twitter.com/banuakdenizli/status/1593261599199985665", "1593261599199985665")</f>
        <v>1593261599199985665</v>
      </c>
      <c r="B230" t="s">
        <v>15</v>
      </c>
      <c r="C230" s="2">
        <v>44882.635891203703</v>
      </c>
      <c r="D230">
        <v>0</v>
      </c>
      <c r="E230">
        <v>23</v>
      </c>
      <c r="F230" t="s">
        <v>16</v>
      </c>
      <c r="G230" t="s">
        <v>267</v>
      </c>
      <c r="H230" t="str">
        <f>HYPERLINK("http://pbs.twimg.com/media/FhxgOTsaUAAXJ2V.jpg", "http://pbs.twimg.com/media/FhxgOTsaUAAXJ2V.jpg")</f>
        <v>http://pbs.twimg.com/media/FhxgOTsaUAAXJ2V.jpg</v>
      </c>
      <c r="L230">
        <v>0</v>
      </c>
      <c r="M230">
        <v>0</v>
      </c>
      <c r="N230">
        <v>1</v>
      </c>
      <c r="O230">
        <v>0</v>
      </c>
    </row>
    <row r="231" spans="1:15" x14ac:dyDescent="0.2">
      <c r="A231" s="1" t="str">
        <f>HYPERLINK("http://www.twitter.com/banuakdenizli/status/1593225785061814272", "1593225785061814272")</f>
        <v>1593225785061814272</v>
      </c>
      <c r="B231" t="s">
        <v>15</v>
      </c>
      <c r="C231" s="2">
        <v>44882.537060185183</v>
      </c>
      <c r="D231">
        <v>0</v>
      </c>
      <c r="E231">
        <v>19</v>
      </c>
      <c r="F231" t="s">
        <v>24</v>
      </c>
      <c r="G231" t="s">
        <v>268</v>
      </c>
      <c r="H231" t="str">
        <f>HYPERLINK("http://pbs.twimg.com/media/FhwwoTUXwAEH9CY.jpg", "http://pbs.twimg.com/media/FhwwoTUXwAEH9CY.jpg")</f>
        <v>http://pbs.twimg.com/media/FhwwoTUXwAEH9CY.jpg</v>
      </c>
      <c r="L231">
        <v>0</v>
      </c>
      <c r="M231">
        <v>0</v>
      </c>
      <c r="N231">
        <v>1</v>
      </c>
      <c r="O231">
        <v>0</v>
      </c>
    </row>
    <row r="232" spans="1:15" x14ac:dyDescent="0.2">
      <c r="A232" s="1" t="str">
        <f>HYPERLINK("http://www.twitter.com/banuakdenizli/status/1593225753537019904", "1593225753537019904")</f>
        <v>1593225753537019904</v>
      </c>
      <c r="B232" t="s">
        <v>15</v>
      </c>
      <c r="C232" s="2">
        <v>44882.536979166667</v>
      </c>
      <c r="D232">
        <v>0</v>
      </c>
      <c r="E232">
        <v>79</v>
      </c>
      <c r="F232" t="s">
        <v>24</v>
      </c>
      <c r="G232" t="s">
        <v>269</v>
      </c>
      <c r="H232" t="str">
        <f>HYPERLINK("http://pbs.twimg.com/media/FhtBhsSWYAMpDMM.jpg", "http://pbs.twimg.com/media/FhtBhsSWYAMpDMM.jpg")</f>
        <v>http://pbs.twimg.com/media/FhtBhsSWYAMpDMM.jpg</v>
      </c>
      <c r="L232">
        <v>0</v>
      </c>
      <c r="M232">
        <v>0</v>
      </c>
      <c r="N232">
        <v>1</v>
      </c>
      <c r="O232">
        <v>0</v>
      </c>
    </row>
    <row r="233" spans="1:15" x14ac:dyDescent="0.2">
      <c r="A233" s="1" t="str">
        <f>HYPERLINK("http://www.twitter.com/banuakdenizli/status/1593220734570336256", "1593220734570336256")</f>
        <v>1593220734570336256</v>
      </c>
      <c r="B233" t="s">
        <v>15</v>
      </c>
      <c r="C233" s="2">
        <v>44882.523125</v>
      </c>
      <c r="D233">
        <v>5</v>
      </c>
      <c r="E233">
        <v>6</v>
      </c>
      <c r="G233" t="s">
        <v>270</v>
      </c>
      <c r="H233" t="str">
        <f>HYPERLINK("http://pbs.twimg.com/media/FhxBZSeWAAI25Bv.jpg", "http://pbs.twimg.com/media/FhxBZSeWAAI25Bv.jpg")</f>
        <v>http://pbs.twimg.com/media/FhxBZSeWAAI25Bv.jpg</v>
      </c>
      <c r="L233">
        <v>0</v>
      </c>
      <c r="M233">
        <v>0</v>
      </c>
      <c r="N233">
        <v>1</v>
      </c>
      <c r="O233">
        <v>0</v>
      </c>
    </row>
    <row r="234" spans="1:15" x14ac:dyDescent="0.2">
      <c r="A234" s="1" t="str">
        <f>HYPERLINK("http://www.twitter.com/banuakdenizli/status/1593122189934399489", "1593122189934399489")</f>
        <v>1593122189934399489</v>
      </c>
      <c r="B234" t="s">
        <v>15</v>
      </c>
      <c r="C234" s="2">
        <v>44882.251192129632</v>
      </c>
      <c r="D234">
        <v>0</v>
      </c>
      <c r="E234">
        <v>7</v>
      </c>
      <c r="F234" t="s">
        <v>223</v>
      </c>
      <c r="G234" t="s">
        <v>271</v>
      </c>
      <c r="H234" t="str">
        <f>HYPERLINK("http://pbs.twimg.com/media/FhsknwhXgAcFf3C.jpg", "http://pbs.twimg.com/media/FhsknwhXgAcFf3C.jpg")</f>
        <v>http://pbs.twimg.com/media/FhsknwhXgAcFf3C.jpg</v>
      </c>
      <c r="L234">
        <v>0</v>
      </c>
      <c r="M234">
        <v>0</v>
      </c>
      <c r="N234">
        <v>1</v>
      </c>
      <c r="O234">
        <v>0</v>
      </c>
    </row>
    <row r="235" spans="1:15" x14ac:dyDescent="0.2">
      <c r="A235" s="1" t="str">
        <f>HYPERLINK("http://www.twitter.com/banuakdenizli/status/1592971931594416130", "1592971931594416130")</f>
        <v>1592971931594416130</v>
      </c>
      <c r="B235" t="s">
        <v>15</v>
      </c>
      <c r="C235" s="2">
        <v>44881.836562500001</v>
      </c>
      <c r="D235">
        <v>0</v>
      </c>
      <c r="E235">
        <v>116</v>
      </c>
      <c r="F235" t="s">
        <v>17</v>
      </c>
      <c r="G235" t="s">
        <v>272</v>
      </c>
      <c r="H235" t="str">
        <f>HYPERLINK("https://video.twimg.com/amplify_video/1592935903420248064/vid/848x480/hVFjMHviwQmZ_QtF.mp4?tag=14", "https://video.twimg.com/amplify_video/1592935903420248064/vid/848x480/hVFjMHviwQmZ_QtF.mp4?tag=14")</f>
        <v>https://video.twimg.com/amplify_video/1592935903420248064/vid/848x480/hVFjMHviwQmZ_QtF.mp4?tag=14</v>
      </c>
      <c r="L235">
        <v>0</v>
      </c>
      <c r="M235">
        <v>0</v>
      </c>
      <c r="N235">
        <v>1</v>
      </c>
      <c r="O235">
        <v>0</v>
      </c>
    </row>
    <row r="236" spans="1:15" x14ac:dyDescent="0.2">
      <c r="A236" s="1" t="str">
        <f>HYPERLINK("http://www.twitter.com/banuakdenizli/status/1592859001796333576", "1592859001796333576")</f>
        <v>1592859001796333576</v>
      </c>
      <c r="B236" t="s">
        <v>15</v>
      </c>
      <c r="C236" s="2">
        <v>44881.524930555563</v>
      </c>
      <c r="D236">
        <v>33</v>
      </c>
      <c r="E236">
        <v>21</v>
      </c>
      <c r="G236" t="s">
        <v>273</v>
      </c>
      <c r="H236" t="str">
        <f>HYPERLINK("http://pbs.twimg.com/media/Fhr40MoXEAEatJ9.jpg", "http://pbs.twimg.com/media/Fhr40MoXEAEatJ9.jpg")</f>
        <v>http://pbs.twimg.com/media/Fhr40MoXEAEatJ9.jpg</v>
      </c>
      <c r="L236">
        <v>0</v>
      </c>
      <c r="M236">
        <v>0</v>
      </c>
      <c r="N236">
        <v>1</v>
      </c>
      <c r="O236">
        <v>0</v>
      </c>
    </row>
    <row r="237" spans="1:15" x14ac:dyDescent="0.2">
      <c r="A237" s="1" t="str">
        <f>HYPERLINK("http://www.twitter.com/banuakdenizli/status/1592853049772761088", "1592853049772761088")</f>
        <v>1592853049772761088</v>
      </c>
      <c r="B237" t="s">
        <v>15</v>
      </c>
      <c r="C237" s="2">
        <v>44881.508506944447</v>
      </c>
      <c r="D237">
        <v>0</v>
      </c>
      <c r="E237">
        <v>2</v>
      </c>
      <c r="F237" t="s">
        <v>274</v>
      </c>
      <c r="G237" t="s">
        <v>275</v>
      </c>
      <c r="H237" t="str">
        <f>HYPERLINK("http://pbs.twimg.com/media/Fhrmp44WIAAmChS.jpg", "http://pbs.twimg.com/media/Fhrmp44WIAAmChS.jpg")</f>
        <v>http://pbs.twimg.com/media/Fhrmp44WIAAmChS.jpg</v>
      </c>
      <c r="L237">
        <v>0</v>
      </c>
      <c r="M237">
        <v>0</v>
      </c>
      <c r="N237">
        <v>1</v>
      </c>
      <c r="O237">
        <v>0</v>
      </c>
    </row>
    <row r="238" spans="1:15" x14ac:dyDescent="0.2">
      <c r="A238" s="1" t="str">
        <f>HYPERLINK("http://www.twitter.com/banuakdenizli/status/1592830916237279232", "1592830916237279232")</f>
        <v>1592830916237279232</v>
      </c>
      <c r="B238" t="s">
        <v>15</v>
      </c>
      <c r="C238" s="2">
        <v>44881.447430555563</v>
      </c>
      <c r="D238">
        <v>3</v>
      </c>
      <c r="E238">
        <v>1</v>
      </c>
      <c r="G238" t="s">
        <v>276</v>
      </c>
      <c r="L238">
        <v>0</v>
      </c>
      <c r="M238">
        <v>0</v>
      </c>
      <c r="N238">
        <v>1</v>
      </c>
      <c r="O238">
        <v>0</v>
      </c>
    </row>
    <row r="239" spans="1:15" x14ac:dyDescent="0.2">
      <c r="A239" s="1" t="str">
        <f>HYPERLINK("http://www.twitter.com/banuakdenizli/status/1592820960570540035", "1592820960570540035")</f>
        <v>1592820960570540035</v>
      </c>
      <c r="B239" t="s">
        <v>15</v>
      </c>
      <c r="C239" s="2">
        <v>44881.419953703713</v>
      </c>
      <c r="D239">
        <v>2</v>
      </c>
      <c r="E239">
        <v>2</v>
      </c>
      <c r="G239" t="s">
        <v>277</v>
      </c>
      <c r="H239" t="str">
        <f>HYPERLINK("http://pbs.twimg.com/media/FhrDxOhXEAAB4op.png", "http://pbs.twimg.com/media/FhrDxOhXEAAB4op.png")</f>
        <v>http://pbs.twimg.com/media/FhrDxOhXEAAB4op.png</v>
      </c>
      <c r="L239">
        <v>0</v>
      </c>
      <c r="M239">
        <v>0</v>
      </c>
      <c r="N239">
        <v>1</v>
      </c>
      <c r="O239">
        <v>0</v>
      </c>
    </row>
    <row r="240" spans="1:15" x14ac:dyDescent="0.2">
      <c r="A240" s="1" t="str">
        <f>HYPERLINK("http://www.twitter.com/banuakdenizli/status/1592811198767976448", "1592811198767976448")</f>
        <v>1592811198767976448</v>
      </c>
      <c r="B240" t="s">
        <v>15</v>
      </c>
      <c r="C240" s="2">
        <v>44881.393020833333</v>
      </c>
      <c r="D240">
        <v>0</v>
      </c>
      <c r="E240">
        <v>8</v>
      </c>
      <c r="F240" t="s">
        <v>16</v>
      </c>
      <c r="G240" t="s">
        <v>278</v>
      </c>
      <c r="L240">
        <v>0</v>
      </c>
      <c r="M240">
        <v>0</v>
      </c>
      <c r="N240">
        <v>1</v>
      </c>
      <c r="O240">
        <v>0</v>
      </c>
    </row>
    <row r="241" spans="1:15" x14ac:dyDescent="0.2">
      <c r="A241" s="1" t="str">
        <f>HYPERLINK("http://www.twitter.com/banuakdenizli/status/1592761241340350465", "1592761241340350465")</f>
        <v>1592761241340350465</v>
      </c>
      <c r="B241" t="s">
        <v>15</v>
      </c>
      <c r="C241" s="2">
        <v>44881.255162037043</v>
      </c>
      <c r="D241">
        <v>14</v>
      </c>
      <c r="E241">
        <v>10</v>
      </c>
      <c r="G241" t="s">
        <v>279</v>
      </c>
      <c r="H241" t="str">
        <f>HYPERLINK("http://pbs.twimg.com/media/Fhqf53yXkAQHwZR.jpg", "http://pbs.twimg.com/media/Fhqf53yXkAQHwZR.jpg")</f>
        <v>http://pbs.twimg.com/media/Fhqf53yXkAQHwZR.jpg</v>
      </c>
      <c r="L241">
        <v>0</v>
      </c>
      <c r="M241">
        <v>0</v>
      </c>
      <c r="N241">
        <v>1</v>
      </c>
      <c r="O241">
        <v>0</v>
      </c>
    </row>
    <row r="242" spans="1:15" x14ac:dyDescent="0.2">
      <c r="A242" s="1" t="str">
        <f>HYPERLINK("http://www.twitter.com/banuakdenizli/status/1592630956774420480", "1592630956774420480")</f>
        <v>1592630956774420480</v>
      </c>
      <c r="B242" t="s">
        <v>15</v>
      </c>
      <c r="C242" s="2">
        <v>44880.895648148151</v>
      </c>
      <c r="D242">
        <v>0</v>
      </c>
      <c r="E242">
        <v>12</v>
      </c>
      <c r="F242" t="s">
        <v>19</v>
      </c>
      <c r="G242" t="s">
        <v>280</v>
      </c>
      <c r="H242" t="str">
        <f>HYPERLINK("http://pbs.twimg.com/media/FhopKudXEAgn4oJ.jpg", "http://pbs.twimg.com/media/FhopKudXEAgn4oJ.jpg")</f>
        <v>http://pbs.twimg.com/media/FhopKudXEAgn4oJ.jpg</v>
      </c>
      <c r="L242">
        <v>0</v>
      </c>
      <c r="M242">
        <v>0</v>
      </c>
      <c r="N242">
        <v>1</v>
      </c>
      <c r="O242">
        <v>0</v>
      </c>
    </row>
    <row r="243" spans="1:15" x14ac:dyDescent="0.2">
      <c r="A243" s="1" t="str">
        <f>HYPERLINK("http://www.twitter.com/banuakdenizli/status/1592612411739361280", "1592612411739361280")</f>
        <v>1592612411739361280</v>
      </c>
      <c r="B243" t="s">
        <v>15</v>
      </c>
      <c r="C243" s="2">
        <v>44880.844467592593</v>
      </c>
      <c r="D243">
        <v>0</v>
      </c>
      <c r="E243">
        <v>24</v>
      </c>
      <c r="F243" t="s">
        <v>18</v>
      </c>
      <c r="G243" t="s">
        <v>281</v>
      </c>
      <c r="H243" t="str">
        <f>HYPERLINK("http://pbs.twimg.com/media/FhoEuEeXoAAt3O_.jpg", "http://pbs.twimg.com/media/FhoEuEeXoAAt3O_.jpg")</f>
        <v>http://pbs.twimg.com/media/FhoEuEeXoAAt3O_.jpg</v>
      </c>
      <c r="L243">
        <v>0</v>
      </c>
      <c r="M243">
        <v>0</v>
      </c>
      <c r="N243">
        <v>1</v>
      </c>
      <c r="O243">
        <v>0</v>
      </c>
    </row>
    <row r="244" spans="1:15" x14ac:dyDescent="0.2">
      <c r="A244" s="1" t="str">
        <f>HYPERLINK("http://www.twitter.com/banuakdenizli/status/1592452966304583680", "1592452966304583680")</f>
        <v>1592452966304583680</v>
      </c>
      <c r="B244" t="s">
        <v>15</v>
      </c>
      <c r="C244" s="2">
        <v>44880.404490740737</v>
      </c>
      <c r="D244">
        <v>0</v>
      </c>
      <c r="E244">
        <v>4</v>
      </c>
      <c r="F244" t="s">
        <v>15</v>
      </c>
      <c r="G244" t="s">
        <v>282</v>
      </c>
      <c r="L244">
        <v>0</v>
      </c>
      <c r="M244">
        <v>0</v>
      </c>
      <c r="N244">
        <v>1</v>
      </c>
      <c r="O244">
        <v>0</v>
      </c>
    </row>
    <row r="245" spans="1:15" x14ac:dyDescent="0.2">
      <c r="A245" s="1" t="str">
        <f>HYPERLINK("http://www.twitter.com/banuakdenizli/status/1592451940700459018", "1592451940700459018")</f>
        <v>1592451940700459018</v>
      </c>
      <c r="B245" t="s">
        <v>15</v>
      </c>
      <c r="C245" s="2">
        <v>44880.401655092603</v>
      </c>
      <c r="D245">
        <v>5</v>
      </c>
      <c r="E245">
        <v>4</v>
      </c>
      <c r="G245" t="s">
        <v>282</v>
      </c>
      <c r="L245">
        <v>0</v>
      </c>
      <c r="M245">
        <v>0</v>
      </c>
      <c r="N245">
        <v>1</v>
      </c>
      <c r="O245">
        <v>0</v>
      </c>
    </row>
    <row r="246" spans="1:15" x14ac:dyDescent="0.2">
      <c r="A246" s="1" t="str">
        <f>HYPERLINK("http://www.twitter.com/banuakdenizli/status/1592397988751896580", "1592397988751896580")</f>
        <v>1592397988751896580</v>
      </c>
      <c r="B246" t="s">
        <v>15</v>
      </c>
      <c r="C246" s="2">
        <v>44880.25277777778</v>
      </c>
      <c r="D246">
        <v>5</v>
      </c>
      <c r="E246">
        <v>3</v>
      </c>
      <c r="G246" t="s">
        <v>283</v>
      </c>
      <c r="L246">
        <v>0</v>
      </c>
      <c r="M246">
        <v>0</v>
      </c>
      <c r="N246">
        <v>1</v>
      </c>
      <c r="O246">
        <v>0</v>
      </c>
    </row>
    <row r="247" spans="1:15" x14ac:dyDescent="0.2">
      <c r="A247" s="1" t="str">
        <f>HYPERLINK("http://www.twitter.com/banuakdenizli/status/1592396059661115392", "1592396059661115392")</f>
        <v>1592396059661115392</v>
      </c>
      <c r="B247" t="s">
        <v>15</v>
      </c>
      <c r="C247" s="2">
        <v>44880.247453703712</v>
      </c>
      <c r="D247">
        <v>0</v>
      </c>
      <c r="E247">
        <v>10</v>
      </c>
      <c r="F247" t="s">
        <v>18</v>
      </c>
      <c r="G247" t="s">
        <v>284</v>
      </c>
      <c r="H247" t="str">
        <f>HYPERLINK("http://pbs.twimg.com/media/Fhi2Ic7XgAEVx78.jpg", "http://pbs.twimg.com/media/Fhi2Ic7XgAEVx78.jpg")</f>
        <v>http://pbs.twimg.com/media/Fhi2Ic7XgAEVx78.jpg</v>
      </c>
      <c r="L247">
        <v>0</v>
      </c>
      <c r="M247">
        <v>0</v>
      </c>
      <c r="N247">
        <v>1</v>
      </c>
      <c r="O247">
        <v>0</v>
      </c>
    </row>
    <row r="248" spans="1:15" x14ac:dyDescent="0.2">
      <c r="A248" s="1" t="str">
        <f>HYPERLINK("http://www.twitter.com/banuakdenizli/status/1592395737018826755", "1592395737018826755")</f>
        <v>1592395737018826755</v>
      </c>
      <c r="B248" t="s">
        <v>15</v>
      </c>
      <c r="C248" s="2">
        <v>44880.246562499997</v>
      </c>
      <c r="D248">
        <v>0</v>
      </c>
      <c r="E248">
        <v>60</v>
      </c>
      <c r="F248" t="s">
        <v>20</v>
      </c>
      <c r="G248" t="s">
        <v>285</v>
      </c>
      <c r="H248" t="str">
        <f>HYPERLINK("http://pbs.twimg.com/media/FhipG92X0AEvR0R.jpg", "http://pbs.twimg.com/media/FhipG92X0AEvR0R.jpg")</f>
        <v>http://pbs.twimg.com/media/FhipG92X0AEvR0R.jpg</v>
      </c>
      <c r="I248" t="str">
        <f>HYPERLINK("http://pbs.twimg.com/media/FhipHIxXEAUcdbN.jpg", "http://pbs.twimg.com/media/FhipHIxXEAUcdbN.jpg")</f>
        <v>http://pbs.twimg.com/media/FhipHIxXEAUcdbN.jpg</v>
      </c>
      <c r="L248">
        <v>-0.35949999999999999</v>
      </c>
      <c r="M248">
        <v>7.3999999999999996E-2</v>
      </c>
      <c r="N248">
        <v>0.92600000000000005</v>
      </c>
      <c r="O248">
        <v>0</v>
      </c>
    </row>
    <row r="249" spans="1:15" x14ac:dyDescent="0.2">
      <c r="A249" s="1" t="str">
        <f>HYPERLINK("http://www.twitter.com/banuakdenizli/status/1592395404951556096", "1592395404951556096")</f>
        <v>1592395404951556096</v>
      </c>
      <c r="B249" t="s">
        <v>15</v>
      </c>
      <c r="C249" s="2">
        <v>44880.245648148149</v>
      </c>
      <c r="D249">
        <v>5</v>
      </c>
      <c r="E249">
        <v>3</v>
      </c>
      <c r="G249" t="s">
        <v>286</v>
      </c>
      <c r="H249" t="str">
        <f>HYPERLINK("https://video.twimg.com/ext_tw_video/1592395319416963078/pu/vid/1280x720/on3J4yqfMQtMKO-r.mp4?tag=12", "https://video.twimg.com/ext_tw_video/1592395319416963078/pu/vid/1280x720/on3J4yqfMQtMKO-r.mp4?tag=12")</f>
        <v>https://video.twimg.com/ext_tw_video/1592395319416963078/pu/vid/1280x720/on3J4yqfMQtMKO-r.mp4?tag=12</v>
      </c>
      <c r="L249">
        <v>0</v>
      </c>
      <c r="M249">
        <v>0</v>
      </c>
      <c r="N249">
        <v>1</v>
      </c>
      <c r="O249">
        <v>0</v>
      </c>
    </row>
    <row r="250" spans="1:15" x14ac:dyDescent="0.2">
      <c r="A250" s="1" t="str">
        <f>HYPERLINK("http://www.twitter.com/banuakdenizli/status/1592156017818845184", "1592156017818845184")</f>
        <v>1592156017818845184</v>
      </c>
      <c r="B250" t="s">
        <v>15</v>
      </c>
      <c r="C250" s="2">
        <v>44879.585069444453</v>
      </c>
      <c r="D250">
        <v>0</v>
      </c>
      <c r="E250">
        <v>36</v>
      </c>
      <c r="F250" t="s">
        <v>24</v>
      </c>
      <c r="G250" t="s">
        <v>287</v>
      </c>
      <c r="H250" t="str">
        <f>HYPERLINK("http://pbs.twimg.com/media/Fhh2l-AX0AA26sh.jpg", "http://pbs.twimg.com/media/Fhh2l-AX0AA26sh.jpg")</f>
        <v>http://pbs.twimg.com/media/Fhh2l-AX0AA26sh.jpg</v>
      </c>
      <c r="L250">
        <v>0</v>
      </c>
      <c r="M250">
        <v>0</v>
      </c>
      <c r="N250">
        <v>1</v>
      </c>
      <c r="O250">
        <v>0</v>
      </c>
    </row>
    <row r="251" spans="1:15" x14ac:dyDescent="0.2">
      <c r="A251" s="1" t="str">
        <f>HYPERLINK("http://www.twitter.com/banuakdenizli/status/1592040926679302144", "1592040926679302144")</f>
        <v>1592040926679302144</v>
      </c>
      <c r="B251" t="s">
        <v>15</v>
      </c>
      <c r="C251" s="2">
        <v>44879.267476851863</v>
      </c>
      <c r="D251">
        <v>11</v>
      </c>
      <c r="E251">
        <v>5</v>
      </c>
      <c r="G251" t="s">
        <v>288</v>
      </c>
      <c r="H251" t="str">
        <f>HYPERLINK("https://video.twimg.com/ext_tw_video/1592040883641253890/pu/vid/848x480/YMnDMtnFB8I8hVMR.mp4?tag=12", "https://video.twimg.com/ext_tw_video/1592040883641253890/pu/vid/848x480/YMnDMtnFB8I8hVMR.mp4?tag=12")</f>
        <v>https://video.twimg.com/ext_tw_video/1592040883641253890/pu/vid/848x480/YMnDMtnFB8I8hVMR.mp4?tag=12</v>
      </c>
      <c r="L251">
        <v>0</v>
      </c>
      <c r="M251">
        <v>0</v>
      </c>
      <c r="N251">
        <v>1</v>
      </c>
      <c r="O251">
        <v>0</v>
      </c>
    </row>
    <row r="252" spans="1:15" x14ac:dyDescent="0.2">
      <c r="A252" s="1" t="str">
        <f>HYPERLINK("http://www.twitter.com/banuakdenizli/status/1592015101934043136", "1592015101934043136")</f>
        <v>1592015101934043136</v>
      </c>
      <c r="B252" t="s">
        <v>15</v>
      </c>
      <c r="C252" s="2">
        <v>44879.196215277778</v>
      </c>
      <c r="D252">
        <v>0</v>
      </c>
      <c r="E252">
        <v>76</v>
      </c>
      <c r="F252" t="s">
        <v>17</v>
      </c>
      <c r="G252" t="s">
        <v>289</v>
      </c>
      <c r="H252" t="str">
        <f>HYPERLINK("https://video.twimg.com/ext_tw_video/1591661376522620928/pu/vid/848x480/eYwyJff8rfb4glrF.mp4?tag=12", "https://video.twimg.com/ext_tw_video/1591661376522620928/pu/vid/848x480/eYwyJff8rfb4glrF.mp4?tag=12")</f>
        <v>https://video.twimg.com/ext_tw_video/1591661376522620928/pu/vid/848x480/eYwyJff8rfb4glrF.mp4?tag=12</v>
      </c>
      <c r="L252">
        <v>0</v>
      </c>
      <c r="M252">
        <v>0</v>
      </c>
      <c r="N252">
        <v>1</v>
      </c>
      <c r="O252">
        <v>0</v>
      </c>
    </row>
    <row r="253" spans="1:15" x14ac:dyDescent="0.2">
      <c r="A253" s="1" t="str">
        <f>HYPERLINK("http://www.twitter.com/banuakdenizli/status/1591847364184412160", "1591847364184412160")</f>
        <v>1591847364184412160</v>
      </c>
      <c r="B253" t="s">
        <v>15</v>
      </c>
      <c r="C253" s="2">
        <v>44878.733344907407</v>
      </c>
      <c r="D253">
        <v>0</v>
      </c>
      <c r="E253">
        <v>10</v>
      </c>
      <c r="F253" t="s">
        <v>290</v>
      </c>
      <c r="G253" t="s">
        <v>291</v>
      </c>
      <c r="H253" t="str">
        <f>HYPERLINK("https://video.twimg.com/ext_tw_video/1591475164184813569/pu/vid/720x1280/HipLqGdsWUJdklfa.mp4?tag=12", "https://video.twimg.com/ext_tw_video/1591475164184813569/pu/vid/720x1280/HipLqGdsWUJdklfa.mp4?tag=12")</f>
        <v>https://video.twimg.com/ext_tw_video/1591475164184813569/pu/vid/720x1280/HipLqGdsWUJdklfa.mp4?tag=12</v>
      </c>
      <c r="L253">
        <v>0</v>
      </c>
      <c r="M253">
        <v>0</v>
      </c>
      <c r="N253">
        <v>1</v>
      </c>
      <c r="O253">
        <v>0</v>
      </c>
    </row>
    <row r="254" spans="1:15" x14ac:dyDescent="0.2">
      <c r="A254" s="1" t="str">
        <f>HYPERLINK("http://www.twitter.com/banuakdenizli/status/1591844066198978561", "1591844066198978561")</f>
        <v>1591844066198978561</v>
      </c>
      <c r="B254" t="s">
        <v>15</v>
      </c>
      <c r="C254" s="2">
        <v>44878.724247685182</v>
      </c>
      <c r="D254">
        <v>0</v>
      </c>
      <c r="E254">
        <v>0</v>
      </c>
      <c r="G254" t="s">
        <v>292</v>
      </c>
      <c r="L254">
        <v>0</v>
      </c>
      <c r="M254">
        <v>0</v>
      </c>
      <c r="N254">
        <v>1</v>
      </c>
      <c r="O254">
        <v>0</v>
      </c>
    </row>
    <row r="255" spans="1:15" x14ac:dyDescent="0.2">
      <c r="A255" s="1" t="str">
        <f>HYPERLINK("http://www.twitter.com/banuakdenizli/status/1591841769284681736", "1591841769284681736")</f>
        <v>1591841769284681736</v>
      </c>
      <c r="B255" t="s">
        <v>15</v>
      </c>
      <c r="C255" s="2">
        <v>44878.717905092592</v>
      </c>
      <c r="D255">
        <v>0</v>
      </c>
      <c r="E255">
        <v>3</v>
      </c>
      <c r="F255" t="s">
        <v>122</v>
      </c>
      <c r="G255" t="s">
        <v>293</v>
      </c>
      <c r="H255" t="str">
        <f>HYPERLINK("https://video.twimg.com/ext_tw_video/1591829753383845889/pu/vid/720x1280/UfPEyYfBUJ4f5TSx.mp4?tag=12", "https://video.twimg.com/ext_tw_video/1591829753383845889/pu/vid/720x1280/UfPEyYfBUJ4f5TSx.mp4?tag=12")</f>
        <v>https://video.twimg.com/ext_tw_video/1591829753383845889/pu/vid/720x1280/UfPEyYfBUJ4f5TSx.mp4?tag=12</v>
      </c>
      <c r="L255">
        <v>0.61240000000000006</v>
      </c>
      <c r="M255">
        <v>0</v>
      </c>
      <c r="N255">
        <v>0.83299999999999996</v>
      </c>
      <c r="O255">
        <v>0.16700000000000001</v>
      </c>
    </row>
    <row r="256" spans="1:15" x14ac:dyDescent="0.2">
      <c r="A256" s="1" t="str">
        <f>HYPERLINK("http://www.twitter.com/banuakdenizli/status/1591708249019088899", "1591708249019088899")</f>
        <v>1591708249019088899</v>
      </c>
      <c r="B256" t="s">
        <v>15</v>
      </c>
      <c r="C256" s="2">
        <v>44878.349456018521</v>
      </c>
      <c r="D256">
        <v>0</v>
      </c>
      <c r="E256">
        <v>67</v>
      </c>
      <c r="F256" t="s">
        <v>17</v>
      </c>
      <c r="G256" t="s">
        <v>294</v>
      </c>
      <c r="H256" t="str">
        <f>HYPERLINK("https://video.twimg.com/ext_tw_video/1591481638176886788/pu/vid/848x480/xX3MBfr_r0dEPSe6.mp4?tag=12", "https://video.twimg.com/ext_tw_video/1591481638176886788/pu/vid/848x480/xX3MBfr_r0dEPSe6.mp4?tag=12")</f>
        <v>https://video.twimg.com/ext_tw_video/1591481638176886788/pu/vid/848x480/xX3MBfr_r0dEPSe6.mp4?tag=12</v>
      </c>
      <c r="L256">
        <v>0</v>
      </c>
      <c r="M256">
        <v>0</v>
      </c>
      <c r="N256">
        <v>1</v>
      </c>
      <c r="O256">
        <v>0</v>
      </c>
    </row>
    <row r="257" spans="1:15" x14ac:dyDescent="0.2">
      <c r="A257" s="1" t="str">
        <f>HYPERLINK("http://www.twitter.com/banuakdenizli/status/1591675812402855936", "1591675812402855936")</f>
        <v>1591675812402855936</v>
      </c>
      <c r="B257" t="s">
        <v>15</v>
      </c>
      <c r="C257" s="2">
        <v>44878.259953703702</v>
      </c>
      <c r="D257">
        <v>0</v>
      </c>
      <c r="E257">
        <v>1193</v>
      </c>
      <c r="F257" t="s">
        <v>170</v>
      </c>
      <c r="G257" t="s">
        <v>295</v>
      </c>
      <c r="H257" t="str">
        <f>HYPERLINK("https://video.twimg.com/amplify_video/1570779340320739330/vid/720x720/odWOW2y8i5XRk6AN.mp4?tag=14", "https://video.twimg.com/amplify_video/1570779340320739330/vid/720x720/odWOW2y8i5XRk6AN.mp4?tag=14")</f>
        <v>https://video.twimg.com/amplify_video/1570779340320739330/vid/720x720/odWOW2y8i5XRk6AN.mp4?tag=14</v>
      </c>
      <c r="L257">
        <v>0</v>
      </c>
      <c r="M257">
        <v>0</v>
      </c>
      <c r="N257">
        <v>1</v>
      </c>
      <c r="O257">
        <v>0</v>
      </c>
    </row>
    <row r="258" spans="1:15" x14ac:dyDescent="0.2">
      <c r="A258" s="1" t="str">
        <f>HYPERLINK("http://www.twitter.com/banuakdenizli/status/1591673871559806976", "1591673871559806976")</f>
        <v>1591673871559806976</v>
      </c>
      <c r="B258" t="s">
        <v>15</v>
      </c>
      <c r="C258" s="2">
        <v>44878.254594907397</v>
      </c>
      <c r="D258">
        <v>11</v>
      </c>
      <c r="E258">
        <v>5</v>
      </c>
      <c r="G258" t="s">
        <v>296</v>
      </c>
      <c r="L258">
        <v>0</v>
      </c>
      <c r="M258">
        <v>0</v>
      </c>
      <c r="N258">
        <v>1</v>
      </c>
      <c r="O258">
        <v>0</v>
      </c>
    </row>
    <row r="259" spans="1:15" x14ac:dyDescent="0.2">
      <c r="A259" s="1" t="str">
        <f>HYPERLINK("http://www.twitter.com/banuakdenizli/status/1591498039101108224", "1591498039101108224")</f>
        <v>1591498039101108224</v>
      </c>
      <c r="B259" t="s">
        <v>15</v>
      </c>
      <c r="C259" s="2">
        <v>44877.769386574073</v>
      </c>
      <c r="D259">
        <v>0</v>
      </c>
      <c r="E259">
        <v>1</v>
      </c>
      <c r="G259" t="s">
        <v>297</v>
      </c>
      <c r="L259">
        <v>0</v>
      </c>
      <c r="M259">
        <v>0</v>
      </c>
      <c r="N259">
        <v>1</v>
      </c>
      <c r="O259">
        <v>0</v>
      </c>
    </row>
    <row r="260" spans="1:15" x14ac:dyDescent="0.2">
      <c r="A260" s="1" t="str">
        <f>HYPERLINK("http://www.twitter.com/banuakdenizli/status/1591265844163907585", "1591265844163907585")</f>
        <v>1591265844163907585</v>
      </c>
      <c r="B260" t="s">
        <v>15</v>
      </c>
      <c r="C260" s="2">
        <v>44877.128657407397</v>
      </c>
      <c r="D260">
        <v>0</v>
      </c>
      <c r="E260">
        <v>0</v>
      </c>
      <c r="G260" t="s">
        <v>298</v>
      </c>
      <c r="L260">
        <v>0</v>
      </c>
      <c r="M260">
        <v>0</v>
      </c>
      <c r="N260">
        <v>1</v>
      </c>
      <c r="O260">
        <v>0</v>
      </c>
    </row>
    <row r="261" spans="1:15" x14ac:dyDescent="0.2">
      <c r="A261" s="1" t="str">
        <f>HYPERLINK("http://www.twitter.com/banuakdenizli/status/1591265210165121024", "1591265210165121024")</f>
        <v>1591265210165121024</v>
      </c>
      <c r="B261" t="s">
        <v>15</v>
      </c>
      <c r="C261" s="2">
        <v>44877.126909722218</v>
      </c>
      <c r="D261">
        <v>0</v>
      </c>
      <c r="E261">
        <v>0</v>
      </c>
      <c r="G261" t="s">
        <v>299</v>
      </c>
      <c r="L261">
        <v>0</v>
      </c>
      <c r="M261">
        <v>0</v>
      </c>
      <c r="N261">
        <v>1</v>
      </c>
      <c r="O261">
        <v>0</v>
      </c>
    </row>
    <row r="262" spans="1:15" x14ac:dyDescent="0.2">
      <c r="A262" s="1" t="str">
        <f>HYPERLINK("http://www.twitter.com/banuakdenizli/status/1591264707633352704", "1591264707633352704")</f>
        <v>1591264707633352704</v>
      </c>
      <c r="B262" t="s">
        <v>15</v>
      </c>
      <c r="C262" s="2">
        <v>44877.125520833331</v>
      </c>
      <c r="D262">
        <v>0</v>
      </c>
      <c r="E262">
        <v>8</v>
      </c>
      <c r="F262" t="s">
        <v>22</v>
      </c>
      <c r="G262" t="s">
        <v>300</v>
      </c>
      <c r="H262" t="str">
        <f>HYPERLINK("http://pbs.twimg.com/media/FhUIYUMXoAEZd-e.jpg", "http://pbs.twimg.com/media/FhUIYUMXoAEZd-e.jpg")</f>
        <v>http://pbs.twimg.com/media/FhUIYUMXoAEZd-e.jpg</v>
      </c>
      <c r="L262">
        <v>0</v>
      </c>
      <c r="M262">
        <v>0</v>
      </c>
      <c r="N262">
        <v>1</v>
      </c>
      <c r="O262">
        <v>0</v>
      </c>
    </row>
    <row r="263" spans="1:15" x14ac:dyDescent="0.2">
      <c r="A263" s="1" t="str">
        <f>HYPERLINK("http://www.twitter.com/banuakdenizli/status/1590756580760653825", "1590756580760653825")</f>
        <v>1590756580760653825</v>
      </c>
      <c r="B263" t="s">
        <v>15</v>
      </c>
      <c r="C263" s="2">
        <v>44875.723356481481</v>
      </c>
      <c r="D263">
        <v>0</v>
      </c>
      <c r="E263">
        <v>28</v>
      </c>
      <c r="F263" t="s">
        <v>17</v>
      </c>
      <c r="G263" t="s">
        <v>301</v>
      </c>
      <c r="H263" t="str">
        <f>HYPERLINK("https://video.twimg.com/amplify_video/1590756069084921857/vid/848x480/kdqUxzbUET-YVs5b.mp4?tag=14", "https://video.twimg.com/amplify_video/1590756069084921857/vid/848x480/kdqUxzbUET-YVs5b.mp4?tag=14")</f>
        <v>https://video.twimg.com/amplify_video/1590756069084921857/vid/848x480/kdqUxzbUET-YVs5b.mp4?tag=14</v>
      </c>
      <c r="L263">
        <v>0</v>
      </c>
      <c r="M263">
        <v>0</v>
      </c>
      <c r="N263">
        <v>1</v>
      </c>
      <c r="O263">
        <v>0</v>
      </c>
    </row>
    <row r="264" spans="1:15" x14ac:dyDescent="0.2">
      <c r="A264" s="1" t="str">
        <f>HYPERLINK("http://www.twitter.com/banuakdenizli/status/1590718593787867137", "1590718593787867137")</f>
        <v>1590718593787867137</v>
      </c>
      <c r="B264" t="s">
        <v>15</v>
      </c>
      <c r="C264" s="2">
        <v>44875.618530092594</v>
      </c>
      <c r="D264">
        <v>0</v>
      </c>
      <c r="E264">
        <v>10</v>
      </c>
      <c r="F264" t="s">
        <v>290</v>
      </c>
      <c r="G264" t="s">
        <v>302</v>
      </c>
      <c r="H264" t="str">
        <f>HYPERLINK("https://video.twimg.com/ext_tw_video/1590716677993496580/pu/vid/720x1280/1JLXoBOcns4JUk3Z.mp4?tag=12", "https://video.twimg.com/ext_tw_video/1590716677993496580/pu/vid/720x1280/1JLXoBOcns4JUk3Z.mp4?tag=12")</f>
        <v>https://video.twimg.com/ext_tw_video/1590716677993496580/pu/vid/720x1280/1JLXoBOcns4JUk3Z.mp4?tag=12</v>
      </c>
      <c r="L264">
        <v>0</v>
      </c>
      <c r="M264">
        <v>0</v>
      </c>
      <c r="N264">
        <v>1</v>
      </c>
      <c r="O264">
        <v>0</v>
      </c>
    </row>
    <row r="265" spans="1:15" x14ac:dyDescent="0.2">
      <c r="A265" s="1" t="str">
        <f>HYPERLINK("http://www.twitter.com/banuakdenizli/status/1590672115241750529", "1590672115241750529")</f>
        <v>1590672115241750529</v>
      </c>
      <c r="B265" t="s">
        <v>15</v>
      </c>
      <c r="C265" s="2">
        <v>44875.490277777782</v>
      </c>
      <c r="D265">
        <v>9</v>
      </c>
      <c r="E265">
        <v>4</v>
      </c>
      <c r="G265" t="s">
        <v>303</v>
      </c>
      <c r="H265" t="str">
        <f>HYPERLINK("http://pbs.twimg.com/media/FhMxUGPWAAAFiLQ.jpg", "http://pbs.twimg.com/media/FhMxUGPWAAAFiLQ.jpg")</f>
        <v>http://pbs.twimg.com/media/FhMxUGPWAAAFiLQ.jpg</v>
      </c>
      <c r="L265">
        <v>0</v>
      </c>
      <c r="M265">
        <v>0</v>
      </c>
      <c r="N265">
        <v>1</v>
      </c>
      <c r="O265">
        <v>0</v>
      </c>
    </row>
    <row r="266" spans="1:15" x14ac:dyDescent="0.2">
      <c r="A266" s="1" t="str">
        <f>HYPERLINK("http://www.twitter.com/banuakdenizli/status/1590650637397635072", "1590650637397635072")</f>
        <v>1590650637397635072</v>
      </c>
      <c r="B266" t="s">
        <v>15</v>
      </c>
      <c r="C266" s="2">
        <v>44875.431006944447</v>
      </c>
      <c r="D266">
        <v>0</v>
      </c>
      <c r="E266">
        <v>0</v>
      </c>
      <c r="G266" t="s">
        <v>304</v>
      </c>
      <c r="L266">
        <v>0</v>
      </c>
      <c r="M266">
        <v>0</v>
      </c>
      <c r="N266">
        <v>1</v>
      </c>
      <c r="O266">
        <v>0</v>
      </c>
    </row>
    <row r="267" spans="1:15" x14ac:dyDescent="0.2">
      <c r="A267" s="1" t="str">
        <f>HYPERLINK("http://www.twitter.com/banuakdenizli/status/1590650247835181056", "1590650247835181056")</f>
        <v>1590650247835181056</v>
      </c>
      <c r="B267" t="s">
        <v>15</v>
      </c>
      <c r="C267" s="2">
        <v>44875.429930555547</v>
      </c>
      <c r="D267">
        <v>0</v>
      </c>
      <c r="E267">
        <v>164</v>
      </c>
      <c r="F267" t="s">
        <v>170</v>
      </c>
      <c r="G267" t="s">
        <v>305</v>
      </c>
      <c r="H267" t="str">
        <f>HYPERLINK("http://pbs.twimg.com/media/FhJ1p-yXkAIElMZ.jpg", "http://pbs.twimg.com/media/FhJ1p-yXkAIElMZ.jpg")</f>
        <v>http://pbs.twimg.com/media/FhJ1p-yXkAIElMZ.jpg</v>
      </c>
      <c r="I267" t="str">
        <f>HYPERLINK("http://pbs.twimg.com/media/FhJ1p-4XwAIQi6Y.jpg", "http://pbs.twimg.com/media/FhJ1p-4XwAIQi6Y.jpg")</f>
        <v>http://pbs.twimg.com/media/FhJ1p-4XwAIQi6Y.jpg</v>
      </c>
      <c r="J267" t="str">
        <f>HYPERLINK("http://pbs.twimg.com/media/FhJ1p-0XgAIRYf7.jpg", "http://pbs.twimg.com/media/FhJ1p-0XgAIRYf7.jpg")</f>
        <v>http://pbs.twimg.com/media/FhJ1p-0XgAIRYf7.jpg</v>
      </c>
      <c r="L267">
        <v>0</v>
      </c>
      <c r="M267">
        <v>0</v>
      </c>
      <c r="N267">
        <v>1</v>
      </c>
      <c r="O267">
        <v>0</v>
      </c>
    </row>
    <row r="268" spans="1:15" x14ac:dyDescent="0.2">
      <c r="A268" s="1" t="str">
        <f>HYPERLINK("http://www.twitter.com/banuakdenizli/status/1590617917909250048", "1590617917909250048")</f>
        <v>1590617917909250048</v>
      </c>
      <c r="B268" t="s">
        <v>15</v>
      </c>
      <c r="C268" s="2">
        <v>44875.340717592589</v>
      </c>
      <c r="D268">
        <v>4</v>
      </c>
      <c r="E268">
        <v>3</v>
      </c>
      <c r="G268" t="s">
        <v>306</v>
      </c>
      <c r="L268">
        <v>0</v>
      </c>
      <c r="M268">
        <v>0</v>
      </c>
      <c r="N268">
        <v>1</v>
      </c>
      <c r="O268">
        <v>0</v>
      </c>
    </row>
    <row r="269" spans="1:15" x14ac:dyDescent="0.2">
      <c r="A269" s="1" t="str">
        <f>HYPERLINK("http://www.twitter.com/banuakdenizli/status/1590502685303717888", "1590502685303717888")</f>
        <v>1590502685303717888</v>
      </c>
      <c r="B269" t="s">
        <v>15</v>
      </c>
      <c r="C269" s="2">
        <v>44875.022731481477</v>
      </c>
      <c r="D269">
        <v>0</v>
      </c>
      <c r="E269">
        <v>53</v>
      </c>
      <c r="F269" t="s">
        <v>17</v>
      </c>
      <c r="G269" t="s">
        <v>307</v>
      </c>
      <c r="H269" t="str">
        <f>HYPERLINK("https://video.twimg.com/amplify_video/1590457089390149634/vid/1280x720/Ld0CofewpAf-evDe.mp4?tag=14", "https://video.twimg.com/amplify_video/1590457089390149634/vid/1280x720/Ld0CofewpAf-evDe.mp4?tag=14")</f>
        <v>https://video.twimg.com/amplify_video/1590457089390149634/vid/1280x720/Ld0CofewpAf-evDe.mp4?tag=14</v>
      </c>
      <c r="L269">
        <v>0</v>
      </c>
      <c r="M269">
        <v>0</v>
      </c>
      <c r="N269">
        <v>1</v>
      </c>
      <c r="O269">
        <v>0</v>
      </c>
    </row>
    <row r="270" spans="1:15" x14ac:dyDescent="0.2">
      <c r="A270" s="1" t="str">
        <f>HYPERLINK("http://www.twitter.com/banuakdenizli/status/1590428748075405312", "1590428748075405312")</f>
        <v>1590428748075405312</v>
      </c>
      <c r="B270" t="s">
        <v>15</v>
      </c>
      <c r="C270" s="2">
        <v>44874.818703703713</v>
      </c>
      <c r="D270">
        <v>0</v>
      </c>
      <c r="E270">
        <v>7</v>
      </c>
      <c r="F270" t="s">
        <v>18</v>
      </c>
      <c r="G270" t="s">
        <v>308</v>
      </c>
      <c r="H270" t="str">
        <f>HYPERLINK("http://pbs.twimg.com/media/FhJVJoEXoAEAvaW.jpg", "http://pbs.twimg.com/media/FhJVJoEXoAEAvaW.jpg")</f>
        <v>http://pbs.twimg.com/media/FhJVJoEXoAEAvaW.jpg</v>
      </c>
      <c r="L270">
        <v>0</v>
      </c>
      <c r="M270">
        <v>0</v>
      </c>
      <c r="N270">
        <v>1</v>
      </c>
      <c r="O270">
        <v>0</v>
      </c>
    </row>
    <row r="271" spans="1:15" x14ac:dyDescent="0.2">
      <c r="A271" s="1" t="str">
        <f>HYPERLINK("http://www.twitter.com/banuakdenizli/status/1590360895452237824", "1590360895452237824")</f>
        <v>1590360895452237824</v>
      </c>
      <c r="B271" t="s">
        <v>15</v>
      </c>
      <c r="C271" s="2">
        <v>44874.631469907406</v>
      </c>
      <c r="D271">
        <v>13</v>
      </c>
      <c r="E271">
        <v>1</v>
      </c>
      <c r="G271" t="s">
        <v>309</v>
      </c>
      <c r="H271" t="str">
        <f>HYPERLINK("https://video.twimg.com/ext_tw_video/1590360806306336775/pu/vid/1280x720/CRX0Zz7F7A-48qJP.mp4?tag=12", "https://video.twimg.com/ext_tw_video/1590360806306336775/pu/vid/1280x720/CRX0Zz7F7A-48qJP.mp4?tag=12")</f>
        <v>https://video.twimg.com/ext_tw_video/1590360806306336775/pu/vid/1280x720/CRX0Zz7F7A-48qJP.mp4?tag=12</v>
      </c>
      <c r="L271">
        <v>0</v>
      </c>
      <c r="M271">
        <v>0</v>
      </c>
      <c r="N271">
        <v>1</v>
      </c>
      <c r="O271">
        <v>0</v>
      </c>
    </row>
    <row r="272" spans="1:15" x14ac:dyDescent="0.2">
      <c r="A272" s="1" t="str">
        <f>HYPERLINK("http://www.twitter.com/banuakdenizli/status/1590297456881061888", "1590297456881061888")</f>
        <v>1590297456881061888</v>
      </c>
      <c r="B272" t="s">
        <v>15</v>
      </c>
      <c r="C272" s="2">
        <v>44874.456412037027</v>
      </c>
      <c r="D272">
        <v>16</v>
      </c>
      <c r="E272">
        <v>7</v>
      </c>
      <c r="G272" t="s">
        <v>310</v>
      </c>
      <c r="H272" t="str">
        <f>HYPERLINK("http://pbs.twimg.com/media/FhHfGqnWAAE_Tol.jpg", "http://pbs.twimg.com/media/FhHfGqnWAAE_Tol.jpg")</f>
        <v>http://pbs.twimg.com/media/FhHfGqnWAAE_Tol.jpg</v>
      </c>
      <c r="I272" t="str">
        <f>HYPERLINK("http://pbs.twimg.com/media/FhHfGqoXoAE86NT.jpg", "http://pbs.twimg.com/media/FhHfGqoXoAE86NT.jpg")</f>
        <v>http://pbs.twimg.com/media/FhHfGqoXoAE86NT.jpg</v>
      </c>
      <c r="L272">
        <v>0</v>
      </c>
      <c r="M272">
        <v>0</v>
      </c>
      <c r="N272">
        <v>1</v>
      </c>
      <c r="O272">
        <v>0</v>
      </c>
    </row>
    <row r="273" spans="1:15" x14ac:dyDescent="0.2">
      <c r="A273" s="1" t="str">
        <f>HYPERLINK("http://www.twitter.com/banuakdenizli/status/1590211468347072513", "1590211468347072513")</f>
        <v>1590211468347072513</v>
      </c>
      <c r="B273" t="s">
        <v>15</v>
      </c>
      <c r="C273" s="2">
        <v>44874.219131944446</v>
      </c>
      <c r="D273">
        <v>0</v>
      </c>
      <c r="E273">
        <v>5</v>
      </c>
      <c r="F273" t="s">
        <v>15</v>
      </c>
      <c r="G273" t="s">
        <v>311</v>
      </c>
      <c r="L273">
        <v>0</v>
      </c>
      <c r="M273">
        <v>0</v>
      </c>
      <c r="N273">
        <v>1</v>
      </c>
      <c r="O273">
        <v>0</v>
      </c>
    </row>
    <row r="274" spans="1:15" x14ac:dyDescent="0.2">
      <c r="A274" s="1" t="str">
        <f>HYPERLINK("http://www.twitter.com/banuakdenizli/status/1590169563215585280", "1590169563215585280")</f>
        <v>1590169563215585280</v>
      </c>
      <c r="B274" t="s">
        <v>15</v>
      </c>
      <c r="C274" s="2">
        <v>44874.103495370371</v>
      </c>
      <c r="D274">
        <v>8</v>
      </c>
      <c r="E274">
        <v>5</v>
      </c>
      <c r="G274" t="s">
        <v>311</v>
      </c>
      <c r="L274">
        <v>0</v>
      </c>
      <c r="M274">
        <v>0</v>
      </c>
      <c r="N274">
        <v>1</v>
      </c>
      <c r="O274">
        <v>0</v>
      </c>
    </row>
    <row r="275" spans="1:15" x14ac:dyDescent="0.2">
      <c r="A275" s="1" t="str">
        <f>HYPERLINK("http://www.twitter.com/banuakdenizli/status/1590077101067350016", "1590077101067350016")</f>
        <v>1590077101067350016</v>
      </c>
      <c r="B275" t="s">
        <v>15</v>
      </c>
      <c r="C275" s="2">
        <v>44873.848344907397</v>
      </c>
      <c r="D275">
        <v>0</v>
      </c>
      <c r="E275">
        <v>5</v>
      </c>
      <c r="F275" t="s">
        <v>16</v>
      </c>
      <c r="G275" t="s">
        <v>312</v>
      </c>
      <c r="H275" t="str">
        <f>HYPERLINK("http://pbs.twimg.com/media/FhEBuRSWQAA6i8h.jpg", "http://pbs.twimg.com/media/FhEBuRSWQAA6i8h.jpg")</f>
        <v>http://pbs.twimg.com/media/FhEBuRSWQAA6i8h.jpg</v>
      </c>
      <c r="L275">
        <v>0</v>
      </c>
      <c r="M275">
        <v>0</v>
      </c>
      <c r="N275">
        <v>1</v>
      </c>
      <c r="O275">
        <v>0</v>
      </c>
    </row>
    <row r="276" spans="1:15" x14ac:dyDescent="0.2">
      <c r="A276" s="1" t="str">
        <f>HYPERLINK("http://www.twitter.com/banuakdenizli/status/1590077024143409152", "1590077024143409152")</f>
        <v>1590077024143409152</v>
      </c>
      <c r="B276" t="s">
        <v>15</v>
      </c>
      <c r="C276" s="2">
        <v>44873.848136574074</v>
      </c>
      <c r="D276">
        <v>0</v>
      </c>
      <c r="E276">
        <v>1</v>
      </c>
      <c r="F276" t="s">
        <v>35</v>
      </c>
      <c r="G276" t="s">
        <v>313</v>
      </c>
      <c r="H276" t="str">
        <f>HYPERLINK("http://pbs.twimg.com/media/FhA-DBiXkAI0bX1.jpg", "http://pbs.twimg.com/media/FhA-DBiXkAI0bX1.jpg")</f>
        <v>http://pbs.twimg.com/media/FhA-DBiXkAI0bX1.jpg</v>
      </c>
      <c r="L276">
        <v>0.45879999999999999</v>
      </c>
      <c r="M276">
        <v>0</v>
      </c>
      <c r="N276">
        <v>0.91700000000000004</v>
      </c>
      <c r="O276">
        <v>8.3000000000000004E-2</v>
      </c>
    </row>
    <row r="277" spans="1:15" x14ac:dyDescent="0.2">
      <c r="A277" s="1" t="str">
        <f>HYPERLINK("http://www.twitter.com/banuakdenizli/status/1590040736883388418", "1590040736883388418")</f>
        <v>1590040736883388418</v>
      </c>
      <c r="B277" t="s">
        <v>15</v>
      </c>
      <c r="C277" s="2">
        <v>44873.747997685183</v>
      </c>
      <c r="D277">
        <v>0</v>
      </c>
      <c r="E277">
        <v>287</v>
      </c>
      <c r="F277" t="s">
        <v>21</v>
      </c>
      <c r="G277" t="s">
        <v>314</v>
      </c>
      <c r="H277" t="str">
        <f>HYPERLINK("https://video.twimg.com/ext_tw_video/1589803262097645568/pu/vid/720x720/tkhkWxvKrWFqIon0.mp4?tag=12", "https://video.twimg.com/ext_tw_video/1589803262097645568/pu/vid/720x720/tkhkWxvKrWFqIon0.mp4?tag=12")</f>
        <v>https://video.twimg.com/ext_tw_video/1589803262097645568/pu/vid/720x720/tkhkWxvKrWFqIon0.mp4?tag=12</v>
      </c>
      <c r="L277">
        <v>0</v>
      </c>
      <c r="M277">
        <v>0</v>
      </c>
      <c r="N277">
        <v>1</v>
      </c>
      <c r="O277">
        <v>0</v>
      </c>
    </row>
    <row r="278" spans="1:15" x14ac:dyDescent="0.2">
      <c r="A278" s="1" t="str">
        <f>HYPERLINK("http://www.twitter.com/banuakdenizli/status/1590040629866041344", "1590040629866041344")</f>
        <v>1590040629866041344</v>
      </c>
      <c r="B278" t="s">
        <v>15</v>
      </c>
      <c r="C278" s="2">
        <v>44873.747708333343</v>
      </c>
      <c r="D278">
        <v>0</v>
      </c>
      <c r="E278">
        <v>242</v>
      </c>
      <c r="F278" t="s">
        <v>17</v>
      </c>
      <c r="G278" t="s">
        <v>315</v>
      </c>
      <c r="H278" t="str">
        <f>HYPERLINK("http://pbs.twimg.com/media/FhAtpUXXwAAYPYR.jpg", "http://pbs.twimg.com/media/FhAtpUXXwAAYPYR.jpg")</f>
        <v>http://pbs.twimg.com/media/FhAtpUXXwAAYPYR.jpg</v>
      </c>
      <c r="L278">
        <v>0</v>
      </c>
      <c r="M278">
        <v>0</v>
      </c>
      <c r="N278">
        <v>1</v>
      </c>
      <c r="O278">
        <v>0</v>
      </c>
    </row>
    <row r="279" spans="1:15" x14ac:dyDescent="0.2">
      <c r="A279" s="1" t="str">
        <f>HYPERLINK("http://www.twitter.com/banuakdenizli/status/1590040574111121408", "1590040574111121408")</f>
        <v>1590040574111121408</v>
      </c>
      <c r="B279" t="s">
        <v>15</v>
      </c>
      <c r="C279" s="2">
        <v>44873.747557870367</v>
      </c>
      <c r="D279">
        <v>0</v>
      </c>
      <c r="E279">
        <v>79</v>
      </c>
      <c r="F279" t="s">
        <v>17</v>
      </c>
      <c r="G279" t="s">
        <v>316</v>
      </c>
      <c r="H279" t="str">
        <f>HYPERLINK("http://pbs.twimg.com/media/FhDYd6dXwAg21bD.jpg", "http://pbs.twimg.com/media/FhDYd6dXwAg21bD.jpg")</f>
        <v>http://pbs.twimg.com/media/FhDYd6dXwAg21bD.jpg</v>
      </c>
      <c r="I279" t="str">
        <f>HYPERLINK("http://pbs.twimg.com/media/FhDYd6eXoAENJpB.jpg", "http://pbs.twimg.com/media/FhDYd6eXoAENJpB.jpg")</f>
        <v>http://pbs.twimg.com/media/FhDYd6eXoAENJpB.jpg</v>
      </c>
      <c r="J279" t="str">
        <f>HYPERLINK("http://pbs.twimg.com/media/FhDYd6cWAAIkd93.jpg", "http://pbs.twimg.com/media/FhDYd6cWAAIkd93.jpg")</f>
        <v>http://pbs.twimg.com/media/FhDYd6cWAAIkd93.jpg</v>
      </c>
      <c r="L279">
        <v>0</v>
      </c>
      <c r="M279">
        <v>0</v>
      </c>
      <c r="N279">
        <v>1</v>
      </c>
      <c r="O279">
        <v>0</v>
      </c>
    </row>
    <row r="280" spans="1:15" x14ac:dyDescent="0.2">
      <c r="A280" s="1" t="str">
        <f>HYPERLINK("http://www.twitter.com/banuakdenizli/status/1589980061058600960", "1589980061058600960")</f>
        <v>1589980061058600960</v>
      </c>
      <c r="B280" t="s">
        <v>15</v>
      </c>
      <c r="C280" s="2">
        <v>44873.580567129633</v>
      </c>
      <c r="D280">
        <v>1</v>
      </c>
      <c r="E280">
        <v>0</v>
      </c>
      <c r="G280" t="s">
        <v>317</v>
      </c>
      <c r="H280" t="str">
        <f>HYPERLINK("https://video.twimg.com/ext_tw_video/1589895375367938048/pu/vid/1280x720/MYT2iYIS0v9n6uGW.mp4?tag=12", "https://video.twimg.com/ext_tw_video/1589895375367938048/pu/vid/1280x720/MYT2iYIS0v9n6uGW.mp4?tag=12")</f>
        <v>https://video.twimg.com/ext_tw_video/1589895375367938048/pu/vid/1280x720/MYT2iYIS0v9n6uGW.mp4?tag=12</v>
      </c>
      <c r="L280">
        <v>0</v>
      </c>
      <c r="M280">
        <v>0</v>
      </c>
      <c r="N280">
        <v>1</v>
      </c>
      <c r="O280">
        <v>0</v>
      </c>
    </row>
    <row r="281" spans="1:15" x14ac:dyDescent="0.2">
      <c r="A281" s="1" t="str">
        <f>HYPERLINK("http://www.twitter.com/banuakdenizli/status/1589661570682220544", "1589661570682220544")</f>
        <v>1589661570682220544</v>
      </c>
      <c r="B281" t="s">
        <v>15</v>
      </c>
      <c r="C281" s="2">
        <v>44872.701701388891</v>
      </c>
      <c r="D281">
        <v>11</v>
      </c>
      <c r="E281">
        <v>9</v>
      </c>
      <c r="G281" t="s">
        <v>318</v>
      </c>
      <c r="H281" t="str">
        <f>HYPERLINK("http://pbs.twimg.com/media/Fg-cEJ_WQAM9XRo.jpg", "http://pbs.twimg.com/media/Fg-cEJ_WQAM9XRo.jpg")</f>
        <v>http://pbs.twimg.com/media/Fg-cEJ_WQAM9XRo.jpg</v>
      </c>
      <c r="I281" t="str">
        <f>HYPERLINK("http://pbs.twimg.com/media/Fg-cF1YWYAAfmVi.jpg", "http://pbs.twimg.com/media/Fg-cF1YWYAAfmVi.jpg")</f>
        <v>http://pbs.twimg.com/media/Fg-cF1YWYAAfmVi.jpg</v>
      </c>
      <c r="L281">
        <v>-0.54490000000000005</v>
      </c>
      <c r="M281">
        <v>0.123</v>
      </c>
      <c r="N281">
        <v>0.877</v>
      </c>
      <c r="O281">
        <v>0</v>
      </c>
    </row>
    <row r="282" spans="1:15" x14ac:dyDescent="0.2">
      <c r="A282" s="1" t="str">
        <f>HYPERLINK("http://www.twitter.com/banuakdenizli/status/1589576871724822529", "1589576871724822529")</f>
        <v>1589576871724822529</v>
      </c>
      <c r="B282" t="s">
        <v>15</v>
      </c>
      <c r="C282" s="2">
        <v>44872.467974537038</v>
      </c>
      <c r="D282">
        <v>9</v>
      </c>
      <c r="E282">
        <v>2</v>
      </c>
      <c r="G282" t="s">
        <v>319</v>
      </c>
      <c r="L282">
        <v>0</v>
      </c>
      <c r="M282">
        <v>0</v>
      </c>
      <c r="N282">
        <v>1</v>
      </c>
      <c r="O282">
        <v>0</v>
      </c>
    </row>
    <row r="283" spans="1:15" x14ac:dyDescent="0.2">
      <c r="A283" s="1" t="str">
        <f>HYPERLINK("http://www.twitter.com/banuakdenizli/status/1589569742444310528", "1589569742444310528")</f>
        <v>1589569742444310528</v>
      </c>
      <c r="B283" t="s">
        <v>15</v>
      </c>
      <c r="C283" s="2">
        <v>44872.448310185187</v>
      </c>
      <c r="D283">
        <v>1</v>
      </c>
      <c r="E283">
        <v>0</v>
      </c>
      <c r="G283" t="s">
        <v>320</v>
      </c>
      <c r="L283">
        <v>0</v>
      </c>
      <c r="M283">
        <v>0</v>
      </c>
      <c r="N283">
        <v>1</v>
      </c>
      <c r="O283">
        <v>0</v>
      </c>
    </row>
    <row r="284" spans="1:15" x14ac:dyDescent="0.2">
      <c r="A284" s="1" t="str">
        <f>HYPERLINK("http://www.twitter.com/banuakdenizli/status/1589450148425256960", "1589450148425256960")</f>
        <v>1589450148425256960</v>
      </c>
      <c r="B284" t="s">
        <v>15</v>
      </c>
      <c r="C284" s="2">
        <v>44872.118287037039</v>
      </c>
      <c r="D284">
        <v>0</v>
      </c>
      <c r="E284">
        <v>15</v>
      </c>
      <c r="F284" t="s">
        <v>18</v>
      </c>
      <c r="G284" t="s">
        <v>321</v>
      </c>
      <c r="H284" t="str">
        <f>HYPERLINK("https://video.twimg.com/ext_tw_video/1588625438187962369/pu/vid/1280x720/opEHKDKZWM5jAXAj.mp4?tag=12", "https://video.twimg.com/ext_tw_video/1588625438187962369/pu/vid/1280x720/opEHKDKZWM5jAXAj.mp4?tag=12")</f>
        <v>https://video.twimg.com/ext_tw_video/1588625438187962369/pu/vid/1280x720/opEHKDKZWM5jAXAj.mp4?tag=12</v>
      </c>
      <c r="L284">
        <v>0</v>
      </c>
      <c r="M284">
        <v>0</v>
      </c>
      <c r="N284">
        <v>1</v>
      </c>
      <c r="O284">
        <v>0</v>
      </c>
    </row>
    <row r="285" spans="1:15" x14ac:dyDescent="0.2">
      <c r="A285" s="1" t="str">
        <f>HYPERLINK("http://www.twitter.com/banuakdenizli/status/1589450034978123776", "1589450034978123776")</f>
        <v>1589450034978123776</v>
      </c>
      <c r="B285" t="s">
        <v>15</v>
      </c>
      <c r="C285" s="2">
        <v>44872.117974537039</v>
      </c>
      <c r="D285">
        <v>0</v>
      </c>
      <c r="E285">
        <v>8</v>
      </c>
      <c r="F285" t="s">
        <v>51</v>
      </c>
      <c r="G285" t="s">
        <v>322</v>
      </c>
      <c r="H285" t="str">
        <f>HYPERLINK("https://video.twimg.com/ext_tw_video/1588583948975751171/pu/vid/640x352/neT-PbggBFeiLDsH.mp4?tag=12", "https://video.twimg.com/ext_tw_video/1588583948975751171/pu/vid/640x352/neT-PbggBFeiLDsH.mp4?tag=12")</f>
        <v>https://video.twimg.com/ext_tw_video/1588583948975751171/pu/vid/640x352/neT-PbggBFeiLDsH.mp4?tag=12</v>
      </c>
      <c r="L285">
        <v>0</v>
      </c>
      <c r="M285">
        <v>0</v>
      </c>
      <c r="N285">
        <v>1</v>
      </c>
      <c r="O285">
        <v>0</v>
      </c>
    </row>
    <row r="286" spans="1:15" x14ac:dyDescent="0.2">
      <c r="A286" s="1" t="str">
        <f>HYPERLINK("http://www.twitter.com/banuakdenizli/status/1589447550637309952", "1589447550637309952")</f>
        <v>1589447550637309952</v>
      </c>
      <c r="B286" t="s">
        <v>15</v>
      </c>
      <c r="C286" s="2">
        <v>44872.111122685194</v>
      </c>
      <c r="D286">
        <v>0</v>
      </c>
      <c r="E286">
        <v>11</v>
      </c>
      <c r="F286" t="s">
        <v>323</v>
      </c>
      <c r="G286" t="s">
        <v>324</v>
      </c>
      <c r="H286" t="str">
        <f>HYPERLINK("http://pbs.twimg.com/media/Fg5H3gZX0AIm4B1.jpg", "http://pbs.twimg.com/media/Fg5H3gZX0AIm4B1.jpg")</f>
        <v>http://pbs.twimg.com/media/Fg5H3gZX0AIm4B1.jpg</v>
      </c>
      <c r="L286">
        <v>0</v>
      </c>
      <c r="M286">
        <v>0</v>
      </c>
      <c r="N286">
        <v>1</v>
      </c>
      <c r="O286">
        <v>0</v>
      </c>
    </row>
    <row r="287" spans="1:15" x14ac:dyDescent="0.2">
      <c r="A287" s="1" t="str">
        <f>HYPERLINK("http://www.twitter.com/banuakdenizli/status/1589287411905089536", "1589287411905089536")</f>
        <v>1589287411905089536</v>
      </c>
      <c r="B287" t="s">
        <v>15</v>
      </c>
      <c r="C287" s="2">
        <v>44871.669224537043</v>
      </c>
      <c r="D287">
        <v>1</v>
      </c>
      <c r="E287">
        <v>0</v>
      </c>
      <c r="G287" t="s">
        <v>325</v>
      </c>
      <c r="L287">
        <v>0</v>
      </c>
      <c r="M287">
        <v>0</v>
      </c>
      <c r="N287">
        <v>1</v>
      </c>
      <c r="O287">
        <v>0</v>
      </c>
    </row>
    <row r="288" spans="1:15" x14ac:dyDescent="0.2">
      <c r="A288" s="1" t="str">
        <f>HYPERLINK("http://www.twitter.com/banuakdenizli/status/1589253017982812161", "1589253017982812161")</f>
        <v>1589253017982812161</v>
      </c>
      <c r="B288" t="s">
        <v>15</v>
      </c>
      <c r="C288" s="2">
        <v>44871.574317129627</v>
      </c>
      <c r="D288">
        <v>3</v>
      </c>
      <c r="E288">
        <v>1</v>
      </c>
      <c r="G288" t="s">
        <v>326</v>
      </c>
      <c r="L288">
        <v>0</v>
      </c>
      <c r="M288">
        <v>0</v>
      </c>
      <c r="N288">
        <v>1</v>
      </c>
      <c r="O288">
        <v>0</v>
      </c>
    </row>
    <row r="289" spans="1:15" x14ac:dyDescent="0.2">
      <c r="A289" s="1" t="str">
        <f>HYPERLINK("http://www.twitter.com/banuakdenizli/status/1589197229616549888", "1589197229616549888")</f>
        <v>1589197229616549888</v>
      </c>
      <c r="B289" t="s">
        <v>15</v>
      </c>
      <c r="C289" s="2">
        <v>44871.420370370368</v>
      </c>
      <c r="D289">
        <v>1</v>
      </c>
      <c r="E289">
        <v>0</v>
      </c>
      <c r="G289" t="s">
        <v>327</v>
      </c>
      <c r="L289">
        <v>0</v>
      </c>
      <c r="M289">
        <v>0</v>
      </c>
      <c r="N289">
        <v>1</v>
      </c>
      <c r="O289">
        <v>0</v>
      </c>
    </row>
    <row r="290" spans="1:15" x14ac:dyDescent="0.2">
      <c r="A290" s="1" t="str">
        <f>HYPERLINK("http://www.twitter.com/banuakdenizli/status/1589196746747699202", "1589196746747699202")</f>
        <v>1589196746747699202</v>
      </c>
      <c r="B290" t="s">
        <v>15</v>
      </c>
      <c r="C290" s="2">
        <v>44871.419027777767</v>
      </c>
      <c r="D290">
        <v>0</v>
      </c>
      <c r="E290">
        <v>5</v>
      </c>
      <c r="F290" t="s">
        <v>16</v>
      </c>
      <c r="G290" t="s">
        <v>328</v>
      </c>
      <c r="H290" t="str">
        <f>HYPERLINK("http://pbs.twimg.com/media/Fg31y6uX0AEoZYk.jpg", "http://pbs.twimg.com/media/Fg31y6uX0AEoZYk.jpg")</f>
        <v>http://pbs.twimg.com/media/Fg31y6uX0AEoZYk.jpg</v>
      </c>
      <c r="I290" t="str">
        <f>HYPERLINK("http://pbs.twimg.com/media/Fg31y6oX0AE0PIl.jpg", "http://pbs.twimg.com/media/Fg31y6oX0AE0PIl.jpg")</f>
        <v>http://pbs.twimg.com/media/Fg31y6oX0AE0PIl.jpg</v>
      </c>
      <c r="L290">
        <v>0</v>
      </c>
      <c r="M290">
        <v>0</v>
      </c>
      <c r="N290">
        <v>1</v>
      </c>
      <c r="O290">
        <v>0</v>
      </c>
    </row>
    <row r="291" spans="1:15" x14ac:dyDescent="0.2">
      <c r="A291" s="1" t="str">
        <f>HYPERLINK("http://www.twitter.com/banuakdenizli/status/1588913760408076289", "1588913760408076289")</f>
        <v>1588913760408076289</v>
      </c>
      <c r="B291" t="s">
        <v>15</v>
      </c>
      <c r="C291" s="2">
        <v>44870.638136574067</v>
      </c>
      <c r="D291">
        <v>0</v>
      </c>
      <c r="E291">
        <v>39</v>
      </c>
      <c r="F291" t="s">
        <v>17</v>
      </c>
      <c r="G291" t="s">
        <v>329</v>
      </c>
      <c r="H291" t="str">
        <f>HYPERLINK("https://video.twimg.com/ext_tw_video/1588778190541135873/pu/vid/1280x720/S7RdcC-pQr6B2I2r.mp4?tag=12", "https://video.twimg.com/ext_tw_video/1588778190541135873/pu/vid/1280x720/S7RdcC-pQr6B2I2r.mp4?tag=12")</f>
        <v>https://video.twimg.com/ext_tw_video/1588778190541135873/pu/vid/1280x720/S7RdcC-pQr6B2I2r.mp4?tag=12</v>
      </c>
      <c r="L291">
        <v>0</v>
      </c>
      <c r="M291">
        <v>0</v>
      </c>
      <c r="N291">
        <v>1</v>
      </c>
      <c r="O291">
        <v>0</v>
      </c>
    </row>
    <row r="292" spans="1:15" x14ac:dyDescent="0.2">
      <c r="A292" s="1" t="str">
        <f>HYPERLINK("http://www.twitter.com/banuakdenizli/status/1588890909131034624", "1588890909131034624")</f>
        <v>1588890909131034624</v>
      </c>
      <c r="B292" t="s">
        <v>15</v>
      </c>
      <c r="C292" s="2">
        <v>44870.57508101852</v>
      </c>
      <c r="D292">
        <v>0</v>
      </c>
      <c r="E292">
        <v>12</v>
      </c>
      <c r="F292" t="s">
        <v>16</v>
      </c>
      <c r="G292" t="s">
        <v>330</v>
      </c>
      <c r="H292" t="str">
        <f>HYPERLINK("http://pbs.twimg.com/media/FgzGS2zWIAErlUe.jpg", "http://pbs.twimg.com/media/FgzGS2zWIAErlUe.jpg")</f>
        <v>http://pbs.twimg.com/media/FgzGS2zWIAErlUe.jpg</v>
      </c>
      <c r="L292">
        <v>0</v>
      </c>
      <c r="M292">
        <v>0</v>
      </c>
      <c r="N292">
        <v>1</v>
      </c>
      <c r="O292">
        <v>0</v>
      </c>
    </row>
    <row r="293" spans="1:15" x14ac:dyDescent="0.2">
      <c r="A293" s="1" t="str">
        <f>HYPERLINK("http://www.twitter.com/banuakdenizli/status/1588641343810994176", "1588641343810994176")</f>
        <v>1588641343810994176</v>
      </c>
      <c r="B293" t="s">
        <v>15</v>
      </c>
      <c r="C293" s="2">
        <v>44869.886412037027</v>
      </c>
      <c r="D293">
        <v>0</v>
      </c>
      <c r="E293">
        <v>16</v>
      </c>
      <c r="F293" t="s">
        <v>16</v>
      </c>
      <c r="G293" t="s">
        <v>331</v>
      </c>
      <c r="H293" t="str">
        <f>HYPERLINK("http://pbs.twimg.com/media/FgvSFKNWAAAENc5.jpg", "http://pbs.twimg.com/media/FgvSFKNWAAAENc5.jpg")</f>
        <v>http://pbs.twimg.com/media/FgvSFKNWAAAENc5.jpg</v>
      </c>
      <c r="L293">
        <v>0</v>
      </c>
      <c r="M293">
        <v>0</v>
      </c>
      <c r="N293">
        <v>1</v>
      </c>
      <c r="O293">
        <v>0</v>
      </c>
    </row>
    <row r="294" spans="1:15" x14ac:dyDescent="0.2">
      <c r="A294" s="1" t="str">
        <f>HYPERLINK("http://www.twitter.com/banuakdenizli/status/1588613125552513024", "1588613125552513024")</f>
        <v>1588613125552513024</v>
      </c>
      <c r="B294" t="s">
        <v>15</v>
      </c>
      <c r="C294" s="2">
        <v>44869.808541666673</v>
      </c>
      <c r="D294">
        <v>0</v>
      </c>
      <c r="E294">
        <v>9</v>
      </c>
      <c r="F294" t="s">
        <v>18</v>
      </c>
      <c r="G294" t="s">
        <v>332</v>
      </c>
      <c r="L294">
        <v>0</v>
      </c>
      <c r="M294">
        <v>0</v>
      </c>
      <c r="N294">
        <v>1</v>
      </c>
      <c r="O294">
        <v>0</v>
      </c>
    </row>
    <row r="295" spans="1:15" x14ac:dyDescent="0.2">
      <c r="A295" s="1" t="str">
        <f>HYPERLINK("http://www.twitter.com/banuakdenizli/status/1588590530140569600", "1588590530140569600")</f>
        <v>1588590530140569600</v>
      </c>
      <c r="B295" t="s">
        <v>15</v>
      </c>
      <c r="C295" s="2">
        <v>44869.746192129627</v>
      </c>
      <c r="D295">
        <v>9</v>
      </c>
      <c r="E295">
        <v>3</v>
      </c>
      <c r="G295" t="s">
        <v>333</v>
      </c>
      <c r="H295" t="str">
        <f>HYPERLINK("http://pbs.twimg.com/media/FgvGtaGXwAA649c.jpg", "http://pbs.twimg.com/media/FgvGtaGXwAA649c.jpg")</f>
        <v>http://pbs.twimg.com/media/FgvGtaGXwAA649c.jpg</v>
      </c>
      <c r="I295" t="str">
        <f>HYPERLINK("http://pbs.twimg.com/media/FgvGqR1XoAYkfXe.jpg", "http://pbs.twimg.com/media/FgvGqR1XoAYkfXe.jpg")</f>
        <v>http://pbs.twimg.com/media/FgvGqR1XoAYkfXe.jpg</v>
      </c>
      <c r="L295">
        <v>0</v>
      </c>
      <c r="M295">
        <v>0</v>
      </c>
      <c r="N295">
        <v>1</v>
      </c>
      <c r="O295">
        <v>0</v>
      </c>
    </row>
    <row r="296" spans="1:15" x14ac:dyDescent="0.2">
      <c r="A296" s="1" t="str">
        <f>HYPERLINK("http://www.twitter.com/banuakdenizli/status/1588590521316179968", "1588590521316179968")</f>
        <v>1588590521316179968</v>
      </c>
      <c r="B296" t="s">
        <v>15</v>
      </c>
      <c r="C296" s="2">
        <v>44869.746168981481</v>
      </c>
      <c r="D296">
        <v>28</v>
      </c>
      <c r="E296">
        <v>10</v>
      </c>
      <c r="G296" t="s">
        <v>334</v>
      </c>
      <c r="H296" t="str">
        <f>HYPERLINK("http://pbs.twimg.com/media/FgvGSZYXkAInc3O.jpg", "http://pbs.twimg.com/media/FgvGSZYXkAInc3O.jpg")</f>
        <v>http://pbs.twimg.com/media/FgvGSZYXkAInc3O.jpg</v>
      </c>
      <c r="I296" t="str">
        <f>HYPERLINK("http://pbs.twimg.com/media/FgvGTQGXkAITOdo.jpg", "http://pbs.twimg.com/media/FgvGTQGXkAITOdo.jpg")</f>
        <v>http://pbs.twimg.com/media/FgvGTQGXkAITOdo.jpg</v>
      </c>
      <c r="L296">
        <v>0</v>
      </c>
      <c r="M296">
        <v>0</v>
      </c>
      <c r="N296">
        <v>1</v>
      </c>
      <c r="O296">
        <v>0</v>
      </c>
    </row>
    <row r="297" spans="1:15" x14ac:dyDescent="0.2">
      <c r="A297" s="1" t="str">
        <f>HYPERLINK("http://www.twitter.com/banuakdenizli/status/1588568767369732096", "1588568767369732096")</f>
        <v>1588568767369732096</v>
      </c>
      <c r="B297" t="s">
        <v>15</v>
      </c>
      <c r="C297" s="2">
        <v>44869.68613425926</v>
      </c>
      <c r="D297">
        <v>0</v>
      </c>
      <c r="E297">
        <v>82</v>
      </c>
      <c r="F297" t="s">
        <v>17</v>
      </c>
      <c r="G297" t="s">
        <v>335</v>
      </c>
      <c r="H297" t="str">
        <f>HYPERLINK("http://pbs.twimg.com/media/FgqGJD-VQAACSAB.jpg", "http://pbs.twimg.com/media/FgqGJD-VQAACSAB.jpg")</f>
        <v>http://pbs.twimg.com/media/FgqGJD-VQAACSAB.jpg</v>
      </c>
      <c r="I297" t="str">
        <f>HYPERLINK("http://pbs.twimg.com/media/FgqGJSTUoAAh8uH.jpg", "http://pbs.twimg.com/media/FgqGJSTUoAAh8uH.jpg")</f>
        <v>http://pbs.twimg.com/media/FgqGJSTUoAAh8uH.jpg</v>
      </c>
      <c r="J297" t="str">
        <f>HYPERLINK("http://pbs.twimg.com/media/FgqGJc9VEAAYgg9.jpg", "http://pbs.twimg.com/media/FgqGJc9VEAAYgg9.jpg")</f>
        <v>http://pbs.twimg.com/media/FgqGJc9VEAAYgg9.jpg</v>
      </c>
      <c r="L297">
        <v>0</v>
      </c>
      <c r="M297">
        <v>0</v>
      </c>
      <c r="N297">
        <v>1</v>
      </c>
      <c r="O297">
        <v>0</v>
      </c>
    </row>
    <row r="298" spans="1:15" x14ac:dyDescent="0.2">
      <c r="A298" s="1" t="str">
        <f>HYPERLINK("http://www.twitter.com/banuakdenizli/status/1588568678626250757", "1588568678626250757")</f>
        <v>1588568678626250757</v>
      </c>
      <c r="B298" t="s">
        <v>15</v>
      </c>
      <c r="C298" s="2">
        <v>44869.685891203713</v>
      </c>
      <c r="D298">
        <v>0</v>
      </c>
      <c r="E298">
        <v>77</v>
      </c>
      <c r="F298" t="s">
        <v>17</v>
      </c>
      <c r="G298" t="s">
        <v>336</v>
      </c>
      <c r="H298" t="str">
        <f>HYPERLINK("http://pbs.twimg.com/media/FguSkh8XEAAxOu9.jpg", "http://pbs.twimg.com/media/FguSkh8XEAAxOu9.jpg")</f>
        <v>http://pbs.twimg.com/media/FguSkh8XEAAxOu9.jpg</v>
      </c>
      <c r="L298">
        <v>0</v>
      </c>
      <c r="M298">
        <v>0</v>
      </c>
      <c r="N298">
        <v>1</v>
      </c>
      <c r="O298">
        <v>0</v>
      </c>
    </row>
    <row r="299" spans="1:15" x14ac:dyDescent="0.2">
      <c r="A299" s="1" t="str">
        <f>HYPERLINK("http://www.twitter.com/banuakdenizli/status/1588568594329530368", "1588568594329530368")</f>
        <v>1588568594329530368</v>
      </c>
      <c r="B299" t="s">
        <v>15</v>
      </c>
      <c r="C299" s="2">
        <v>44869.685659722221</v>
      </c>
      <c r="D299">
        <v>0</v>
      </c>
      <c r="E299">
        <v>100</v>
      </c>
      <c r="F299" t="s">
        <v>17</v>
      </c>
      <c r="G299" t="s">
        <v>337</v>
      </c>
      <c r="H299" t="str">
        <f>HYPERLINK("https://video.twimg.com/ext_tw_video/1588015676601602049/pu/vid/640x352/qH8snl3KLxT-bxAD.mp4?tag=12", "https://video.twimg.com/ext_tw_video/1588015676601602049/pu/vid/640x352/qH8snl3KLxT-bxAD.mp4?tag=12")</f>
        <v>https://video.twimg.com/ext_tw_video/1588015676601602049/pu/vid/640x352/qH8snl3KLxT-bxAD.mp4?tag=12</v>
      </c>
      <c r="L299">
        <v>0</v>
      </c>
      <c r="M299">
        <v>0</v>
      </c>
      <c r="N299">
        <v>1</v>
      </c>
      <c r="O299">
        <v>0</v>
      </c>
    </row>
    <row r="300" spans="1:15" x14ac:dyDescent="0.2">
      <c r="A300" s="1" t="str">
        <f>HYPERLINK("http://www.twitter.com/banuakdenizli/status/1588494099715588099", "1588494099715588099")</f>
        <v>1588494099715588099</v>
      </c>
      <c r="B300" t="s">
        <v>15</v>
      </c>
      <c r="C300" s="2">
        <v>44869.480092592603</v>
      </c>
      <c r="D300">
        <v>0</v>
      </c>
      <c r="E300">
        <v>6</v>
      </c>
      <c r="F300" t="s">
        <v>338</v>
      </c>
      <c r="G300" t="s">
        <v>339</v>
      </c>
      <c r="H300" t="str">
        <f>HYPERLINK("https://video.twimg.com/ext_tw_video/1588444405182119936/pu/vid/864x486/RVp4xqeg5hvR5_-j.mp4?tag=12", "https://video.twimg.com/ext_tw_video/1588444405182119936/pu/vid/864x486/RVp4xqeg5hvR5_-j.mp4?tag=12")</f>
        <v>https://video.twimg.com/ext_tw_video/1588444405182119936/pu/vid/864x486/RVp4xqeg5hvR5_-j.mp4?tag=12</v>
      </c>
      <c r="L300">
        <v>0</v>
      </c>
      <c r="M300">
        <v>0</v>
      </c>
      <c r="N300">
        <v>1</v>
      </c>
      <c r="O300">
        <v>0</v>
      </c>
    </row>
    <row r="301" spans="1:15" x14ac:dyDescent="0.2">
      <c r="A301" s="1" t="str">
        <f>HYPERLINK("http://www.twitter.com/banuakdenizli/status/1588415779942576128", "1588415779942576128")</f>
        <v>1588415779942576128</v>
      </c>
      <c r="B301" t="s">
        <v>15</v>
      </c>
      <c r="C301" s="2">
        <v>44869.263969907413</v>
      </c>
      <c r="D301">
        <v>0</v>
      </c>
      <c r="E301">
        <v>3</v>
      </c>
      <c r="F301" t="s">
        <v>16</v>
      </c>
      <c r="G301" t="s">
        <v>340</v>
      </c>
      <c r="L301">
        <v>0</v>
      </c>
      <c r="M301">
        <v>0</v>
      </c>
      <c r="N301">
        <v>1</v>
      </c>
      <c r="O301">
        <v>0</v>
      </c>
    </row>
    <row r="302" spans="1:15" x14ac:dyDescent="0.2">
      <c r="A302" s="1" t="str">
        <f>HYPERLINK("http://www.twitter.com/banuakdenizli/status/1588408862595772417", "1588408862595772417")</f>
        <v>1588408862595772417</v>
      </c>
      <c r="B302" t="s">
        <v>15</v>
      </c>
      <c r="C302" s="2">
        <v>44869.244884259257</v>
      </c>
      <c r="D302">
        <v>0</v>
      </c>
      <c r="E302">
        <v>8</v>
      </c>
      <c r="F302" t="s">
        <v>252</v>
      </c>
      <c r="G302" t="s">
        <v>341</v>
      </c>
      <c r="H302" t="str">
        <f>HYPERLINK("https://video.twimg.com/ext_tw_video/1588170534650519552/pu/vid/848x480/q3xPzBEaXOT_ee0i.mp4?tag=12", "https://video.twimg.com/ext_tw_video/1588170534650519552/pu/vid/848x480/q3xPzBEaXOT_ee0i.mp4?tag=12")</f>
        <v>https://video.twimg.com/ext_tw_video/1588170534650519552/pu/vid/848x480/q3xPzBEaXOT_ee0i.mp4?tag=12</v>
      </c>
      <c r="L302">
        <v>0</v>
      </c>
      <c r="M302">
        <v>0</v>
      </c>
      <c r="N302">
        <v>1</v>
      </c>
      <c r="O302">
        <v>0</v>
      </c>
    </row>
    <row r="303" spans="1:15" x14ac:dyDescent="0.2">
      <c r="A303" s="1" t="str">
        <f>HYPERLINK("http://www.twitter.com/banuakdenizli/status/1588408735604838400", "1588408735604838400")</f>
        <v>1588408735604838400</v>
      </c>
      <c r="B303" t="s">
        <v>15</v>
      </c>
      <c r="C303" s="2">
        <v>44869.244537037041</v>
      </c>
      <c r="D303">
        <v>0</v>
      </c>
      <c r="E303">
        <v>7</v>
      </c>
      <c r="F303" t="s">
        <v>252</v>
      </c>
      <c r="G303" t="s">
        <v>342</v>
      </c>
      <c r="H303" t="str">
        <f>HYPERLINK("https://video.twimg.com/ext_tw_video/1588264968419418112/pu/vid/720x404/EBd88SnXHAuHLrl8.mp4?tag=12", "https://video.twimg.com/ext_tw_video/1588264968419418112/pu/vid/720x404/EBd88SnXHAuHLrl8.mp4?tag=12")</f>
        <v>https://video.twimg.com/ext_tw_video/1588264968419418112/pu/vid/720x404/EBd88SnXHAuHLrl8.mp4?tag=12</v>
      </c>
      <c r="L303">
        <v>0</v>
      </c>
      <c r="M303">
        <v>0</v>
      </c>
      <c r="N303">
        <v>1</v>
      </c>
      <c r="O303">
        <v>0</v>
      </c>
    </row>
    <row r="304" spans="1:15" x14ac:dyDescent="0.2">
      <c r="A304" s="1" t="str">
        <f>HYPERLINK("http://www.twitter.com/banuakdenizli/status/1588408486396035073", "1588408486396035073")</f>
        <v>1588408486396035073</v>
      </c>
      <c r="B304" t="s">
        <v>15</v>
      </c>
      <c r="C304" s="2">
        <v>44869.243854166663</v>
      </c>
      <c r="D304">
        <v>0</v>
      </c>
      <c r="E304">
        <v>6</v>
      </c>
      <c r="F304" t="s">
        <v>252</v>
      </c>
      <c r="G304" t="s">
        <v>343</v>
      </c>
      <c r="H304" t="str">
        <f>HYPERLINK("https://video.twimg.com/ext_tw_video/1588263671217750016/pu/vid/720x404/5BQQmQU4LeutAxey.mp4?tag=12", "https://video.twimg.com/ext_tw_video/1588263671217750016/pu/vid/720x404/5BQQmQU4LeutAxey.mp4?tag=12")</f>
        <v>https://video.twimg.com/ext_tw_video/1588263671217750016/pu/vid/720x404/5BQQmQU4LeutAxey.mp4?tag=12</v>
      </c>
      <c r="L304">
        <v>0</v>
      </c>
      <c r="M304">
        <v>0</v>
      </c>
      <c r="N304">
        <v>1</v>
      </c>
      <c r="O304">
        <v>0</v>
      </c>
    </row>
    <row r="305" spans="1:15" x14ac:dyDescent="0.2">
      <c r="A305" s="1" t="str">
        <f>HYPERLINK("http://www.twitter.com/banuakdenizli/status/1588408447095406592", "1588408447095406592")</f>
        <v>1588408447095406592</v>
      </c>
      <c r="B305" t="s">
        <v>15</v>
      </c>
      <c r="C305" s="2">
        <v>44869.243738425917</v>
      </c>
      <c r="D305">
        <v>0</v>
      </c>
      <c r="E305">
        <v>8</v>
      </c>
      <c r="F305" t="s">
        <v>252</v>
      </c>
      <c r="G305" t="s">
        <v>344</v>
      </c>
      <c r="H305" t="str">
        <f>HYPERLINK("https://video.twimg.com/ext_tw_video/1588262730607345664/pu/vid/720x404/TDr67Azhhr8FoqPX.mp4?tag=12", "https://video.twimg.com/ext_tw_video/1588262730607345664/pu/vid/720x404/TDr67Azhhr8FoqPX.mp4?tag=12")</f>
        <v>https://video.twimg.com/ext_tw_video/1588262730607345664/pu/vid/720x404/TDr67Azhhr8FoqPX.mp4?tag=12</v>
      </c>
      <c r="L305">
        <v>0</v>
      </c>
      <c r="M305">
        <v>0</v>
      </c>
      <c r="N305">
        <v>1</v>
      </c>
      <c r="O305">
        <v>0</v>
      </c>
    </row>
    <row r="306" spans="1:15" x14ac:dyDescent="0.2">
      <c r="A306" s="1" t="str">
        <f>HYPERLINK("http://www.twitter.com/banuakdenizli/status/1588243187566379009", "1588243187566379009")</f>
        <v>1588243187566379009</v>
      </c>
      <c r="B306" t="s">
        <v>15</v>
      </c>
      <c r="C306" s="2">
        <v>44868.787708333337</v>
      </c>
      <c r="D306">
        <v>0</v>
      </c>
      <c r="E306">
        <v>9</v>
      </c>
      <c r="F306" t="s">
        <v>345</v>
      </c>
      <c r="G306" t="s">
        <v>346</v>
      </c>
      <c r="H306" t="str">
        <f>HYPERLINK("https://video.twimg.com/ext_tw_video/1587910774571286530/pu/vid/720x1280/aL8aJXdJtAleoCC8.mp4?tag=12", "https://video.twimg.com/ext_tw_video/1587910774571286530/pu/vid/720x1280/aL8aJXdJtAleoCC8.mp4?tag=12")</f>
        <v>https://video.twimg.com/ext_tw_video/1587910774571286530/pu/vid/720x1280/aL8aJXdJtAleoCC8.mp4?tag=12</v>
      </c>
      <c r="L306">
        <v>0</v>
      </c>
      <c r="M306">
        <v>0</v>
      </c>
      <c r="N306">
        <v>1</v>
      </c>
      <c r="O306">
        <v>0</v>
      </c>
    </row>
    <row r="307" spans="1:15" x14ac:dyDescent="0.2">
      <c r="A307" s="1" t="str">
        <f>HYPERLINK("http://www.twitter.com/banuakdenizli/status/1588210681983156225", "1588210681983156225")</f>
        <v>1588210681983156225</v>
      </c>
      <c r="B307" t="s">
        <v>15</v>
      </c>
      <c r="C307" s="2">
        <v>44868.698009259257</v>
      </c>
      <c r="D307">
        <v>0</v>
      </c>
      <c r="E307">
        <v>14</v>
      </c>
      <c r="F307" t="s">
        <v>18</v>
      </c>
      <c r="G307" t="s">
        <v>347</v>
      </c>
      <c r="H307" t="str">
        <f>HYPERLINK("http://pbs.twimg.com/media/Fgpzm2mXEAIUVU0.jpg", "http://pbs.twimg.com/media/Fgpzm2mXEAIUVU0.jpg")</f>
        <v>http://pbs.twimg.com/media/Fgpzm2mXEAIUVU0.jpg</v>
      </c>
      <c r="L307">
        <v>0</v>
      </c>
      <c r="M307">
        <v>0</v>
      </c>
      <c r="N307">
        <v>1</v>
      </c>
      <c r="O307">
        <v>0</v>
      </c>
    </row>
    <row r="308" spans="1:15" x14ac:dyDescent="0.2">
      <c r="A308" s="1" t="str">
        <f>HYPERLINK("http://www.twitter.com/banuakdenizli/status/1587910914606772224", "1587910914606772224")</f>
        <v>1587910914606772224</v>
      </c>
      <c r="B308" t="s">
        <v>15</v>
      </c>
      <c r="C308" s="2">
        <v>44867.870810185188</v>
      </c>
      <c r="D308">
        <v>12</v>
      </c>
      <c r="E308">
        <v>5</v>
      </c>
      <c r="G308" t="s">
        <v>348</v>
      </c>
      <c r="H308" t="str">
        <f>HYPERLINK("https://video.twimg.com/ext_tw_video/1587910774571286530/pu/vid/720x1280/aL8aJXdJtAleoCC8.mp4?tag=12", "https://video.twimg.com/ext_tw_video/1587910774571286530/pu/vid/720x1280/aL8aJXdJtAleoCC8.mp4?tag=12")</f>
        <v>https://video.twimg.com/ext_tw_video/1587910774571286530/pu/vid/720x1280/aL8aJXdJtAleoCC8.mp4?tag=12</v>
      </c>
      <c r="L308">
        <v>0</v>
      </c>
      <c r="M308">
        <v>0</v>
      </c>
      <c r="N308">
        <v>1</v>
      </c>
      <c r="O308">
        <v>0</v>
      </c>
    </row>
    <row r="309" spans="1:15" x14ac:dyDescent="0.2">
      <c r="A309" s="1" t="str">
        <f>HYPERLINK("http://www.twitter.com/banuakdenizli/status/1587886535592001536", "1587886535592001536")</f>
        <v>1587886535592001536</v>
      </c>
      <c r="B309" t="s">
        <v>15</v>
      </c>
      <c r="C309" s="2">
        <v>44867.803541666668</v>
      </c>
      <c r="D309">
        <v>0</v>
      </c>
      <c r="E309">
        <v>5</v>
      </c>
      <c r="F309" t="s">
        <v>16</v>
      </c>
      <c r="G309" t="s">
        <v>349</v>
      </c>
      <c r="H309" t="str">
        <f>HYPERLINK("http://pbs.twimg.com/media/FglIQOBWIAEX3jF.jpg", "http://pbs.twimg.com/media/FglIQOBWIAEX3jF.jpg")</f>
        <v>http://pbs.twimg.com/media/FglIQOBWIAEX3jF.jpg</v>
      </c>
      <c r="I309" t="str">
        <f>HYPERLINK("http://pbs.twimg.com/media/FglIQOIXkAEn3ek.jpg", "http://pbs.twimg.com/media/FglIQOIXkAEn3ek.jpg")</f>
        <v>http://pbs.twimg.com/media/FglIQOIXkAEn3ek.jpg</v>
      </c>
      <c r="J309" t="str">
        <f>HYPERLINK("http://pbs.twimg.com/media/FglIQOGXEAE8NW1.jpg", "http://pbs.twimg.com/media/FglIQOGXEAE8NW1.jpg")</f>
        <v>http://pbs.twimg.com/media/FglIQOGXEAE8NW1.jpg</v>
      </c>
      <c r="L309">
        <v>0</v>
      </c>
      <c r="M309">
        <v>0</v>
      </c>
      <c r="N309">
        <v>1</v>
      </c>
      <c r="O309">
        <v>0</v>
      </c>
    </row>
    <row r="310" spans="1:15" x14ac:dyDescent="0.2">
      <c r="A310" s="1" t="str">
        <f>HYPERLINK("http://www.twitter.com/banuakdenizli/status/1587828531517657089", "1587828531517657089")</f>
        <v>1587828531517657089</v>
      </c>
      <c r="B310" t="s">
        <v>15</v>
      </c>
      <c r="C310" s="2">
        <v>44867.643472222233</v>
      </c>
      <c r="D310">
        <v>0</v>
      </c>
      <c r="E310">
        <v>5</v>
      </c>
      <c r="F310" t="s">
        <v>16</v>
      </c>
      <c r="G310" t="s">
        <v>350</v>
      </c>
      <c r="H310" t="str">
        <f>HYPERLINK("http://pbs.twimg.com/media/Fgj-0JtWYAIcmeP.jpg", "http://pbs.twimg.com/media/Fgj-0JtWYAIcmeP.jpg")</f>
        <v>http://pbs.twimg.com/media/Fgj-0JtWYAIcmeP.jpg</v>
      </c>
      <c r="I310" t="str">
        <f>HYPERLINK("http://pbs.twimg.com/media/Fgj-0JlWYAUFGkU.jpg", "http://pbs.twimg.com/media/Fgj-0JlWYAUFGkU.jpg")</f>
        <v>http://pbs.twimg.com/media/Fgj-0JlWYAUFGkU.jpg</v>
      </c>
      <c r="L310">
        <v>0</v>
      </c>
      <c r="M310">
        <v>0</v>
      </c>
      <c r="N310">
        <v>1</v>
      </c>
      <c r="O310">
        <v>0</v>
      </c>
    </row>
    <row r="311" spans="1:15" x14ac:dyDescent="0.2">
      <c r="A311" s="1" t="str">
        <f>HYPERLINK("http://www.twitter.com/banuakdenizli/status/1587820244470562817", "1587820244470562817")</f>
        <v>1587820244470562817</v>
      </c>
      <c r="B311" t="s">
        <v>15</v>
      </c>
      <c r="C311" s="2">
        <v>44867.620613425926</v>
      </c>
      <c r="D311">
        <v>10</v>
      </c>
      <c r="E311">
        <v>3</v>
      </c>
      <c r="G311" t="s">
        <v>351</v>
      </c>
      <c r="H311" t="str">
        <f>HYPERLINK("https://video.twimg.com/ext_tw_video/1587820091034505216/pu/vid/720x1280/DDwUEMkXztEeaB7R.mp4?tag=12", "https://video.twimg.com/ext_tw_video/1587820091034505216/pu/vid/720x1280/DDwUEMkXztEeaB7R.mp4?tag=12")</f>
        <v>https://video.twimg.com/ext_tw_video/1587820091034505216/pu/vid/720x1280/DDwUEMkXztEeaB7R.mp4?tag=12</v>
      </c>
      <c r="L311">
        <v>0</v>
      </c>
      <c r="M311">
        <v>0</v>
      </c>
      <c r="N311">
        <v>1</v>
      </c>
      <c r="O311">
        <v>0</v>
      </c>
    </row>
    <row r="312" spans="1:15" x14ac:dyDescent="0.2">
      <c r="A312" s="1" t="str">
        <f>HYPERLINK("http://www.twitter.com/banuakdenizli/status/1587820087993671681", "1587820087993671681")</f>
        <v>1587820087993671681</v>
      </c>
      <c r="B312" t="s">
        <v>15</v>
      </c>
      <c r="C312" s="2">
        <v>44867.620173611111</v>
      </c>
      <c r="D312">
        <v>8</v>
      </c>
      <c r="E312">
        <v>3</v>
      </c>
      <c r="G312" t="s">
        <v>352</v>
      </c>
      <c r="H312" t="str">
        <f>HYPERLINK("http://pbs.twimg.com/media/FgkR84KWAAEQvSu.jpg", "http://pbs.twimg.com/media/FgkR84KWAAEQvSu.jpg")</f>
        <v>http://pbs.twimg.com/media/FgkR84KWAAEQvSu.jpg</v>
      </c>
      <c r="I312" t="str">
        <f>HYPERLINK("http://pbs.twimg.com/media/FgkR84HXkAA8gMn.jpg", "http://pbs.twimg.com/media/FgkR84HXkAA8gMn.jpg")</f>
        <v>http://pbs.twimg.com/media/FgkR84HXkAA8gMn.jpg</v>
      </c>
      <c r="J312" t="str">
        <f>HYPERLINK("http://pbs.twimg.com/media/FgkR84CXEAAflhE.jpg", "http://pbs.twimg.com/media/FgkR84CXEAAflhE.jpg")</f>
        <v>http://pbs.twimg.com/media/FgkR84CXEAAflhE.jpg</v>
      </c>
      <c r="L312">
        <v>0.43740000000000001</v>
      </c>
      <c r="M312">
        <v>0</v>
      </c>
      <c r="N312">
        <v>0.92900000000000005</v>
      </c>
      <c r="O312">
        <v>7.0999999999999994E-2</v>
      </c>
    </row>
    <row r="313" spans="1:15" x14ac:dyDescent="0.2">
      <c r="A313" s="1" t="str">
        <f>HYPERLINK("http://www.twitter.com/banuakdenizli/status/1587820076710895618", "1587820076710895618")</f>
        <v>1587820076710895618</v>
      </c>
      <c r="B313" t="s">
        <v>15</v>
      </c>
      <c r="C313" s="2">
        <v>44867.620150462957</v>
      </c>
      <c r="D313">
        <v>87</v>
      </c>
      <c r="E313">
        <v>25</v>
      </c>
      <c r="G313" t="s">
        <v>353</v>
      </c>
      <c r="H313" t="str">
        <f>HYPERLINK("http://pbs.twimg.com/media/FgkR8GlWAAEOxTs.jpg", "http://pbs.twimg.com/media/FgkR8GlWAAEOxTs.jpg")</f>
        <v>http://pbs.twimg.com/media/FgkR8GlWAAEOxTs.jpg</v>
      </c>
      <c r="L313">
        <v>0.52549999999999997</v>
      </c>
      <c r="M313">
        <v>0</v>
      </c>
      <c r="N313">
        <v>0.91200000000000003</v>
      </c>
      <c r="O313">
        <v>8.7999999999999995E-2</v>
      </c>
    </row>
    <row r="314" spans="1:15" x14ac:dyDescent="0.2">
      <c r="A314" s="1" t="str">
        <f>HYPERLINK("http://www.twitter.com/banuakdenizli/status/1587542508514562049", "1587542508514562049")</f>
        <v>1587542508514562049</v>
      </c>
      <c r="B314" t="s">
        <v>15</v>
      </c>
      <c r="C314" s="2">
        <v>44866.854201388887</v>
      </c>
      <c r="D314">
        <v>0</v>
      </c>
      <c r="E314">
        <v>83</v>
      </c>
      <c r="F314" t="s">
        <v>17</v>
      </c>
      <c r="G314" t="s">
        <v>354</v>
      </c>
      <c r="H314" t="str">
        <f>HYPERLINK("https://video.twimg.com/ext_tw_video/1586043224531079168/pu/vid/1280x720/DxedTkX7NsRlfXJF.mp4?tag=12", "https://video.twimg.com/ext_tw_video/1586043224531079168/pu/vid/1280x720/DxedTkX7NsRlfXJF.mp4?tag=12")</f>
        <v>https://video.twimg.com/ext_tw_video/1586043224531079168/pu/vid/1280x720/DxedTkX7NsRlfXJF.mp4?tag=12</v>
      </c>
      <c r="L314">
        <v>-0.29599999999999999</v>
      </c>
      <c r="M314">
        <v>0.05</v>
      </c>
      <c r="N314">
        <v>0.95</v>
      </c>
      <c r="O314">
        <v>0</v>
      </c>
    </row>
    <row r="315" spans="1:15" x14ac:dyDescent="0.2">
      <c r="A315" s="1" t="str">
        <f>HYPERLINK("http://www.twitter.com/banuakdenizli/status/1587385766950453250", "1587385766950453250")</f>
        <v>1587385766950453250</v>
      </c>
      <c r="B315" t="s">
        <v>15</v>
      </c>
      <c r="C315" s="2">
        <v>44866.421678240738</v>
      </c>
      <c r="D315">
        <v>0</v>
      </c>
      <c r="E315">
        <v>2</v>
      </c>
      <c r="F315" t="s">
        <v>16</v>
      </c>
      <c r="G315" t="s">
        <v>355</v>
      </c>
      <c r="H315" t="str">
        <f>HYPERLINK("http://pbs.twimg.com/media/FgeEa07WQAMCjGc.jpg", "http://pbs.twimg.com/media/FgeEa07WQAMCjGc.jpg")</f>
        <v>http://pbs.twimg.com/media/FgeEa07WQAMCjGc.jpg</v>
      </c>
      <c r="I315" t="str">
        <f>HYPERLINK("http://pbs.twimg.com/media/FgeEa0_XEAA5ivK.jpg", "http://pbs.twimg.com/media/FgeEa0_XEAA5ivK.jpg")</f>
        <v>http://pbs.twimg.com/media/FgeEa0_XEAA5ivK.jpg</v>
      </c>
      <c r="L315">
        <v>0</v>
      </c>
      <c r="M315">
        <v>0</v>
      </c>
      <c r="N315">
        <v>1</v>
      </c>
      <c r="O315">
        <v>0</v>
      </c>
    </row>
    <row r="316" spans="1:15" x14ac:dyDescent="0.2">
      <c r="A316" s="1" t="str">
        <f>HYPERLINK("http://www.twitter.com/banuakdenizli/status/1587333917450838019", "1587333917450838019")</f>
        <v>1587333917450838019</v>
      </c>
      <c r="B316" t="s">
        <v>15</v>
      </c>
      <c r="C316" s="2">
        <v>44866.278599537043</v>
      </c>
      <c r="D316">
        <v>8</v>
      </c>
      <c r="E316">
        <v>3</v>
      </c>
      <c r="G316" t="s">
        <v>356</v>
      </c>
      <c r="H316" t="str">
        <f>HYPERLINK("https://video.twimg.com/ext_tw_video/1587333818024861696/pu/vid/848x480/lUBVphDWczO4lf2X.mp4?tag=12", "https://video.twimg.com/ext_tw_video/1587333818024861696/pu/vid/848x480/lUBVphDWczO4lf2X.mp4?tag=12")</f>
        <v>https://video.twimg.com/ext_tw_video/1587333818024861696/pu/vid/848x480/lUBVphDWczO4lf2X.mp4?tag=12</v>
      </c>
      <c r="L316">
        <v>0</v>
      </c>
      <c r="M316">
        <v>0</v>
      </c>
      <c r="N316">
        <v>1</v>
      </c>
      <c r="O316">
        <v>0</v>
      </c>
    </row>
    <row r="317" spans="1:15" x14ac:dyDescent="0.2">
      <c r="A317" s="1" t="str">
        <f>HYPERLINK("http://www.twitter.com/banuakdenizli/status/1587256850738806790", "1587256850738806790")</f>
        <v>1587256850738806790</v>
      </c>
      <c r="B317" t="s">
        <v>15</v>
      </c>
      <c r="C317" s="2">
        <v>44866.065937500003</v>
      </c>
      <c r="D317">
        <v>0</v>
      </c>
      <c r="E317">
        <v>13</v>
      </c>
      <c r="F317" t="s">
        <v>18</v>
      </c>
      <c r="G317" t="s">
        <v>357</v>
      </c>
      <c r="H317" t="str">
        <f>HYPERLINK("http://pbs.twimg.com/media/Fgay_JPWQAI7lvM.jpg", "http://pbs.twimg.com/media/Fgay_JPWQAI7lvM.jpg")</f>
        <v>http://pbs.twimg.com/media/Fgay_JPWQAI7lvM.jpg</v>
      </c>
      <c r="L317">
        <v>0</v>
      </c>
      <c r="M317">
        <v>0</v>
      </c>
      <c r="N317">
        <v>1</v>
      </c>
      <c r="O317">
        <v>0</v>
      </c>
    </row>
    <row r="318" spans="1:15" x14ac:dyDescent="0.2">
      <c r="A318" s="1" t="str">
        <f>HYPERLINK("http://www.twitter.com/banuakdenizli/status/1586807605002993664", "1586807605002993664")</f>
        <v>1586807605002993664</v>
      </c>
      <c r="B318" t="s">
        <v>15</v>
      </c>
      <c r="C318" s="2">
        <v>44864.826261574082</v>
      </c>
      <c r="D318">
        <v>0</v>
      </c>
      <c r="E318">
        <v>1</v>
      </c>
      <c r="F318" t="s">
        <v>16</v>
      </c>
      <c r="G318" t="s">
        <v>358</v>
      </c>
      <c r="H318" t="str">
        <f>HYPERLINK("http://pbs.twimg.com/media/FgVXDECWYAAVsuC.jpg", "http://pbs.twimg.com/media/FgVXDECWYAAVsuC.jpg")</f>
        <v>http://pbs.twimg.com/media/FgVXDECWYAAVsuC.jpg</v>
      </c>
      <c r="I318" t="str">
        <f>HYPERLINK("http://pbs.twimg.com/media/FgVXDD9WAAAnTXb.jpg", "http://pbs.twimg.com/media/FgVXDD9WAAAnTXb.jpg")</f>
        <v>http://pbs.twimg.com/media/FgVXDD9WAAAnTXb.jpg</v>
      </c>
      <c r="L318">
        <v>0</v>
      </c>
      <c r="M318">
        <v>0</v>
      </c>
      <c r="N318">
        <v>1</v>
      </c>
      <c r="O318">
        <v>0</v>
      </c>
    </row>
    <row r="319" spans="1:15" x14ac:dyDescent="0.2">
      <c r="A319" s="1" t="str">
        <f>HYPERLINK("http://www.twitter.com/banuakdenizli/status/1586773682126561280", "1586773682126561280")</f>
        <v>1586773682126561280</v>
      </c>
      <c r="B319" t="s">
        <v>15</v>
      </c>
      <c r="C319" s="2">
        <v>44864.73265046296</v>
      </c>
      <c r="D319">
        <v>1</v>
      </c>
      <c r="E319">
        <v>0</v>
      </c>
      <c r="G319" t="s">
        <v>359</v>
      </c>
      <c r="L319">
        <v>0</v>
      </c>
      <c r="M319">
        <v>0</v>
      </c>
      <c r="N319">
        <v>1</v>
      </c>
      <c r="O319">
        <v>0</v>
      </c>
    </row>
    <row r="320" spans="1:15" x14ac:dyDescent="0.2">
      <c r="A320" s="1" t="str">
        <f>HYPERLINK("http://www.twitter.com/banuakdenizli/status/1586665980889104390", "1586665980889104390")</f>
        <v>1586665980889104390</v>
      </c>
      <c r="B320" t="s">
        <v>15</v>
      </c>
      <c r="C320" s="2">
        <v>44864.43545138889</v>
      </c>
      <c r="D320">
        <v>4</v>
      </c>
      <c r="E320">
        <v>2</v>
      </c>
      <c r="G320" t="s">
        <v>360</v>
      </c>
      <c r="H320" t="str">
        <f>HYPERLINK("http://pbs.twimg.com/media/FgT34NbXoAEwc-T.jpg", "http://pbs.twimg.com/media/FgT34NbXoAEwc-T.jpg")</f>
        <v>http://pbs.twimg.com/media/FgT34NbXoAEwc-T.jpg</v>
      </c>
      <c r="L320">
        <v>0.88759999999999994</v>
      </c>
      <c r="M320">
        <v>0</v>
      </c>
      <c r="N320">
        <v>0.77500000000000002</v>
      </c>
      <c r="O320">
        <v>0.22500000000000001</v>
      </c>
    </row>
    <row r="321" spans="1:15" x14ac:dyDescent="0.2">
      <c r="A321" s="1" t="str">
        <f>HYPERLINK("http://www.twitter.com/banuakdenizli/status/1586660865650065409", "1586660865650065409")</f>
        <v>1586660865650065409</v>
      </c>
      <c r="B321" t="s">
        <v>15</v>
      </c>
      <c r="C321" s="2">
        <v>44864.421331018522</v>
      </c>
      <c r="D321">
        <v>0</v>
      </c>
      <c r="E321">
        <v>5</v>
      </c>
      <c r="F321" t="s">
        <v>16</v>
      </c>
      <c r="G321" t="s">
        <v>361</v>
      </c>
      <c r="H321" t="str">
        <f>HYPERLINK("http://pbs.twimg.com/media/FgTzesrXoAU1s1e.jpg", "http://pbs.twimg.com/media/FgTzesrXoAU1s1e.jpg")</f>
        <v>http://pbs.twimg.com/media/FgTzesrXoAU1s1e.jpg</v>
      </c>
      <c r="L321">
        <v>0.44040000000000001</v>
      </c>
      <c r="M321">
        <v>0</v>
      </c>
      <c r="N321">
        <v>0.92300000000000004</v>
      </c>
      <c r="O321">
        <v>7.6999999999999999E-2</v>
      </c>
    </row>
    <row r="322" spans="1:15" x14ac:dyDescent="0.2">
      <c r="A322" s="1" t="str">
        <f>HYPERLINK("http://www.twitter.com/banuakdenizli/status/1586657808812019715", "1586657808812019715")</f>
        <v>1586657808812019715</v>
      </c>
      <c r="B322" t="s">
        <v>15</v>
      </c>
      <c r="C322" s="2">
        <v>44864.412893518522</v>
      </c>
      <c r="D322">
        <v>38</v>
      </c>
      <c r="E322">
        <v>7</v>
      </c>
      <c r="G322" t="s">
        <v>362</v>
      </c>
      <c r="H322" t="str">
        <f>HYPERLINK("http://pbs.twimg.com/media/FgTwSUOXgAEzmd4.jpg", "http://pbs.twimg.com/media/FgTwSUOXgAEzmd4.jpg")</f>
        <v>http://pbs.twimg.com/media/FgTwSUOXgAEzmd4.jpg</v>
      </c>
      <c r="I322" t="str">
        <f>HYPERLINK("http://pbs.twimg.com/media/FgTwWnxXkAAo7AJ.jpg", "http://pbs.twimg.com/media/FgTwWnxXkAAo7AJ.jpg")</f>
        <v>http://pbs.twimg.com/media/FgTwWnxXkAAo7AJ.jpg</v>
      </c>
      <c r="L322">
        <v>0</v>
      </c>
      <c r="M322">
        <v>0</v>
      </c>
      <c r="N322">
        <v>1</v>
      </c>
      <c r="O322">
        <v>0</v>
      </c>
    </row>
    <row r="323" spans="1:15" x14ac:dyDescent="0.2">
      <c r="A323" s="1" t="str">
        <f>HYPERLINK("http://www.twitter.com/banuakdenizli/status/1586629306326949889", "1586629306326949889")</f>
        <v>1586629306326949889</v>
      </c>
      <c r="B323" t="s">
        <v>15</v>
      </c>
      <c r="C323" s="2">
        <v>44864.334247685183</v>
      </c>
      <c r="D323">
        <v>2</v>
      </c>
      <c r="E323">
        <v>0</v>
      </c>
      <c r="G323" t="s">
        <v>363</v>
      </c>
      <c r="L323">
        <v>0</v>
      </c>
      <c r="M323">
        <v>0</v>
      </c>
      <c r="N323">
        <v>1</v>
      </c>
      <c r="O323">
        <v>0</v>
      </c>
    </row>
    <row r="324" spans="1:15" x14ac:dyDescent="0.2">
      <c r="A324" s="1" t="str">
        <f>HYPERLINK("http://www.twitter.com/banuakdenizli/status/1586045285889081344", "1586045285889081344")</f>
        <v>1586045285889081344</v>
      </c>
      <c r="B324" t="s">
        <v>15</v>
      </c>
      <c r="C324" s="2">
        <v>44862.722662037027</v>
      </c>
      <c r="D324">
        <v>9</v>
      </c>
      <c r="E324">
        <v>2</v>
      </c>
      <c r="G324" t="s">
        <v>364</v>
      </c>
      <c r="L324">
        <v>0</v>
      </c>
      <c r="M324">
        <v>0</v>
      </c>
      <c r="N324">
        <v>1</v>
      </c>
      <c r="O324">
        <v>0</v>
      </c>
    </row>
    <row r="325" spans="1:15" x14ac:dyDescent="0.2">
      <c r="A325" s="1" t="str">
        <f>HYPERLINK("http://www.twitter.com/banuakdenizli/status/1586029060714811397", "1586029060714811397")</f>
        <v>1586029060714811397</v>
      </c>
      <c r="B325" t="s">
        <v>15</v>
      </c>
      <c r="C325" s="2">
        <v>44862.677881944437</v>
      </c>
      <c r="D325">
        <v>0</v>
      </c>
      <c r="E325">
        <v>74</v>
      </c>
      <c r="F325" t="s">
        <v>17</v>
      </c>
      <c r="G325" t="s">
        <v>365</v>
      </c>
      <c r="H325" t="str">
        <f>HYPERLINK("https://video.twimg.com/ext_tw_video/1585820235743039490/pu/vid/848x480/OEZLNZt7jepsCgy1.mp4?tag=12", "https://video.twimg.com/ext_tw_video/1585820235743039490/pu/vid/848x480/OEZLNZt7jepsCgy1.mp4?tag=12")</f>
        <v>https://video.twimg.com/ext_tw_video/1585820235743039490/pu/vid/848x480/OEZLNZt7jepsCgy1.mp4?tag=12</v>
      </c>
      <c r="L325">
        <v>0</v>
      </c>
      <c r="M325">
        <v>0</v>
      </c>
      <c r="N325">
        <v>1</v>
      </c>
      <c r="O325">
        <v>0</v>
      </c>
    </row>
    <row r="326" spans="1:15" x14ac:dyDescent="0.2">
      <c r="A326" s="1" t="str">
        <f>HYPERLINK("http://www.twitter.com/banuakdenizli/status/1585982892919898112", "1585982892919898112")</f>
        <v>1585982892919898112</v>
      </c>
      <c r="B326" t="s">
        <v>15</v>
      </c>
      <c r="C326" s="2">
        <v>44862.550486111111</v>
      </c>
      <c r="D326">
        <v>0</v>
      </c>
      <c r="E326">
        <v>66</v>
      </c>
      <c r="F326" t="s">
        <v>17</v>
      </c>
      <c r="G326" t="s">
        <v>366</v>
      </c>
      <c r="H326" t="str">
        <f>HYPERLINK("http://pbs.twimg.com/media/FgKKIUBWAAIudhZ.jpg", "http://pbs.twimg.com/media/FgKKIUBWAAIudhZ.jpg")</f>
        <v>http://pbs.twimg.com/media/FgKKIUBWAAIudhZ.jpg</v>
      </c>
      <c r="L326">
        <v>0</v>
      </c>
      <c r="M326">
        <v>0</v>
      </c>
      <c r="N326">
        <v>1</v>
      </c>
      <c r="O326">
        <v>0</v>
      </c>
    </row>
    <row r="327" spans="1:15" x14ac:dyDescent="0.2">
      <c r="A327" s="1" t="str">
        <f>HYPERLINK("http://www.twitter.com/banuakdenizli/status/1585873977569779712", "1585873977569779712")</f>
        <v>1585873977569779712</v>
      </c>
      <c r="B327" t="s">
        <v>15</v>
      </c>
      <c r="C327" s="2">
        <v>44862.249942129631</v>
      </c>
      <c r="D327">
        <v>0</v>
      </c>
      <c r="E327">
        <v>9</v>
      </c>
      <c r="F327" t="s">
        <v>51</v>
      </c>
      <c r="G327" t="s">
        <v>367</v>
      </c>
      <c r="H327" t="str">
        <f>HYPERLINK("http://pbs.twimg.com/media/FgHH1VUWQAE06aE.jpg", "http://pbs.twimg.com/media/FgHH1VUWQAE06aE.jpg")</f>
        <v>http://pbs.twimg.com/media/FgHH1VUWQAE06aE.jpg</v>
      </c>
      <c r="I327" t="str">
        <f>HYPERLINK("http://pbs.twimg.com/media/FgHH1m9WYAAQnYy.jpg", "http://pbs.twimg.com/media/FgHH1m9WYAAQnYy.jpg")</f>
        <v>http://pbs.twimg.com/media/FgHH1m9WYAAQnYy.jpg</v>
      </c>
      <c r="J327" t="str">
        <f>HYPERLINK("http://pbs.twimg.com/media/FgHH1z_WQAArSyd.jpg", "http://pbs.twimg.com/media/FgHH1z_WQAArSyd.jpg")</f>
        <v>http://pbs.twimg.com/media/FgHH1z_WQAArSyd.jpg</v>
      </c>
      <c r="K327" t="str">
        <f>HYPERLINK("http://pbs.twimg.com/media/FgHH2A_WYAAXTtr.jpg", "http://pbs.twimg.com/media/FgHH2A_WYAAXTtr.jpg")</f>
        <v>http://pbs.twimg.com/media/FgHH2A_WYAAXTtr.jpg</v>
      </c>
      <c r="L327">
        <v>0</v>
      </c>
      <c r="M327">
        <v>0</v>
      </c>
      <c r="N327">
        <v>1</v>
      </c>
      <c r="O327">
        <v>0</v>
      </c>
    </row>
    <row r="328" spans="1:15" x14ac:dyDescent="0.2">
      <c r="A328" s="1" t="str">
        <f>HYPERLINK("http://www.twitter.com/banuakdenizli/status/1585726509406453761", "1585726509406453761")</f>
        <v>1585726509406453761</v>
      </c>
      <c r="B328" t="s">
        <v>15</v>
      </c>
      <c r="C328" s="2">
        <v>44861.842997685177</v>
      </c>
      <c r="D328">
        <v>7</v>
      </c>
      <c r="E328">
        <v>3</v>
      </c>
      <c r="G328" t="s">
        <v>368</v>
      </c>
      <c r="H328" t="str">
        <f>HYPERLINK("http://pbs.twimg.com/media/FgGh2aQWIAEn_29.jpg", "http://pbs.twimg.com/media/FgGh2aQWIAEn_29.jpg")</f>
        <v>http://pbs.twimg.com/media/FgGh2aQWIAEn_29.jpg</v>
      </c>
      <c r="L328">
        <v>0</v>
      </c>
      <c r="M328">
        <v>0</v>
      </c>
      <c r="N328">
        <v>1</v>
      </c>
      <c r="O328">
        <v>0</v>
      </c>
    </row>
    <row r="329" spans="1:15" x14ac:dyDescent="0.2">
      <c r="A329" s="1" t="str">
        <f>HYPERLINK("http://www.twitter.com/banuakdenizli/status/1585697563079999509", "1585697563079999509")</f>
        <v>1585697563079999509</v>
      </c>
      <c r="B329" t="s">
        <v>15</v>
      </c>
      <c r="C329" s="2">
        <v>44861.763124999998</v>
      </c>
      <c r="D329">
        <v>11</v>
      </c>
      <c r="E329">
        <v>3</v>
      </c>
      <c r="G329" t="s">
        <v>369</v>
      </c>
      <c r="H329" t="str">
        <f>HYPERLINK("http://pbs.twimg.com/media/FgGHhesWAAY4wtY.jpg", "http://pbs.twimg.com/media/FgGHhesWAAY4wtY.jpg")</f>
        <v>http://pbs.twimg.com/media/FgGHhesWAAY4wtY.jpg</v>
      </c>
      <c r="I329" t="str">
        <f>HYPERLINK("http://pbs.twimg.com/media/FgGHhenWAEMuIk4.jpg", "http://pbs.twimg.com/media/FgGHhenWAEMuIk4.jpg")</f>
        <v>http://pbs.twimg.com/media/FgGHhenWAEMuIk4.jpg</v>
      </c>
      <c r="J329" t="str">
        <f>HYPERLINK("http://pbs.twimg.com/media/FgGHhehWAAk7Gsd.jpg", "http://pbs.twimg.com/media/FgGHhehWAAk7Gsd.jpg")</f>
        <v>http://pbs.twimg.com/media/FgGHhehWAAk7Gsd.jpg</v>
      </c>
      <c r="K329" t="str">
        <f>HYPERLINK("http://pbs.twimg.com/media/FgGHheeWAAgCCZP.jpg", "http://pbs.twimg.com/media/FgGHheeWAAgCCZP.jpg")</f>
        <v>http://pbs.twimg.com/media/FgGHheeWAAgCCZP.jpg</v>
      </c>
      <c r="L329">
        <v>0</v>
      </c>
      <c r="M329">
        <v>0</v>
      </c>
      <c r="N329">
        <v>1</v>
      </c>
      <c r="O329">
        <v>0</v>
      </c>
    </row>
    <row r="330" spans="1:15" x14ac:dyDescent="0.2">
      <c r="A330" s="1" t="str">
        <f>HYPERLINK("http://www.twitter.com/banuakdenizli/status/1585683317575278593", "1585683317575278593")</f>
        <v>1585683317575278593</v>
      </c>
      <c r="B330" t="s">
        <v>15</v>
      </c>
      <c r="C330" s="2">
        <v>44861.723819444444</v>
      </c>
      <c r="D330">
        <v>18</v>
      </c>
      <c r="E330">
        <v>7</v>
      </c>
      <c r="G330" t="s">
        <v>370</v>
      </c>
      <c r="H330" t="str">
        <f>HYPERLINK("http://pbs.twimg.com/media/FgF6kXuXoAEIG5g.jpg", "http://pbs.twimg.com/media/FgF6kXuXoAEIG5g.jpg")</f>
        <v>http://pbs.twimg.com/media/FgF6kXuXoAEIG5g.jpg</v>
      </c>
      <c r="L330">
        <v>0</v>
      </c>
      <c r="M330">
        <v>0</v>
      </c>
      <c r="N330">
        <v>1</v>
      </c>
      <c r="O330">
        <v>0</v>
      </c>
    </row>
    <row r="331" spans="1:15" x14ac:dyDescent="0.2">
      <c r="A331" s="1" t="str">
        <f>HYPERLINK("http://www.twitter.com/banuakdenizli/status/1585489401727139840", "1585489401727139840")</f>
        <v>1585489401727139840</v>
      </c>
      <c r="B331" t="s">
        <v>15</v>
      </c>
      <c r="C331" s="2">
        <v>44861.188703703701</v>
      </c>
      <c r="D331">
        <v>0</v>
      </c>
      <c r="E331">
        <v>30</v>
      </c>
      <c r="F331" t="s">
        <v>51</v>
      </c>
      <c r="G331" t="s">
        <v>371</v>
      </c>
      <c r="H331" t="str">
        <f>HYPERLINK("http://pbs.twimg.com/media/Ff9aaaAXoAEsrFs.jpg", "http://pbs.twimg.com/media/Ff9aaaAXoAEsrFs.jpg")</f>
        <v>http://pbs.twimg.com/media/Ff9aaaAXoAEsrFs.jpg</v>
      </c>
      <c r="I331" t="str">
        <f>HYPERLINK("http://pbs.twimg.com/media/Ff9adO3WIAADQOR.jpg", "http://pbs.twimg.com/media/Ff9adO3WIAADQOR.jpg")</f>
        <v>http://pbs.twimg.com/media/Ff9adO3WIAADQOR.jpg</v>
      </c>
      <c r="J331" t="str">
        <f>HYPERLINK("http://pbs.twimg.com/media/Ff9agU1WYAAqe2P.jpg", "http://pbs.twimg.com/media/Ff9agU1WYAAqe2P.jpg")</f>
        <v>http://pbs.twimg.com/media/Ff9agU1WYAAqe2P.jpg</v>
      </c>
      <c r="K331" t="str">
        <f>HYPERLINK("http://pbs.twimg.com/media/Ff9ajvAXwAASh8Z.jpg", "http://pbs.twimg.com/media/Ff9ajvAXwAASh8Z.jpg")</f>
        <v>http://pbs.twimg.com/media/Ff9ajvAXwAASh8Z.jpg</v>
      </c>
      <c r="L331">
        <v>0</v>
      </c>
      <c r="M331">
        <v>0</v>
      </c>
      <c r="N331">
        <v>1</v>
      </c>
      <c r="O331">
        <v>0</v>
      </c>
    </row>
    <row r="332" spans="1:15" x14ac:dyDescent="0.2">
      <c r="A332" s="1" t="str">
        <f>HYPERLINK("http://www.twitter.com/banuakdenizli/status/1585441088076226561", "1585441088076226561")</f>
        <v>1585441088076226561</v>
      </c>
      <c r="B332" t="s">
        <v>15</v>
      </c>
      <c r="C332" s="2">
        <v>44861.055393518523</v>
      </c>
      <c r="D332">
        <v>14</v>
      </c>
      <c r="E332">
        <v>4</v>
      </c>
      <c r="G332" t="s">
        <v>372</v>
      </c>
      <c r="H332" t="str">
        <f>HYPERLINK("https://video.twimg.com/ext_tw_video/1585440979871473665/pu/vid/1280x720/GFJutXiweJIUGZYb.mp4?tag=12", "https://video.twimg.com/ext_tw_video/1585440979871473665/pu/vid/1280x720/GFJutXiweJIUGZYb.mp4?tag=12")</f>
        <v>https://video.twimg.com/ext_tw_video/1585440979871473665/pu/vid/1280x720/GFJutXiweJIUGZYb.mp4?tag=12</v>
      </c>
      <c r="L332">
        <v>0</v>
      </c>
      <c r="M332">
        <v>0</v>
      </c>
      <c r="N332">
        <v>1</v>
      </c>
      <c r="O332">
        <v>0</v>
      </c>
    </row>
    <row r="333" spans="1:15" x14ac:dyDescent="0.2">
      <c r="A333" s="1" t="str">
        <f>HYPERLINK("http://www.twitter.com/banuakdenizli/status/1585437433293901825", "1585437433293901825")</f>
        <v>1585437433293901825</v>
      </c>
      <c r="B333" t="s">
        <v>15</v>
      </c>
      <c r="C333" s="2">
        <v>44861.045300925929</v>
      </c>
      <c r="D333">
        <v>0</v>
      </c>
      <c r="E333">
        <v>18</v>
      </c>
      <c r="F333" t="s">
        <v>18</v>
      </c>
      <c r="G333" t="s">
        <v>373</v>
      </c>
      <c r="H333" t="str">
        <f>HYPERLINK("http://pbs.twimg.com/media/FgAIo3jUAAAzgsp.jpg", "http://pbs.twimg.com/media/FgAIo3jUAAAzgsp.jpg")</f>
        <v>http://pbs.twimg.com/media/FgAIo3jUAAAzgsp.jpg</v>
      </c>
      <c r="I333" t="str">
        <f>HYPERLINK("http://pbs.twimg.com/media/FgAIpSwUYAE37qJ.jpg", "http://pbs.twimg.com/media/FgAIpSwUYAE37qJ.jpg")</f>
        <v>http://pbs.twimg.com/media/FgAIpSwUYAE37qJ.jpg</v>
      </c>
      <c r="L333">
        <v>0</v>
      </c>
      <c r="M333">
        <v>0</v>
      </c>
      <c r="N333">
        <v>1</v>
      </c>
      <c r="O333">
        <v>0</v>
      </c>
    </row>
    <row r="334" spans="1:15" x14ac:dyDescent="0.2">
      <c r="A334" s="1" t="str">
        <f>HYPERLINK("http://www.twitter.com/banuakdenizli/status/1585180336006520833", "1585180336006520833")</f>
        <v>1585180336006520833</v>
      </c>
      <c r="B334" t="s">
        <v>15</v>
      </c>
      <c r="C334" s="2">
        <v>44860.335844907408</v>
      </c>
      <c r="D334">
        <v>0</v>
      </c>
      <c r="E334">
        <v>0</v>
      </c>
      <c r="G334" t="s">
        <v>374</v>
      </c>
      <c r="L334">
        <v>0</v>
      </c>
      <c r="M334">
        <v>0</v>
      </c>
      <c r="N334">
        <v>1</v>
      </c>
      <c r="O334">
        <v>0</v>
      </c>
    </row>
    <row r="335" spans="1:15" x14ac:dyDescent="0.2">
      <c r="A335" s="1" t="str">
        <f>HYPERLINK("http://www.twitter.com/banuakdenizli/status/1584953173990838272", "1584953173990838272")</f>
        <v>1584953173990838272</v>
      </c>
      <c r="B335" t="s">
        <v>15</v>
      </c>
      <c r="C335" s="2">
        <v>44859.709004629629</v>
      </c>
      <c r="D335">
        <v>0</v>
      </c>
      <c r="E335">
        <v>20</v>
      </c>
      <c r="F335" t="s">
        <v>223</v>
      </c>
      <c r="G335" t="s">
        <v>375</v>
      </c>
      <c r="H335" t="str">
        <f>HYPERLINK("https://video.twimg.com/ext_tw_video/1584643876710748160/pu/vid/720x1280/-ODbP1B3nd7LpiDG.mp4?tag=12", "https://video.twimg.com/ext_tw_video/1584643876710748160/pu/vid/720x1280/-ODbP1B3nd7LpiDG.mp4?tag=12")</f>
        <v>https://video.twimg.com/ext_tw_video/1584643876710748160/pu/vid/720x1280/-ODbP1B3nd7LpiDG.mp4?tag=12</v>
      </c>
      <c r="L335">
        <v>0</v>
      </c>
      <c r="M335">
        <v>0</v>
      </c>
      <c r="N335">
        <v>1</v>
      </c>
      <c r="O335">
        <v>0</v>
      </c>
    </row>
    <row r="336" spans="1:15" x14ac:dyDescent="0.2">
      <c r="A336" s="1" t="str">
        <f>HYPERLINK("http://www.twitter.com/banuakdenizli/status/1584918949808021504", "1584918949808021504")</f>
        <v>1584918949808021504</v>
      </c>
      <c r="B336" t="s">
        <v>15</v>
      </c>
      <c r="C336" s="2">
        <v>44859.614560185182</v>
      </c>
      <c r="D336">
        <v>3</v>
      </c>
      <c r="E336">
        <v>4</v>
      </c>
      <c r="G336" t="s">
        <v>376</v>
      </c>
      <c r="H336" t="str">
        <f>HYPERLINK("http://pbs.twimg.com/media/Ff7C0MyXEAgwHA1.jpg", "http://pbs.twimg.com/media/Ff7C0MyXEAgwHA1.jpg")</f>
        <v>http://pbs.twimg.com/media/Ff7C0MyXEAgwHA1.jpg</v>
      </c>
      <c r="L336">
        <v>0</v>
      </c>
      <c r="M336">
        <v>0</v>
      </c>
      <c r="N336">
        <v>1</v>
      </c>
      <c r="O336">
        <v>0</v>
      </c>
    </row>
    <row r="337" spans="1:15" x14ac:dyDescent="0.2">
      <c r="A337" s="1" t="str">
        <f>HYPERLINK("http://www.twitter.com/banuakdenizli/status/1584913469287055365", "1584913469287055365")</f>
        <v>1584913469287055365</v>
      </c>
      <c r="B337" t="s">
        <v>15</v>
      </c>
      <c r="C337" s="2">
        <v>44859.599444444437</v>
      </c>
      <c r="D337">
        <v>13</v>
      </c>
      <c r="E337">
        <v>6</v>
      </c>
      <c r="G337" t="s">
        <v>377</v>
      </c>
      <c r="H337" t="str">
        <f>HYPERLINK("http://pbs.twimg.com/media/Ff69xMrXwAY0oYc.jpg", "http://pbs.twimg.com/media/Ff69xMrXwAY0oYc.jpg")</f>
        <v>http://pbs.twimg.com/media/Ff69xMrXwAY0oYc.jpg</v>
      </c>
      <c r="L337">
        <v>-0.35949999999999999</v>
      </c>
      <c r="M337">
        <v>7.1999999999999995E-2</v>
      </c>
      <c r="N337">
        <v>0.92800000000000005</v>
      </c>
      <c r="O337">
        <v>0</v>
      </c>
    </row>
    <row r="338" spans="1:15" x14ac:dyDescent="0.2">
      <c r="A338" s="1" t="str">
        <f>HYPERLINK("http://www.twitter.com/banuakdenizli/status/1584872522893627395", "1584872522893627395")</f>
        <v>1584872522893627395</v>
      </c>
      <c r="B338" t="s">
        <v>15</v>
      </c>
      <c r="C338" s="2">
        <v>44859.486446759263</v>
      </c>
      <c r="D338">
        <v>7</v>
      </c>
      <c r="E338">
        <v>2</v>
      </c>
      <c r="G338" t="s">
        <v>378</v>
      </c>
      <c r="H338" t="str">
        <f>HYPERLINK("http://pbs.twimg.com/media/Ff6XbmHWIAIZ2gx.jpg", "http://pbs.twimg.com/media/Ff6XbmHWIAIZ2gx.jpg")</f>
        <v>http://pbs.twimg.com/media/Ff6XbmHWIAIZ2gx.jpg</v>
      </c>
      <c r="L338">
        <v>0</v>
      </c>
      <c r="M338">
        <v>0</v>
      </c>
      <c r="N338">
        <v>1</v>
      </c>
      <c r="O338">
        <v>0</v>
      </c>
    </row>
    <row r="339" spans="1:15" x14ac:dyDescent="0.2">
      <c r="A339" s="1" t="str">
        <f>HYPERLINK("http://www.twitter.com/banuakdenizli/status/1584549315619323906", "1584549315619323906")</f>
        <v>1584549315619323906</v>
      </c>
      <c r="B339" t="s">
        <v>15</v>
      </c>
      <c r="C339" s="2">
        <v>44858.594571759262</v>
      </c>
      <c r="D339">
        <v>0</v>
      </c>
      <c r="E339">
        <v>3</v>
      </c>
      <c r="F339" t="s">
        <v>16</v>
      </c>
      <c r="G339" t="s">
        <v>379</v>
      </c>
      <c r="H339" t="str">
        <f>HYPERLINK("http://pbs.twimg.com/media/Ff1uwSSXoAYU4so.jpg", "http://pbs.twimg.com/media/Ff1uwSSXoAYU4so.jpg")</f>
        <v>http://pbs.twimg.com/media/Ff1uwSSXoAYU4so.jpg</v>
      </c>
      <c r="L339">
        <v>0</v>
      </c>
      <c r="M339">
        <v>0</v>
      </c>
      <c r="N339">
        <v>1</v>
      </c>
      <c r="O339">
        <v>0</v>
      </c>
    </row>
    <row r="340" spans="1:15" x14ac:dyDescent="0.2">
      <c r="A340" s="1" t="str">
        <f>HYPERLINK("http://www.twitter.com/banuakdenizli/status/1584185998187327490", "1584185998187327490")</f>
        <v>1584185998187327490</v>
      </c>
      <c r="B340" t="s">
        <v>15</v>
      </c>
      <c r="C340" s="2">
        <v>44857.592002314806</v>
      </c>
      <c r="D340">
        <v>11</v>
      </c>
      <c r="E340">
        <v>5</v>
      </c>
      <c r="G340" t="s">
        <v>380</v>
      </c>
      <c r="H340" t="str">
        <f>HYPERLINK("https://video.twimg.com/ext_tw_video/1584185933414400001/pu/vid/848x480/zn8dgcf8T8R1HSp_.mp4?tag=12", "https://video.twimg.com/ext_tw_video/1584185933414400001/pu/vid/848x480/zn8dgcf8T8R1HSp_.mp4?tag=12")</f>
        <v>https://video.twimg.com/ext_tw_video/1584185933414400001/pu/vid/848x480/zn8dgcf8T8R1HSp_.mp4?tag=12</v>
      </c>
      <c r="L340">
        <v>0</v>
      </c>
      <c r="M340">
        <v>0</v>
      </c>
      <c r="N340">
        <v>1</v>
      </c>
      <c r="O340">
        <v>0</v>
      </c>
    </row>
    <row r="341" spans="1:15" x14ac:dyDescent="0.2">
      <c r="A341" s="1" t="str">
        <f>HYPERLINK("http://www.twitter.com/banuakdenizli/status/1584171177609527299", "1584171177609527299")</f>
        <v>1584171177609527299</v>
      </c>
      <c r="B341" t="s">
        <v>15</v>
      </c>
      <c r="C341" s="2">
        <v>44857.551099537042</v>
      </c>
      <c r="D341">
        <v>18</v>
      </c>
      <c r="E341">
        <v>2</v>
      </c>
      <c r="G341" t="s">
        <v>381</v>
      </c>
      <c r="H341" t="str">
        <f>HYPERLINK("http://pbs.twimg.com/media/FfwYZ8UWQAAOyao.jpg", "http://pbs.twimg.com/media/FfwYZ8UWQAAOyao.jpg")</f>
        <v>http://pbs.twimg.com/media/FfwYZ8UWQAAOyao.jpg</v>
      </c>
      <c r="I341" t="str">
        <f>HYPERLINK("http://pbs.twimg.com/media/FfwYZ85WAAESy2b.jpg", "http://pbs.twimg.com/media/FfwYZ85WAAESy2b.jpg")</f>
        <v>http://pbs.twimg.com/media/FfwYZ85WAAESy2b.jpg</v>
      </c>
      <c r="L341">
        <v>0.89570000000000005</v>
      </c>
      <c r="M341">
        <v>0</v>
      </c>
      <c r="N341">
        <v>0.748</v>
      </c>
      <c r="O341">
        <v>0.252</v>
      </c>
    </row>
    <row r="342" spans="1:15" x14ac:dyDescent="0.2">
      <c r="A342" s="1" t="str">
        <f>HYPERLINK("http://www.twitter.com/banuakdenizli/status/1584158152219500544", "1584158152219500544")</f>
        <v>1584158152219500544</v>
      </c>
      <c r="B342" t="s">
        <v>15</v>
      </c>
      <c r="C342" s="2">
        <v>44857.515162037038</v>
      </c>
      <c r="D342">
        <v>42</v>
      </c>
      <c r="E342">
        <v>17</v>
      </c>
      <c r="G342" t="s">
        <v>382</v>
      </c>
      <c r="H342" t="str">
        <f>HYPERLINK("http://pbs.twimg.com/media/Ffv_op8XkAAj58H.jpg", "http://pbs.twimg.com/media/Ffv_op8XkAAj58H.jpg")</f>
        <v>http://pbs.twimg.com/media/Ffv_op8XkAAj58H.jpg</v>
      </c>
      <c r="I342" t="str">
        <f>HYPERLINK("http://pbs.twimg.com/media/FfwGjNQXEAA-EHq.jpg", "http://pbs.twimg.com/media/FfwGjNQXEAA-EHq.jpg")</f>
        <v>http://pbs.twimg.com/media/FfwGjNQXEAA-EHq.jpg</v>
      </c>
      <c r="L342">
        <v>0</v>
      </c>
      <c r="M342">
        <v>0</v>
      </c>
      <c r="N342">
        <v>1</v>
      </c>
      <c r="O342">
        <v>0</v>
      </c>
    </row>
    <row r="343" spans="1:15" x14ac:dyDescent="0.2">
      <c r="A343" s="1" t="str">
        <f>HYPERLINK("http://www.twitter.com/banuakdenizli/status/1584108577593053187", "1584108577593053187")</f>
        <v>1584108577593053187</v>
      </c>
      <c r="B343" t="s">
        <v>15</v>
      </c>
      <c r="C343" s="2">
        <v>44857.37835648148</v>
      </c>
      <c r="D343">
        <v>0</v>
      </c>
      <c r="E343">
        <v>15</v>
      </c>
      <c r="F343" t="s">
        <v>17</v>
      </c>
      <c r="G343" t="s">
        <v>383</v>
      </c>
      <c r="H343" t="str">
        <f>HYPERLINK("http://pbs.twimg.com/media/FfpK8ETWIAAHoWI.jpg", "http://pbs.twimg.com/media/FfpK8ETWIAAHoWI.jpg")</f>
        <v>http://pbs.twimg.com/media/FfpK8ETWIAAHoWI.jpg</v>
      </c>
      <c r="I343" t="str">
        <f>HYPERLINK("http://pbs.twimg.com/media/FfpK8ETWAAEie6j.jpg", "http://pbs.twimg.com/media/FfpK8ETWAAEie6j.jpg")</f>
        <v>http://pbs.twimg.com/media/FfpK8ETWAAEie6j.jpg</v>
      </c>
      <c r="J343" t="str">
        <f>HYPERLINK("http://pbs.twimg.com/media/FfpK8ETXkAA9U2H.jpg", "http://pbs.twimg.com/media/FfpK8ETXkAA9U2H.jpg")</f>
        <v>http://pbs.twimg.com/media/FfpK8ETXkAA9U2H.jpg</v>
      </c>
      <c r="L343">
        <v>0</v>
      </c>
      <c r="M343">
        <v>0</v>
      </c>
      <c r="N343">
        <v>1</v>
      </c>
      <c r="O343">
        <v>0</v>
      </c>
    </row>
    <row r="344" spans="1:15" x14ac:dyDescent="0.2">
      <c r="A344" s="1" t="str">
        <f>HYPERLINK("http://www.twitter.com/banuakdenizli/status/1584081343394516992", "1584081343394516992")</f>
        <v>1584081343394516992</v>
      </c>
      <c r="B344" t="s">
        <v>15</v>
      </c>
      <c r="C344" s="2">
        <v>44857.303206018521</v>
      </c>
      <c r="D344">
        <v>0</v>
      </c>
      <c r="E344">
        <v>7</v>
      </c>
      <c r="F344" t="s">
        <v>384</v>
      </c>
      <c r="G344" t="s">
        <v>385</v>
      </c>
      <c r="H344" t="str">
        <f>HYPERLINK("http://pbs.twimg.com/media/Ffsg_OBWIAMpzi3.jpg", "http://pbs.twimg.com/media/Ffsg_OBWIAMpzi3.jpg")</f>
        <v>http://pbs.twimg.com/media/Ffsg_OBWIAMpzi3.jpg</v>
      </c>
      <c r="I344" t="str">
        <f>HYPERLINK("http://pbs.twimg.com/media/Ffsg_OBWIAQZrtk.jpg", "http://pbs.twimg.com/media/Ffsg_OBWIAQZrtk.jpg")</f>
        <v>http://pbs.twimg.com/media/Ffsg_OBWIAQZrtk.jpg</v>
      </c>
      <c r="J344" t="str">
        <f>HYPERLINK("http://pbs.twimg.com/media/Ffsg_OAXkAEzGtu.jpg", "http://pbs.twimg.com/media/Ffsg_OAXkAEzGtu.jpg")</f>
        <v>http://pbs.twimg.com/media/Ffsg_OAXkAEzGtu.jpg</v>
      </c>
      <c r="K344" t="str">
        <f>HYPERLINK("http://pbs.twimg.com/media/Ffsg_OAXwAAFgn1.jpg", "http://pbs.twimg.com/media/Ffsg_OAXwAAFgn1.jpg")</f>
        <v>http://pbs.twimg.com/media/Ffsg_OAXwAAFgn1.jpg</v>
      </c>
      <c r="L344">
        <v>0</v>
      </c>
      <c r="M344">
        <v>0</v>
      </c>
      <c r="N344">
        <v>1</v>
      </c>
      <c r="O344">
        <v>0</v>
      </c>
    </row>
    <row r="345" spans="1:15" x14ac:dyDescent="0.2">
      <c r="A345" s="1" t="str">
        <f>HYPERLINK("http://www.twitter.com/banuakdenizli/status/1583895297700175872", "1583895297700175872")</f>
        <v>1583895297700175872</v>
      </c>
      <c r="B345" t="s">
        <v>15</v>
      </c>
      <c r="C345" s="2">
        <v>44856.789814814823</v>
      </c>
      <c r="D345">
        <v>0</v>
      </c>
      <c r="E345">
        <v>8</v>
      </c>
      <c r="F345" t="s">
        <v>19</v>
      </c>
      <c r="G345" t="s">
        <v>386</v>
      </c>
      <c r="H345" t="str">
        <f>HYPERLINK("http://pbs.twimg.com/media/Ffsf4xiXwAARvEg.jpg", "http://pbs.twimg.com/media/Ffsf4xiXwAARvEg.jpg")</f>
        <v>http://pbs.twimg.com/media/Ffsf4xiXwAARvEg.jpg</v>
      </c>
      <c r="L345">
        <v>0</v>
      </c>
      <c r="M345">
        <v>0</v>
      </c>
      <c r="N345">
        <v>1</v>
      </c>
      <c r="O345">
        <v>0</v>
      </c>
    </row>
    <row r="346" spans="1:15" x14ac:dyDescent="0.2">
      <c r="A346" s="1" t="str">
        <f>HYPERLINK("http://www.twitter.com/banuakdenizli/status/1583879799105208320", "1583879799105208320")</f>
        <v>1583879799105208320</v>
      </c>
      <c r="B346" t="s">
        <v>15</v>
      </c>
      <c r="C346" s="2">
        <v>44856.747048611112</v>
      </c>
      <c r="D346">
        <v>1</v>
      </c>
      <c r="E346">
        <v>2</v>
      </c>
      <c r="G346" t="s">
        <v>387</v>
      </c>
      <c r="L346">
        <v>0</v>
      </c>
      <c r="M346">
        <v>0</v>
      </c>
      <c r="N346">
        <v>1</v>
      </c>
      <c r="O346">
        <v>0</v>
      </c>
    </row>
    <row r="347" spans="1:15" x14ac:dyDescent="0.2">
      <c r="A347" s="1" t="str">
        <f>HYPERLINK("http://www.twitter.com/banuakdenizli/status/1583762076228800513", "1583762076228800513")</f>
        <v>1583762076228800513</v>
      </c>
      <c r="B347" t="s">
        <v>15</v>
      </c>
      <c r="C347" s="2">
        <v>44856.422199074077</v>
      </c>
      <c r="D347">
        <v>0</v>
      </c>
      <c r="E347">
        <v>6</v>
      </c>
      <c r="F347" t="s">
        <v>16</v>
      </c>
      <c r="G347" t="s">
        <v>388</v>
      </c>
      <c r="H347" t="str">
        <f>HYPERLINK("http://pbs.twimg.com/media/FfqlB-tXkAUF-7I.jpg", "http://pbs.twimg.com/media/FfqlB-tXkAUF-7I.jpg")</f>
        <v>http://pbs.twimg.com/media/FfqlB-tXkAUF-7I.jpg</v>
      </c>
      <c r="L347">
        <v>0</v>
      </c>
      <c r="M347">
        <v>0</v>
      </c>
      <c r="N347">
        <v>1</v>
      </c>
      <c r="O347">
        <v>0</v>
      </c>
    </row>
    <row r="348" spans="1:15" x14ac:dyDescent="0.2">
      <c r="A348" s="1" t="str">
        <f>HYPERLINK("http://www.twitter.com/banuakdenizli/status/1583758875605336064", "1583758875605336064")</f>
        <v>1583758875605336064</v>
      </c>
      <c r="B348" t="s">
        <v>15</v>
      </c>
      <c r="C348" s="2">
        <v>44856.413368055553</v>
      </c>
      <c r="D348">
        <v>0</v>
      </c>
      <c r="E348">
        <v>19</v>
      </c>
      <c r="F348" t="s">
        <v>17</v>
      </c>
      <c r="G348" t="s">
        <v>389</v>
      </c>
      <c r="H348" t="str">
        <f>HYPERLINK("http://pbs.twimg.com/media/FfmRDq_XgAIYXSv.jpg", "http://pbs.twimg.com/media/FfmRDq_XgAIYXSv.jpg")</f>
        <v>http://pbs.twimg.com/media/FfmRDq_XgAIYXSv.jpg</v>
      </c>
      <c r="L348">
        <v>-0.55740000000000001</v>
      </c>
      <c r="M348">
        <v>8.8999999999999996E-2</v>
      </c>
      <c r="N348">
        <v>0.91100000000000003</v>
      </c>
      <c r="O348">
        <v>0</v>
      </c>
    </row>
    <row r="349" spans="1:15" x14ac:dyDescent="0.2">
      <c r="A349" s="1" t="str">
        <f>HYPERLINK("http://www.twitter.com/banuakdenizli/status/1583551447886487553", "1583551447886487553")</f>
        <v>1583551447886487553</v>
      </c>
      <c r="B349" t="s">
        <v>15</v>
      </c>
      <c r="C349" s="2">
        <v>44855.84097222222</v>
      </c>
      <c r="D349">
        <v>8</v>
      </c>
      <c r="E349">
        <v>6</v>
      </c>
      <c r="G349" t="s">
        <v>390</v>
      </c>
      <c r="H349" t="str">
        <f>HYPERLINK("https://video.twimg.com/ext_tw_video/1583551303506075658/pu/vid/848x480/3BYUgCILQuVHKMVZ.mp4?tag=12", "https://video.twimg.com/ext_tw_video/1583551303506075658/pu/vid/848x480/3BYUgCILQuVHKMVZ.mp4?tag=12")</f>
        <v>https://video.twimg.com/ext_tw_video/1583551303506075658/pu/vid/848x480/3BYUgCILQuVHKMVZ.mp4?tag=12</v>
      </c>
      <c r="L349">
        <v>0</v>
      </c>
      <c r="M349">
        <v>0</v>
      </c>
      <c r="N349">
        <v>1</v>
      </c>
      <c r="O349">
        <v>0</v>
      </c>
    </row>
    <row r="350" spans="1:15" x14ac:dyDescent="0.2">
      <c r="A350" s="1" t="str">
        <f>HYPERLINK("http://www.twitter.com/banuakdenizli/status/1583498221719912454", "1583498221719912454")</f>
        <v>1583498221719912454</v>
      </c>
      <c r="B350" t="s">
        <v>15</v>
      </c>
      <c r="C350" s="2">
        <v>44855.694097222222</v>
      </c>
      <c r="D350">
        <v>11</v>
      </c>
      <c r="E350">
        <v>3</v>
      </c>
      <c r="G350" t="s">
        <v>391</v>
      </c>
      <c r="H350" t="str">
        <f>HYPERLINK("http://pbs.twimg.com/media/Ffm3PKbWAAI31-v.jpg", "http://pbs.twimg.com/media/Ffm3PKbWAAI31-v.jpg")</f>
        <v>http://pbs.twimg.com/media/Ffm3PKbWAAI31-v.jpg</v>
      </c>
      <c r="L350">
        <v>0</v>
      </c>
      <c r="M350">
        <v>0</v>
      </c>
      <c r="N350">
        <v>1</v>
      </c>
      <c r="O350">
        <v>0</v>
      </c>
    </row>
    <row r="351" spans="1:15" x14ac:dyDescent="0.2">
      <c r="A351" s="1" t="str">
        <f>HYPERLINK("http://www.twitter.com/banuakdenizli/status/1583466499007660032", "1583466499007660032")</f>
        <v>1583466499007660032</v>
      </c>
      <c r="B351" t="s">
        <v>15</v>
      </c>
      <c r="C351" s="2">
        <v>44855.606562499997</v>
      </c>
      <c r="D351">
        <v>9</v>
      </c>
      <c r="E351">
        <v>4</v>
      </c>
      <c r="G351" t="s">
        <v>392</v>
      </c>
      <c r="H351" t="str">
        <f>HYPERLINK("http://pbs.twimg.com/media/FfmaYpKXoAA-K0T.jpg", "http://pbs.twimg.com/media/FfmaYpKXoAA-K0T.jpg")</f>
        <v>http://pbs.twimg.com/media/FfmaYpKXoAA-K0T.jpg</v>
      </c>
      <c r="L351">
        <v>0</v>
      </c>
      <c r="M351">
        <v>0</v>
      </c>
      <c r="N351">
        <v>1</v>
      </c>
      <c r="O351">
        <v>0</v>
      </c>
    </row>
    <row r="352" spans="1:15" x14ac:dyDescent="0.2">
      <c r="A352" s="1" t="str">
        <f>HYPERLINK("http://www.twitter.com/banuakdenizli/status/1583324731381805056", "1583324731381805056")</f>
        <v>1583324731381805056</v>
      </c>
      <c r="B352" t="s">
        <v>15</v>
      </c>
      <c r="C352" s="2">
        <v>44855.215358796297</v>
      </c>
      <c r="D352">
        <v>9</v>
      </c>
      <c r="E352">
        <v>0</v>
      </c>
      <c r="G352" t="s">
        <v>393</v>
      </c>
      <c r="L352">
        <v>0</v>
      </c>
      <c r="M352">
        <v>0</v>
      </c>
      <c r="N352">
        <v>1</v>
      </c>
      <c r="O352">
        <v>0</v>
      </c>
    </row>
    <row r="353" spans="1:15" x14ac:dyDescent="0.2">
      <c r="A353" s="1" t="str">
        <f>HYPERLINK("http://www.twitter.com/banuakdenizli/status/1583197965627580416", "1583197965627580416")</f>
        <v>1583197965627580416</v>
      </c>
      <c r="B353" t="s">
        <v>15</v>
      </c>
      <c r="C353" s="2">
        <v>44854.865555555552</v>
      </c>
      <c r="D353">
        <v>40</v>
      </c>
      <c r="E353">
        <v>11</v>
      </c>
      <c r="G353" t="s">
        <v>394</v>
      </c>
      <c r="H353" t="str">
        <f>HYPERLINK("http://pbs.twimg.com/media/FfimJ38WIAkFQxl.jpg", "http://pbs.twimg.com/media/FfimJ38WIAkFQxl.jpg")</f>
        <v>http://pbs.twimg.com/media/FfimJ38WIAkFQxl.jpg</v>
      </c>
      <c r="L353">
        <v>0</v>
      </c>
      <c r="M353">
        <v>0</v>
      </c>
      <c r="N353">
        <v>1</v>
      </c>
      <c r="O353">
        <v>0</v>
      </c>
    </row>
    <row r="354" spans="1:15" x14ac:dyDescent="0.2">
      <c r="A354" s="1" t="str">
        <f>HYPERLINK("http://www.twitter.com/banuakdenizli/status/1583080196852576256", "1583080196852576256")</f>
        <v>1583080196852576256</v>
      </c>
      <c r="B354" t="s">
        <v>15</v>
      </c>
      <c r="C354" s="2">
        <v>44854.540567129632</v>
      </c>
      <c r="D354">
        <v>0</v>
      </c>
      <c r="E354">
        <v>58</v>
      </c>
      <c r="F354" t="s">
        <v>131</v>
      </c>
      <c r="G354" t="s">
        <v>395</v>
      </c>
      <c r="H354" t="str">
        <f>HYPERLINK("https://video.twimg.com/amplify_video/1574415336677548032/vid/720x1280/qzVIuF6_fDcm98GI.mp4?tag=14", "https://video.twimg.com/amplify_video/1574415336677548032/vid/720x1280/qzVIuF6_fDcm98GI.mp4?tag=14")</f>
        <v>https://video.twimg.com/amplify_video/1574415336677548032/vid/720x1280/qzVIuF6_fDcm98GI.mp4?tag=14</v>
      </c>
      <c r="L354">
        <v>0</v>
      </c>
      <c r="M354">
        <v>0</v>
      </c>
      <c r="N354">
        <v>1</v>
      </c>
      <c r="O354">
        <v>0</v>
      </c>
    </row>
    <row r="355" spans="1:15" x14ac:dyDescent="0.2">
      <c r="A355" s="1" t="str">
        <f>HYPERLINK("http://www.twitter.com/banuakdenizli/status/1583072119831003136", "1583072119831003136")</f>
        <v>1583072119831003136</v>
      </c>
      <c r="B355" t="s">
        <v>15</v>
      </c>
      <c r="C355" s="2">
        <v>44854.518287037034</v>
      </c>
      <c r="D355">
        <v>10</v>
      </c>
      <c r="E355">
        <v>4</v>
      </c>
      <c r="G355" t="s">
        <v>396</v>
      </c>
      <c r="H355" t="str">
        <f>HYPERLINK("http://pbs.twimg.com/media/FfgyY8GX0AMKV5S.jpg", "http://pbs.twimg.com/media/FfgyY8GX0AMKV5S.jpg")</f>
        <v>http://pbs.twimg.com/media/FfgyY8GX0AMKV5S.jpg</v>
      </c>
      <c r="L355">
        <v>0</v>
      </c>
      <c r="M355">
        <v>0</v>
      </c>
      <c r="N355">
        <v>1</v>
      </c>
      <c r="O355">
        <v>0</v>
      </c>
    </row>
    <row r="356" spans="1:15" x14ac:dyDescent="0.2">
      <c r="A356" s="1" t="str">
        <f>HYPERLINK("http://www.twitter.com/banuakdenizli/status/1582818925930160128", "1582818925930160128")</f>
        <v>1582818925930160128</v>
      </c>
      <c r="B356" t="s">
        <v>15</v>
      </c>
      <c r="C356" s="2">
        <v>44853.819594907407</v>
      </c>
      <c r="D356">
        <v>6</v>
      </c>
      <c r="E356">
        <v>1</v>
      </c>
      <c r="G356" t="s">
        <v>397</v>
      </c>
      <c r="L356">
        <v>0.86250000000000004</v>
      </c>
      <c r="M356">
        <v>0</v>
      </c>
      <c r="N356">
        <v>0.76400000000000001</v>
      </c>
      <c r="O356">
        <v>0.23599999999999999</v>
      </c>
    </row>
    <row r="357" spans="1:15" x14ac:dyDescent="0.2">
      <c r="A357" s="1" t="str">
        <f>HYPERLINK("http://www.twitter.com/banuakdenizli/status/1582815134006726657", "1582815134006726657")</f>
        <v>1582815134006726657</v>
      </c>
      <c r="B357" t="s">
        <v>15</v>
      </c>
      <c r="C357" s="2">
        <v>44853.809131944443</v>
      </c>
      <c r="D357">
        <v>9</v>
      </c>
      <c r="E357">
        <v>3</v>
      </c>
      <c r="G357" t="s">
        <v>398</v>
      </c>
      <c r="L357">
        <v>0.47670000000000001</v>
      </c>
      <c r="M357">
        <v>0</v>
      </c>
      <c r="N357">
        <v>0.91200000000000003</v>
      </c>
      <c r="O357">
        <v>8.7999999999999995E-2</v>
      </c>
    </row>
    <row r="358" spans="1:15" x14ac:dyDescent="0.2">
      <c r="A358" s="1" t="str">
        <f>HYPERLINK("http://www.twitter.com/banuakdenizli/status/1582808903393619970", "1582808903393619970")</f>
        <v>1582808903393619970</v>
      </c>
      <c r="B358" t="s">
        <v>15</v>
      </c>
      <c r="C358" s="2">
        <v>44853.791944444441</v>
      </c>
      <c r="D358">
        <v>0</v>
      </c>
      <c r="E358">
        <v>10</v>
      </c>
      <c r="F358" t="s">
        <v>51</v>
      </c>
      <c r="G358" t="s">
        <v>399</v>
      </c>
      <c r="H358" t="str">
        <f>HYPERLINK("http://pbs.twimg.com/media/FfWzO2-UoAA6Aod.jpg", "http://pbs.twimg.com/media/FfWzO2-UoAA6Aod.jpg")</f>
        <v>http://pbs.twimg.com/media/FfWzO2-UoAA6Aod.jpg</v>
      </c>
      <c r="I358" t="str">
        <f>HYPERLINK("http://pbs.twimg.com/media/FfWzO3CUAAE47oJ.jpg", "http://pbs.twimg.com/media/FfWzO3CUAAE47oJ.jpg")</f>
        <v>http://pbs.twimg.com/media/FfWzO3CUAAE47oJ.jpg</v>
      </c>
      <c r="J358" t="str">
        <f>HYPERLINK("http://pbs.twimg.com/media/FfWzO3AUYAAdMGR.jpg", "http://pbs.twimg.com/media/FfWzO3AUYAAdMGR.jpg")</f>
        <v>http://pbs.twimg.com/media/FfWzO3AUYAAdMGR.jpg</v>
      </c>
      <c r="K358" t="str">
        <f>HYPERLINK("http://pbs.twimg.com/media/FfWzO3BUoAAHP1I.jpg", "http://pbs.twimg.com/media/FfWzO3BUoAAHP1I.jpg")</f>
        <v>http://pbs.twimg.com/media/FfWzO3BUoAAHP1I.jpg</v>
      </c>
      <c r="L358">
        <v>0</v>
      </c>
      <c r="M358">
        <v>0</v>
      </c>
      <c r="N358">
        <v>1</v>
      </c>
      <c r="O358">
        <v>0</v>
      </c>
    </row>
    <row r="359" spans="1:15" x14ac:dyDescent="0.2">
      <c r="A359" s="1" t="str">
        <f>HYPERLINK("http://www.twitter.com/banuakdenizli/status/1582797412850053120", "1582797412850053120")</f>
        <v>1582797412850053120</v>
      </c>
      <c r="B359" t="s">
        <v>15</v>
      </c>
      <c r="C359" s="2">
        <v>44853.760231481479</v>
      </c>
      <c r="D359">
        <v>4</v>
      </c>
      <c r="E359">
        <v>0</v>
      </c>
      <c r="G359" t="s">
        <v>400</v>
      </c>
      <c r="L359">
        <v>0</v>
      </c>
      <c r="M359">
        <v>0</v>
      </c>
      <c r="N359">
        <v>1</v>
      </c>
      <c r="O359">
        <v>0</v>
      </c>
    </row>
    <row r="360" spans="1:15" x14ac:dyDescent="0.2">
      <c r="A360" s="1" t="str">
        <f>HYPERLINK("http://www.twitter.com/banuakdenizli/status/1582796456930734080", "1582796456930734080")</f>
        <v>1582796456930734080</v>
      </c>
      <c r="B360" t="s">
        <v>15</v>
      </c>
      <c r="C360" s="2">
        <v>44853.757592592592</v>
      </c>
      <c r="D360">
        <v>7</v>
      </c>
      <c r="E360">
        <v>1</v>
      </c>
      <c r="G360" t="s">
        <v>401</v>
      </c>
      <c r="H360" t="str">
        <f>HYPERLINK("http://pbs.twimg.com/media/Ffc4pX3XwAc3X7I.jpg", "http://pbs.twimg.com/media/Ffc4pX3XwAc3X7I.jpg")</f>
        <v>http://pbs.twimg.com/media/Ffc4pX3XwAc3X7I.jpg</v>
      </c>
      <c r="L360">
        <v>0</v>
      </c>
      <c r="M360">
        <v>0</v>
      </c>
      <c r="N360">
        <v>1</v>
      </c>
      <c r="O360">
        <v>0</v>
      </c>
    </row>
    <row r="361" spans="1:15" x14ac:dyDescent="0.2">
      <c r="A361" s="1" t="str">
        <f>HYPERLINK("http://www.twitter.com/banuakdenizli/status/1582768475948605440", "1582768475948605440")</f>
        <v>1582768475948605440</v>
      </c>
      <c r="B361" t="s">
        <v>15</v>
      </c>
      <c r="C361" s="2">
        <v>44853.680381944447</v>
      </c>
      <c r="D361">
        <v>9</v>
      </c>
      <c r="E361">
        <v>5</v>
      </c>
      <c r="G361" t="s">
        <v>402</v>
      </c>
      <c r="H361" t="str">
        <f>HYPERLINK("https://video.twimg.com/ext_tw_video/1582768381329129474/pu/vid/640x352/or1Ku2Z7Tpjp-GrB.mp4?tag=12", "https://video.twimg.com/ext_tw_video/1582768381329129474/pu/vid/640x352/or1Ku2Z7Tpjp-GrB.mp4?tag=12")</f>
        <v>https://video.twimg.com/ext_tw_video/1582768381329129474/pu/vid/640x352/or1Ku2Z7Tpjp-GrB.mp4?tag=12</v>
      </c>
      <c r="L361">
        <v>0</v>
      </c>
      <c r="M361">
        <v>0</v>
      </c>
      <c r="N361">
        <v>1</v>
      </c>
      <c r="O361">
        <v>0</v>
      </c>
    </row>
    <row r="362" spans="1:15" x14ac:dyDescent="0.2">
      <c r="A362" s="1" t="str">
        <f>HYPERLINK("http://www.twitter.com/banuakdenizli/status/1582633819437379584", "1582633819437379584")</f>
        <v>1582633819437379584</v>
      </c>
      <c r="B362" t="s">
        <v>15</v>
      </c>
      <c r="C362" s="2">
        <v>44853.308807870373</v>
      </c>
      <c r="D362">
        <v>8</v>
      </c>
      <c r="E362">
        <v>3</v>
      </c>
      <c r="G362" t="s">
        <v>403</v>
      </c>
      <c r="H362" t="str">
        <f>HYPERLINK("http://pbs.twimg.com/media/FfakLL5WAAAczdv.png", "http://pbs.twimg.com/media/FfakLL5WAAAczdv.png")</f>
        <v>http://pbs.twimg.com/media/FfakLL5WAAAczdv.png</v>
      </c>
      <c r="I362" t="str">
        <f>HYPERLINK("http://pbs.twimg.com/media/FfakN-6WQAA8rL2.png", "http://pbs.twimg.com/media/FfakN-6WQAA8rL2.png")</f>
        <v>http://pbs.twimg.com/media/FfakN-6WQAA8rL2.png</v>
      </c>
      <c r="J362" t="str">
        <f>HYPERLINK("http://pbs.twimg.com/media/FfakRcFX0AAdWaZ.png", "http://pbs.twimg.com/media/FfakRcFX0AAdWaZ.png")</f>
        <v>http://pbs.twimg.com/media/FfakRcFX0AAdWaZ.png</v>
      </c>
      <c r="K362" t="str">
        <f>HYPERLINK("http://pbs.twimg.com/media/FfakT8UWYAAdsrD.png", "http://pbs.twimg.com/media/FfakT8UWYAAdsrD.png")</f>
        <v>http://pbs.twimg.com/media/FfakT8UWYAAdsrD.png</v>
      </c>
      <c r="L362">
        <v>-0.55740000000000001</v>
      </c>
      <c r="M362">
        <v>8.1000000000000003E-2</v>
      </c>
      <c r="N362">
        <v>0.91900000000000004</v>
      </c>
      <c r="O362">
        <v>0</v>
      </c>
    </row>
    <row r="363" spans="1:15" x14ac:dyDescent="0.2">
      <c r="A363" s="1" t="str">
        <f>HYPERLINK("http://www.twitter.com/banuakdenizli/status/1582496071699542017", "1582496071699542017")</f>
        <v>1582496071699542017</v>
      </c>
      <c r="B363" t="s">
        <v>15</v>
      </c>
      <c r="C363" s="2">
        <v>44852.92869212963</v>
      </c>
      <c r="D363">
        <v>0</v>
      </c>
      <c r="E363">
        <v>6</v>
      </c>
      <c r="F363" t="s">
        <v>384</v>
      </c>
      <c r="G363" t="s">
        <v>404</v>
      </c>
      <c r="H363" t="str">
        <f>HYPERLINK("http://pbs.twimg.com/media/FfR9W0RUcAMotTc.jpg", "http://pbs.twimg.com/media/FfR9W0RUcAMotTc.jpg")</f>
        <v>http://pbs.twimg.com/media/FfR9W0RUcAMotTc.jpg</v>
      </c>
      <c r="I363" t="str">
        <f>HYPERLINK("http://pbs.twimg.com/media/FfR9W0PVEAEtc1X.jpg", "http://pbs.twimg.com/media/FfR9W0PVEAEtc1X.jpg")</f>
        <v>http://pbs.twimg.com/media/FfR9W0PVEAEtc1X.jpg</v>
      </c>
      <c r="J363" t="str">
        <f>HYPERLINK("http://pbs.twimg.com/media/FfR9W0QVEAE0dfJ.jpg", "http://pbs.twimg.com/media/FfR9W0QVEAE0dfJ.jpg")</f>
        <v>http://pbs.twimg.com/media/FfR9W0QVEAE0dfJ.jpg</v>
      </c>
      <c r="L363">
        <v>0</v>
      </c>
      <c r="M363">
        <v>0</v>
      </c>
      <c r="N363">
        <v>1</v>
      </c>
      <c r="O363">
        <v>0</v>
      </c>
    </row>
    <row r="364" spans="1:15" x14ac:dyDescent="0.2">
      <c r="A364" s="1" t="str">
        <f>HYPERLINK("http://www.twitter.com/banuakdenizli/status/1582490086989434882", "1582490086989434882")</f>
        <v>1582490086989434882</v>
      </c>
      <c r="B364" t="s">
        <v>15</v>
      </c>
      <c r="C364" s="2">
        <v>44852.912175925929</v>
      </c>
      <c r="D364">
        <v>2</v>
      </c>
      <c r="E364">
        <v>1</v>
      </c>
      <c r="G364" t="s">
        <v>405</v>
      </c>
      <c r="L364">
        <v>0</v>
      </c>
      <c r="M364">
        <v>0</v>
      </c>
      <c r="N364">
        <v>1</v>
      </c>
      <c r="O364">
        <v>0</v>
      </c>
    </row>
    <row r="365" spans="1:15" x14ac:dyDescent="0.2">
      <c r="A365" s="1" t="str">
        <f>HYPERLINK("http://www.twitter.com/banuakdenizli/status/1582489862527410177", "1582489862527410177")</f>
        <v>1582489862527410177</v>
      </c>
      <c r="B365" t="s">
        <v>15</v>
      </c>
      <c r="C365" s="2">
        <v>44852.911562499998</v>
      </c>
      <c r="D365">
        <v>0</v>
      </c>
      <c r="E365">
        <v>47</v>
      </c>
      <c r="F365" t="s">
        <v>17</v>
      </c>
      <c r="G365" t="s">
        <v>406</v>
      </c>
      <c r="H365" t="str">
        <f>HYPERLINK("https://video.twimg.com/ext_tw_video/1582209095435698178/pu/vid/848x480/sN01pIpk2QREY5Ca.mp4?tag=12", "https://video.twimg.com/ext_tw_video/1582209095435698178/pu/vid/848x480/sN01pIpk2QREY5Ca.mp4?tag=12")</f>
        <v>https://video.twimg.com/ext_tw_video/1582209095435698178/pu/vid/848x480/sN01pIpk2QREY5Ca.mp4?tag=12</v>
      </c>
      <c r="L365">
        <v>0</v>
      </c>
      <c r="M365">
        <v>0</v>
      </c>
      <c r="N365">
        <v>1</v>
      </c>
      <c r="O365">
        <v>0</v>
      </c>
    </row>
    <row r="366" spans="1:15" x14ac:dyDescent="0.2">
      <c r="A366" s="1" t="str">
        <f>HYPERLINK("http://www.twitter.com/banuakdenizli/status/1582358831597690881", "1582358831597690881")</f>
        <v>1582358831597690881</v>
      </c>
      <c r="B366" t="s">
        <v>15</v>
      </c>
      <c r="C366" s="2">
        <v>44852.549976851849</v>
      </c>
      <c r="D366">
        <v>0</v>
      </c>
      <c r="E366">
        <v>2</v>
      </c>
      <c r="F366" t="s">
        <v>407</v>
      </c>
      <c r="G366" t="s">
        <v>408</v>
      </c>
      <c r="H366" t="str">
        <f>HYPERLINK("http://pbs.twimg.com/media/FfS-6QQWABIgJLx.jpg", "http://pbs.twimg.com/media/FfS-6QQWABIgJLx.jpg")</f>
        <v>http://pbs.twimg.com/media/FfS-6QQWABIgJLx.jpg</v>
      </c>
      <c r="I366" t="str">
        <f>HYPERLINK("http://pbs.twimg.com/media/FfS-6QrWAAkd_Vv.jpg", "http://pbs.twimg.com/media/FfS-6QrWAAkd_Vv.jpg")</f>
        <v>http://pbs.twimg.com/media/FfS-6QrWAAkd_Vv.jpg</v>
      </c>
      <c r="J366" t="str">
        <f>HYPERLINK("http://pbs.twimg.com/media/FfS-6QWWAAU7aLK.jpg", "http://pbs.twimg.com/media/FfS-6QWWAAU7aLK.jpg")</f>
        <v>http://pbs.twimg.com/media/FfS-6QWWAAU7aLK.jpg</v>
      </c>
      <c r="L366">
        <v>0</v>
      </c>
      <c r="M366">
        <v>0</v>
      </c>
      <c r="N366">
        <v>1</v>
      </c>
      <c r="O366">
        <v>0</v>
      </c>
    </row>
    <row r="367" spans="1:15" x14ac:dyDescent="0.2">
      <c r="A367" s="1" t="str">
        <f>HYPERLINK("http://www.twitter.com/banuakdenizli/status/1582358572507488256", "1582358572507488256")</f>
        <v>1582358572507488256</v>
      </c>
      <c r="B367" t="s">
        <v>15</v>
      </c>
      <c r="C367" s="2">
        <v>44852.549270833333</v>
      </c>
      <c r="D367">
        <v>0</v>
      </c>
      <c r="E367">
        <v>1</v>
      </c>
      <c r="F367" t="s">
        <v>409</v>
      </c>
      <c r="G367" t="s">
        <v>410</v>
      </c>
      <c r="L367">
        <v>0</v>
      </c>
      <c r="M367">
        <v>0</v>
      </c>
      <c r="N367">
        <v>1</v>
      </c>
      <c r="O367">
        <v>0</v>
      </c>
    </row>
    <row r="368" spans="1:15" x14ac:dyDescent="0.2">
      <c r="A368" s="1" t="str">
        <f>HYPERLINK("http://www.twitter.com/banuakdenizli/status/1582358309679820802", "1582358309679820802")</f>
        <v>1582358309679820802</v>
      </c>
      <c r="B368" t="s">
        <v>15</v>
      </c>
      <c r="C368" s="2">
        <v>44852.548541666663</v>
      </c>
      <c r="D368">
        <v>0</v>
      </c>
      <c r="E368">
        <v>3</v>
      </c>
      <c r="F368" t="s">
        <v>411</v>
      </c>
      <c r="G368" t="s">
        <v>412</v>
      </c>
      <c r="H368" t="str">
        <f>HYPERLINK("http://pbs.twimg.com/media/FfR8E7DXkAEnNAc.jpg", "http://pbs.twimg.com/media/FfR8E7DXkAEnNAc.jpg")</f>
        <v>http://pbs.twimg.com/media/FfR8E7DXkAEnNAc.jpg</v>
      </c>
      <c r="I368" t="str">
        <f>HYPERLINK("http://pbs.twimg.com/media/FfR8E7tX0AUzyQ1.jpg", "http://pbs.twimg.com/media/FfR8E7tX0AUzyQ1.jpg")</f>
        <v>http://pbs.twimg.com/media/FfR8E7tX0AUzyQ1.jpg</v>
      </c>
      <c r="J368" t="str">
        <f>HYPERLINK("http://pbs.twimg.com/media/FfR8E7wWIAAxYUN.jpg", "http://pbs.twimg.com/media/FfR8E7wWIAAxYUN.jpg")</f>
        <v>http://pbs.twimg.com/media/FfR8E7wWIAAxYUN.jpg</v>
      </c>
      <c r="K368" t="str">
        <f>HYPERLINK("http://pbs.twimg.com/media/FfR8E9sXEAIu8Fv.jpg", "http://pbs.twimg.com/media/FfR8E9sXEAIu8Fv.jpg")</f>
        <v>http://pbs.twimg.com/media/FfR8E9sXEAIu8Fv.jpg</v>
      </c>
      <c r="L368">
        <v>0</v>
      </c>
      <c r="M368">
        <v>0</v>
      </c>
      <c r="N368">
        <v>1</v>
      </c>
      <c r="O368">
        <v>0</v>
      </c>
    </row>
    <row r="369" spans="1:15" x14ac:dyDescent="0.2">
      <c r="A369" s="1" t="str">
        <f>HYPERLINK("http://www.twitter.com/banuakdenizli/status/1582357720770174976", "1582357720770174976")</f>
        <v>1582357720770174976</v>
      </c>
      <c r="B369" t="s">
        <v>15</v>
      </c>
      <c r="C369" s="2">
        <v>44852.5469212963</v>
      </c>
      <c r="D369">
        <v>0</v>
      </c>
      <c r="E369">
        <v>1</v>
      </c>
      <c r="F369" t="s">
        <v>413</v>
      </c>
      <c r="G369" t="s">
        <v>414</v>
      </c>
      <c r="L369">
        <v>0</v>
      </c>
      <c r="M369">
        <v>0</v>
      </c>
      <c r="N369">
        <v>1</v>
      </c>
      <c r="O369">
        <v>0</v>
      </c>
    </row>
    <row r="370" spans="1:15" x14ac:dyDescent="0.2">
      <c r="A370" s="1" t="str">
        <f>HYPERLINK("http://www.twitter.com/banuakdenizli/status/1582356224644767745", "1582356224644767745")</f>
        <v>1582356224644767745</v>
      </c>
      <c r="B370" t="s">
        <v>15</v>
      </c>
      <c r="C370" s="2">
        <v>44852.54278935185</v>
      </c>
      <c r="D370">
        <v>0</v>
      </c>
      <c r="E370">
        <v>1</v>
      </c>
      <c r="F370" t="s">
        <v>415</v>
      </c>
      <c r="G370" t="s">
        <v>416</v>
      </c>
      <c r="H370" t="str">
        <f>HYPERLINK("http://pbs.twimg.com/media/FfR9Gu1XwAERhVF.jpg", "http://pbs.twimg.com/media/FfR9Gu1XwAERhVF.jpg")</f>
        <v>http://pbs.twimg.com/media/FfR9Gu1XwAERhVF.jpg</v>
      </c>
      <c r="I370" t="str">
        <f>HYPERLINK("http://pbs.twimg.com/media/FfR9GvJX0AEhz9p.jpg", "http://pbs.twimg.com/media/FfR9GvJX0AEhz9p.jpg")</f>
        <v>http://pbs.twimg.com/media/FfR9GvJX0AEhz9p.jpg</v>
      </c>
      <c r="L370">
        <v>0</v>
      </c>
      <c r="M370">
        <v>0</v>
      </c>
      <c r="N370">
        <v>1</v>
      </c>
      <c r="O370">
        <v>0</v>
      </c>
    </row>
    <row r="371" spans="1:15" x14ac:dyDescent="0.2">
      <c r="A371" s="1" t="str">
        <f>HYPERLINK("http://www.twitter.com/banuakdenizli/status/1582296232851972096", "1582296232851972096")</f>
        <v>1582296232851972096</v>
      </c>
      <c r="B371" t="s">
        <v>15</v>
      </c>
      <c r="C371" s="2">
        <v>44852.377245370371</v>
      </c>
      <c r="D371">
        <v>2</v>
      </c>
      <c r="E371">
        <v>2</v>
      </c>
      <c r="G371" t="s">
        <v>417</v>
      </c>
      <c r="L371">
        <v>0</v>
      </c>
      <c r="M371">
        <v>0</v>
      </c>
      <c r="N371">
        <v>1</v>
      </c>
      <c r="O371">
        <v>0</v>
      </c>
    </row>
    <row r="372" spans="1:15" x14ac:dyDescent="0.2">
      <c r="A372" s="1" t="str">
        <f>HYPERLINK("http://www.twitter.com/banuakdenizli/status/1582278428182474752", "1582278428182474752")</f>
        <v>1582278428182474752</v>
      </c>
      <c r="B372" t="s">
        <v>15</v>
      </c>
      <c r="C372" s="2">
        <v>44852.328113425923</v>
      </c>
      <c r="D372">
        <v>6</v>
      </c>
      <c r="E372">
        <v>1</v>
      </c>
      <c r="G372" t="s">
        <v>418</v>
      </c>
      <c r="H372" t="str">
        <f>HYPERLINK("http://pbs.twimg.com/media/FfVYJndXkAEyRDg.jpg", "http://pbs.twimg.com/media/FfVYJndXkAEyRDg.jpg")</f>
        <v>http://pbs.twimg.com/media/FfVYJndXkAEyRDg.jpg</v>
      </c>
      <c r="L372">
        <v>0.84619999999999995</v>
      </c>
      <c r="M372">
        <v>0</v>
      </c>
      <c r="N372">
        <v>0.79800000000000004</v>
      </c>
      <c r="O372">
        <v>0.20200000000000001</v>
      </c>
    </row>
    <row r="373" spans="1:15" x14ac:dyDescent="0.2">
      <c r="A373" s="1" t="str">
        <f>HYPERLINK("http://www.twitter.com/banuakdenizli/status/1582278420788301824", "1582278420788301824")</f>
        <v>1582278420788301824</v>
      </c>
      <c r="B373" t="s">
        <v>15</v>
      </c>
      <c r="C373" s="2">
        <v>44852.328090277777</v>
      </c>
      <c r="D373">
        <v>11</v>
      </c>
      <c r="E373">
        <v>3</v>
      </c>
      <c r="G373" t="s">
        <v>419</v>
      </c>
      <c r="H373" t="str">
        <f>HYPERLINK("http://pbs.twimg.com/media/FfVXl2gXkAEsoYe.jpg", "http://pbs.twimg.com/media/FfVXl2gXkAEsoYe.jpg")</f>
        <v>http://pbs.twimg.com/media/FfVXl2gXkAEsoYe.jpg</v>
      </c>
      <c r="I373" t="str">
        <f>HYPERLINK("http://pbs.twimg.com/media/FfVZC4qX0AA4BX1.jpg", "http://pbs.twimg.com/media/FfVZC4qX0AA4BX1.jpg")</f>
        <v>http://pbs.twimg.com/media/FfVZC4qX0AA4BX1.jpg</v>
      </c>
      <c r="L373">
        <v>0.73509999999999998</v>
      </c>
      <c r="M373">
        <v>0</v>
      </c>
      <c r="N373">
        <v>0.871</v>
      </c>
      <c r="O373">
        <v>0.129</v>
      </c>
    </row>
    <row r="374" spans="1:15" x14ac:dyDescent="0.2">
      <c r="A374" s="1" t="str">
        <f>HYPERLINK("http://www.twitter.com/banuakdenizli/status/1582103231747874818", "1582103231747874818")</f>
        <v>1582103231747874818</v>
      </c>
      <c r="B374" t="s">
        <v>15</v>
      </c>
      <c r="C374" s="2">
        <v>44851.844664351847</v>
      </c>
      <c r="D374">
        <v>2</v>
      </c>
      <c r="E374">
        <v>1</v>
      </c>
      <c r="G374" t="s">
        <v>420</v>
      </c>
      <c r="L374">
        <v>-0.1759</v>
      </c>
      <c r="M374">
        <v>0.125</v>
      </c>
      <c r="N374">
        <v>0.77200000000000002</v>
      </c>
      <c r="O374">
        <v>0.10299999999999999</v>
      </c>
    </row>
    <row r="375" spans="1:15" x14ac:dyDescent="0.2">
      <c r="A375" s="1" t="str">
        <f>HYPERLINK("http://www.twitter.com/banuakdenizli/status/1582061415472717824", "1582061415472717824")</f>
        <v>1582061415472717824</v>
      </c>
      <c r="B375" t="s">
        <v>15</v>
      </c>
      <c r="C375" s="2">
        <v>44851.729270833333</v>
      </c>
      <c r="D375">
        <v>6</v>
      </c>
      <c r="E375">
        <v>3</v>
      </c>
      <c r="G375" t="s">
        <v>421</v>
      </c>
      <c r="L375">
        <v>0</v>
      </c>
      <c r="M375">
        <v>0</v>
      </c>
      <c r="N375">
        <v>1</v>
      </c>
      <c r="O375">
        <v>0</v>
      </c>
    </row>
    <row r="376" spans="1:15" x14ac:dyDescent="0.2">
      <c r="A376" s="1" t="str">
        <f>HYPERLINK("http://www.twitter.com/banuakdenizli/status/1581902293909516288", "1581902293909516288")</f>
        <v>1581902293909516288</v>
      </c>
      <c r="B376" t="s">
        <v>15</v>
      </c>
      <c r="C376" s="2">
        <v>44851.290173611109</v>
      </c>
      <c r="D376">
        <v>1</v>
      </c>
      <c r="E376">
        <v>0</v>
      </c>
      <c r="G376" t="s">
        <v>422</v>
      </c>
      <c r="L376">
        <v>0</v>
      </c>
      <c r="M376">
        <v>0</v>
      </c>
      <c r="N376">
        <v>1</v>
      </c>
      <c r="O376">
        <v>0</v>
      </c>
    </row>
    <row r="377" spans="1:15" x14ac:dyDescent="0.2">
      <c r="A377" s="1" t="str">
        <f>HYPERLINK("http://www.twitter.com/banuakdenizli/status/1581844242812452865", "1581844242812452865")</f>
        <v>1581844242812452865</v>
      </c>
      <c r="B377" t="s">
        <v>15</v>
      </c>
      <c r="C377" s="2">
        <v>44851.129988425928</v>
      </c>
      <c r="D377">
        <v>21</v>
      </c>
      <c r="E377">
        <v>11</v>
      </c>
      <c r="G377" t="s">
        <v>423</v>
      </c>
      <c r="H377" t="str">
        <f>HYPERLINK("http://pbs.twimg.com/media/FfPW8l_WIAAQhb5.jpg", "http://pbs.twimg.com/media/FfPW8l_WIAAQhb5.jpg")</f>
        <v>http://pbs.twimg.com/media/FfPW8l_WIAAQhb5.jpg</v>
      </c>
      <c r="L377">
        <v>0</v>
      </c>
      <c r="M377">
        <v>0</v>
      </c>
      <c r="N377">
        <v>1</v>
      </c>
      <c r="O377">
        <v>0</v>
      </c>
    </row>
    <row r="378" spans="1:15" x14ac:dyDescent="0.2">
      <c r="A378" s="1" t="str">
        <f>HYPERLINK("http://www.twitter.com/banuakdenizli/status/1581715937447022592", "1581715937447022592")</f>
        <v>1581715937447022592</v>
      </c>
      <c r="B378" t="s">
        <v>15</v>
      </c>
      <c r="C378" s="2">
        <v>44850.775937500002</v>
      </c>
      <c r="D378">
        <v>13</v>
      </c>
      <c r="E378">
        <v>2</v>
      </c>
      <c r="G378" t="s">
        <v>424</v>
      </c>
      <c r="L378">
        <v>0</v>
      </c>
      <c r="M378">
        <v>0</v>
      </c>
      <c r="N378">
        <v>1</v>
      </c>
      <c r="O378">
        <v>0</v>
      </c>
    </row>
    <row r="379" spans="1:15" x14ac:dyDescent="0.2">
      <c r="A379" s="1" t="str">
        <f>HYPERLINK("http://www.twitter.com/banuakdenizli/status/1581702156544987136", "1581702156544987136")</f>
        <v>1581702156544987136</v>
      </c>
      <c r="B379" t="s">
        <v>15</v>
      </c>
      <c r="C379" s="2">
        <v>44850.737905092603</v>
      </c>
      <c r="D379">
        <v>0</v>
      </c>
      <c r="E379">
        <v>14</v>
      </c>
      <c r="F379" t="s">
        <v>24</v>
      </c>
      <c r="G379" t="s">
        <v>425</v>
      </c>
      <c r="H379" t="str">
        <f>HYPERLINK("http://pbs.twimg.com/media/FfKKv62UUAMbyOf.jpg", "http://pbs.twimg.com/media/FfKKv62UUAMbyOf.jpg")</f>
        <v>http://pbs.twimg.com/media/FfKKv62UUAMbyOf.jpg</v>
      </c>
      <c r="L379">
        <v>0</v>
      </c>
      <c r="M379">
        <v>0</v>
      </c>
      <c r="N379">
        <v>1</v>
      </c>
      <c r="O379">
        <v>0</v>
      </c>
    </row>
    <row r="380" spans="1:15" x14ac:dyDescent="0.2">
      <c r="A380" s="1" t="str">
        <f>HYPERLINK("http://www.twitter.com/banuakdenizli/status/1581629744541765633", "1581629744541765633")</f>
        <v>1581629744541765633</v>
      </c>
      <c r="B380" t="s">
        <v>15</v>
      </c>
      <c r="C380" s="2">
        <v>44850.538090277783</v>
      </c>
      <c r="D380">
        <v>0</v>
      </c>
      <c r="E380">
        <v>39</v>
      </c>
      <c r="F380" t="s">
        <v>17</v>
      </c>
      <c r="G380" t="s">
        <v>426</v>
      </c>
      <c r="H380" t="str">
        <f>HYPERLINK("https://video.twimg.com/ext_tw_video/1581113999277572096/pu/vid/848x480/3kcQ8fjm0wwVHtr3.mp4?tag=12", "https://video.twimg.com/ext_tw_video/1581113999277572096/pu/vid/848x480/3kcQ8fjm0wwVHtr3.mp4?tag=12")</f>
        <v>https://video.twimg.com/ext_tw_video/1581113999277572096/pu/vid/848x480/3kcQ8fjm0wwVHtr3.mp4?tag=12</v>
      </c>
      <c r="L380">
        <v>0</v>
      </c>
      <c r="M380">
        <v>0</v>
      </c>
      <c r="N380">
        <v>1</v>
      </c>
      <c r="O380">
        <v>0</v>
      </c>
    </row>
    <row r="381" spans="1:15" x14ac:dyDescent="0.2">
      <c r="A381" s="1" t="str">
        <f>HYPERLINK("http://www.twitter.com/banuakdenizli/status/1581629299236704259", "1581629299236704259")</f>
        <v>1581629299236704259</v>
      </c>
      <c r="B381" t="s">
        <v>15</v>
      </c>
      <c r="C381" s="2">
        <v>44850.536851851852</v>
      </c>
      <c r="D381">
        <v>19</v>
      </c>
      <c r="E381">
        <v>7</v>
      </c>
      <c r="G381" t="s">
        <v>427</v>
      </c>
      <c r="H381" t="str">
        <f>HYPERLINK("http://pbs.twimg.com/media/FfLwNfTWQAUUWv5.jpg", "http://pbs.twimg.com/media/FfLwNfTWQAUUWv5.jpg")</f>
        <v>http://pbs.twimg.com/media/FfLwNfTWQAUUWv5.jpg</v>
      </c>
      <c r="L381">
        <v>0</v>
      </c>
      <c r="M381">
        <v>0</v>
      </c>
      <c r="N381">
        <v>1</v>
      </c>
      <c r="O381">
        <v>0</v>
      </c>
    </row>
    <row r="382" spans="1:15" x14ac:dyDescent="0.2">
      <c r="A382" s="1" t="str">
        <f>HYPERLINK("http://www.twitter.com/banuakdenizli/status/1581583843793850369", "1581583843793850369")</f>
        <v>1581583843793850369</v>
      </c>
      <c r="B382" t="s">
        <v>15</v>
      </c>
      <c r="C382" s="2">
        <v>44850.411423611113</v>
      </c>
      <c r="D382">
        <v>1</v>
      </c>
      <c r="E382">
        <v>1</v>
      </c>
      <c r="G382" t="s">
        <v>428</v>
      </c>
      <c r="L382">
        <v>0</v>
      </c>
      <c r="M382">
        <v>0</v>
      </c>
      <c r="N382">
        <v>1</v>
      </c>
      <c r="O382">
        <v>0</v>
      </c>
    </row>
    <row r="383" spans="1:15" x14ac:dyDescent="0.2">
      <c r="A383" s="1" t="str">
        <f>HYPERLINK("http://www.twitter.com/banuakdenizli/status/1581582914487144448", "1581582914487144448")</f>
        <v>1581582914487144448</v>
      </c>
      <c r="B383" t="s">
        <v>15</v>
      </c>
      <c r="C383" s="2">
        <v>44850.408854166657</v>
      </c>
      <c r="D383">
        <v>0</v>
      </c>
      <c r="E383">
        <v>1</v>
      </c>
      <c r="G383" t="s">
        <v>429</v>
      </c>
      <c r="L383">
        <v>0.61240000000000006</v>
      </c>
      <c r="M383">
        <v>5.3999999999999999E-2</v>
      </c>
      <c r="N383">
        <v>0.79200000000000004</v>
      </c>
      <c r="O383">
        <v>0.153</v>
      </c>
    </row>
    <row r="384" spans="1:15" x14ac:dyDescent="0.2">
      <c r="A384" s="1" t="str">
        <f>HYPERLINK("http://www.twitter.com/banuakdenizli/status/1581570196690436097", "1581570196690436097")</f>
        <v>1581570196690436097</v>
      </c>
      <c r="B384" t="s">
        <v>15</v>
      </c>
      <c r="C384" s="2">
        <v>44850.373761574083</v>
      </c>
      <c r="D384">
        <v>6</v>
      </c>
      <c r="E384">
        <v>4</v>
      </c>
      <c r="G384" t="s">
        <v>430</v>
      </c>
      <c r="H384" t="str">
        <f>HYPERLINK("http://pbs.twimg.com/media/FfLdN69WQAAbNVP.jpg", "http://pbs.twimg.com/media/FfLdN69WQAAbNVP.jpg")</f>
        <v>http://pbs.twimg.com/media/FfLdN69WQAAbNVP.jpg</v>
      </c>
      <c r="L384">
        <v>0.51060000000000005</v>
      </c>
      <c r="M384">
        <v>0</v>
      </c>
      <c r="N384">
        <v>0.92</v>
      </c>
      <c r="O384">
        <v>0.08</v>
      </c>
    </row>
    <row r="385" spans="1:15" x14ac:dyDescent="0.2">
      <c r="A385" s="1" t="str">
        <f>HYPERLINK("http://www.twitter.com/banuakdenizli/status/1581366136519950336", "1581366136519950336")</f>
        <v>1581366136519950336</v>
      </c>
      <c r="B385" t="s">
        <v>15</v>
      </c>
      <c r="C385" s="2">
        <v>44849.810659722221</v>
      </c>
      <c r="D385">
        <v>7</v>
      </c>
      <c r="E385">
        <v>2</v>
      </c>
      <c r="G385" t="s">
        <v>431</v>
      </c>
      <c r="L385">
        <v>0</v>
      </c>
      <c r="M385">
        <v>0</v>
      </c>
      <c r="N385">
        <v>1</v>
      </c>
      <c r="O385">
        <v>0</v>
      </c>
    </row>
    <row r="386" spans="1:15" x14ac:dyDescent="0.2">
      <c r="A386" s="1" t="str">
        <f>HYPERLINK("http://www.twitter.com/banuakdenizli/status/1581364577555861505", "1581364577555861505")</f>
        <v>1581364577555861505</v>
      </c>
      <c r="B386" t="s">
        <v>15</v>
      </c>
      <c r="C386" s="2">
        <v>44849.80636574074</v>
      </c>
      <c r="D386">
        <v>0</v>
      </c>
      <c r="E386">
        <v>9</v>
      </c>
      <c r="F386" t="s">
        <v>18</v>
      </c>
      <c r="G386" t="s">
        <v>432</v>
      </c>
      <c r="H386" t="str">
        <f>HYPERLINK("http://pbs.twimg.com/media/FfIhjA-UUAARdQC.jpg", "http://pbs.twimg.com/media/FfIhjA-UUAARdQC.jpg")</f>
        <v>http://pbs.twimg.com/media/FfIhjA-UUAARdQC.jpg</v>
      </c>
      <c r="I386" t="str">
        <f>HYPERLINK("http://pbs.twimg.com/media/FfIhjSuVQAA5Ybj.jpg", "http://pbs.twimg.com/media/FfIhjSuVQAA5Ybj.jpg")</f>
        <v>http://pbs.twimg.com/media/FfIhjSuVQAA5Ybj.jpg</v>
      </c>
      <c r="J386" t="str">
        <f>HYPERLINK("http://pbs.twimg.com/media/FfIhjlaUoAAwBUQ.jpg", "http://pbs.twimg.com/media/FfIhjlaUoAAwBUQ.jpg")</f>
        <v>http://pbs.twimg.com/media/FfIhjlaUoAAwBUQ.jpg</v>
      </c>
      <c r="L386">
        <v>0</v>
      </c>
      <c r="M386">
        <v>0</v>
      </c>
      <c r="N386">
        <v>1</v>
      </c>
      <c r="O386">
        <v>0</v>
      </c>
    </row>
    <row r="387" spans="1:15" x14ac:dyDescent="0.2">
      <c r="A387" s="1" t="str">
        <f>HYPERLINK("http://www.twitter.com/banuakdenizli/status/1581322033740541952", "1581322033740541952")</f>
        <v>1581322033740541952</v>
      </c>
      <c r="B387" t="s">
        <v>15</v>
      </c>
      <c r="C387" s="2">
        <v>44849.688969907409</v>
      </c>
      <c r="D387">
        <v>0</v>
      </c>
      <c r="E387">
        <v>614</v>
      </c>
      <c r="F387" t="s">
        <v>21</v>
      </c>
      <c r="G387" t="s">
        <v>433</v>
      </c>
      <c r="H387" t="str">
        <f>HYPERLINK("https://video.twimg.com/ext_tw_video/1581316018047164416/pu/vid/720x1280/S2cM-IywXIjBEkq8.mp4?tag=12", "https://video.twimg.com/ext_tw_video/1581316018047164416/pu/vid/720x1280/S2cM-IywXIjBEkq8.mp4?tag=12")</f>
        <v>https://video.twimg.com/ext_tw_video/1581316018047164416/pu/vid/720x1280/S2cM-IywXIjBEkq8.mp4?tag=12</v>
      </c>
      <c r="L387">
        <v>0</v>
      </c>
      <c r="M387">
        <v>0</v>
      </c>
      <c r="N387">
        <v>1</v>
      </c>
      <c r="O387">
        <v>0</v>
      </c>
    </row>
    <row r="388" spans="1:15" x14ac:dyDescent="0.2">
      <c r="A388" s="1" t="str">
        <f>HYPERLINK("http://www.twitter.com/banuakdenizli/status/1581317739016486913", "1581317739016486913")</f>
        <v>1581317739016486913</v>
      </c>
      <c r="B388" t="s">
        <v>15</v>
      </c>
      <c r="C388" s="2">
        <v>44849.677118055559</v>
      </c>
      <c r="D388">
        <v>0</v>
      </c>
      <c r="E388">
        <v>100</v>
      </c>
      <c r="F388" t="s">
        <v>131</v>
      </c>
      <c r="G388" t="s">
        <v>434</v>
      </c>
      <c r="H388" t="str">
        <f>HYPERLINK("http://pbs.twimg.com/media/FfHyu9yWIAEhZEg.jpg", "http://pbs.twimg.com/media/FfHyu9yWIAEhZEg.jpg")</f>
        <v>http://pbs.twimg.com/media/FfHyu9yWIAEhZEg.jpg</v>
      </c>
      <c r="L388">
        <v>0.31819999999999998</v>
      </c>
      <c r="M388">
        <v>0</v>
      </c>
      <c r="N388">
        <v>0.94</v>
      </c>
      <c r="O388">
        <v>0.06</v>
      </c>
    </row>
    <row r="389" spans="1:15" x14ac:dyDescent="0.2">
      <c r="A389" s="1" t="str">
        <f>HYPERLINK("http://www.twitter.com/banuakdenizli/status/1581268731925528577", "1581268731925528577")</f>
        <v>1581268731925528577</v>
      </c>
      <c r="B389" t="s">
        <v>15</v>
      </c>
      <c r="C389" s="2">
        <v>44849.541875000003</v>
      </c>
      <c r="D389">
        <v>2</v>
      </c>
      <c r="E389">
        <v>2</v>
      </c>
      <c r="G389" t="s">
        <v>435</v>
      </c>
      <c r="L389">
        <v>0</v>
      </c>
      <c r="M389">
        <v>0</v>
      </c>
      <c r="N389">
        <v>1</v>
      </c>
      <c r="O389">
        <v>0</v>
      </c>
    </row>
    <row r="390" spans="1:15" x14ac:dyDescent="0.2">
      <c r="A390" s="1" t="str">
        <f>HYPERLINK("http://www.twitter.com/banuakdenizli/status/1580903407371845634", "1580903407371845634")</f>
        <v>1580903407371845634</v>
      </c>
      <c r="B390" t="s">
        <v>15</v>
      </c>
      <c r="C390" s="2">
        <v>44848.533773148149</v>
      </c>
      <c r="D390">
        <v>13</v>
      </c>
      <c r="E390">
        <v>4</v>
      </c>
      <c r="G390" t="s">
        <v>436</v>
      </c>
      <c r="H390" t="str">
        <f>HYPERLINK("http://pbs.twimg.com/media/FfB-kBtWAAE1xUU.png", "http://pbs.twimg.com/media/FfB-kBtWAAE1xUU.png")</f>
        <v>http://pbs.twimg.com/media/FfB-kBtWAAE1xUU.png</v>
      </c>
      <c r="I390" t="str">
        <f>HYPERLINK("http://pbs.twimg.com/media/FfB-prUXEAANUCk.png", "http://pbs.twimg.com/media/FfB-prUXEAANUCk.png")</f>
        <v>http://pbs.twimg.com/media/FfB-prUXEAANUCk.png</v>
      </c>
      <c r="L390">
        <v>0</v>
      </c>
      <c r="M390">
        <v>0</v>
      </c>
      <c r="N390">
        <v>1</v>
      </c>
      <c r="O390">
        <v>0</v>
      </c>
    </row>
    <row r="391" spans="1:15" x14ac:dyDescent="0.2">
      <c r="A391" s="1" t="str">
        <f>HYPERLINK("http://www.twitter.com/banuakdenizli/status/1580650002908446720", "1580650002908446720")</f>
        <v>1580650002908446720</v>
      </c>
      <c r="B391" t="s">
        <v>15</v>
      </c>
      <c r="C391" s="2">
        <v>44847.834513888891</v>
      </c>
      <c r="D391">
        <v>30</v>
      </c>
      <c r="E391">
        <v>20</v>
      </c>
      <c r="G391" t="s">
        <v>437</v>
      </c>
      <c r="H391" t="str">
        <f>HYPERLINK("http://pbs.twimg.com/media/Fe-Yy5fXwAM7GRC.jpg", "http://pbs.twimg.com/media/Fe-Yy5fXwAM7GRC.jpg")</f>
        <v>http://pbs.twimg.com/media/Fe-Yy5fXwAM7GRC.jpg</v>
      </c>
      <c r="I391" t="str">
        <f>HYPERLINK("http://pbs.twimg.com/media/Fe-Yy5bWAAAkOA7.jpg", "http://pbs.twimg.com/media/Fe-Yy5bWAAAkOA7.jpg")</f>
        <v>http://pbs.twimg.com/media/Fe-Yy5bWAAAkOA7.jpg</v>
      </c>
      <c r="L391">
        <v>-0.54490000000000005</v>
      </c>
      <c r="M391">
        <v>0.128</v>
      </c>
      <c r="N391">
        <v>0.872</v>
      </c>
      <c r="O391">
        <v>0</v>
      </c>
    </row>
    <row r="392" spans="1:15" x14ac:dyDescent="0.2">
      <c r="A392" s="1" t="str">
        <f>HYPERLINK("http://www.twitter.com/banuakdenizli/status/1580553352571949056", "1580553352571949056")</f>
        <v>1580553352571949056</v>
      </c>
      <c r="B392" t="s">
        <v>15</v>
      </c>
      <c r="C392" s="2">
        <v>44847.567812499998</v>
      </c>
      <c r="D392">
        <v>12</v>
      </c>
      <c r="E392">
        <v>4</v>
      </c>
      <c r="G392" t="s">
        <v>438</v>
      </c>
      <c r="H392" t="str">
        <f>HYPERLINK("https://video.twimg.com/ext_tw_video/1580553277611167744/pu/vid/1280x720/uXYri82ilm4B3Vez.mp4?tag=12", "https://video.twimg.com/ext_tw_video/1580553277611167744/pu/vid/1280x720/uXYri82ilm4B3Vez.mp4?tag=12")</f>
        <v>https://video.twimg.com/ext_tw_video/1580553277611167744/pu/vid/1280x720/uXYri82ilm4B3Vez.mp4?tag=12</v>
      </c>
      <c r="L392">
        <v>0</v>
      </c>
      <c r="M392">
        <v>0</v>
      </c>
      <c r="N392">
        <v>1</v>
      </c>
      <c r="O392">
        <v>0</v>
      </c>
    </row>
    <row r="393" spans="1:15" x14ac:dyDescent="0.2">
      <c r="A393" s="1" t="str">
        <f>HYPERLINK("http://www.twitter.com/banuakdenizli/status/1580552370244968448", "1580552370244968448")</f>
        <v>1580552370244968448</v>
      </c>
      <c r="B393" t="s">
        <v>15</v>
      </c>
      <c r="C393" s="2">
        <v>44847.565092592587</v>
      </c>
      <c r="D393">
        <v>7</v>
      </c>
      <c r="E393">
        <v>1</v>
      </c>
      <c r="G393" t="s">
        <v>439</v>
      </c>
      <c r="L393">
        <v>0</v>
      </c>
      <c r="M393">
        <v>0</v>
      </c>
      <c r="N393">
        <v>1</v>
      </c>
      <c r="O393">
        <v>0</v>
      </c>
    </row>
    <row r="394" spans="1:15" x14ac:dyDescent="0.2">
      <c r="A394" s="1" t="str">
        <f>HYPERLINK("http://www.twitter.com/banuakdenizli/status/1580551569585496065", "1580551569585496065")</f>
        <v>1580551569585496065</v>
      </c>
      <c r="B394" t="s">
        <v>15</v>
      </c>
      <c r="C394" s="2">
        <v>44847.562893518523</v>
      </c>
      <c r="D394">
        <v>0</v>
      </c>
      <c r="E394">
        <v>44</v>
      </c>
      <c r="F394" t="s">
        <v>17</v>
      </c>
      <c r="G394" t="s">
        <v>440</v>
      </c>
      <c r="H394" t="str">
        <f>HYPERLINK("https://video.twimg.com/ext_tw_video/1580397136142819328/pu/vid/1280x720/CpCpKJht5eUEAyDn.mp4?tag=12", "https://video.twimg.com/ext_tw_video/1580397136142819328/pu/vid/1280x720/CpCpKJht5eUEAyDn.mp4?tag=12")</f>
        <v>https://video.twimg.com/ext_tw_video/1580397136142819328/pu/vid/1280x720/CpCpKJht5eUEAyDn.mp4?tag=12</v>
      </c>
      <c r="L394">
        <v>0</v>
      </c>
      <c r="M394">
        <v>0</v>
      </c>
      <c r="N394">
        <v>1</v>
      </c>
      <c r="O394">
        <v>0</v>
      </c>
    </row>
    <row r="395" spans="1:15" x14ac:dyDescent="0.2">
      <c r="A395" s="1" t="str">
        <f>HYPERLINK("http://www.twitter.com/banuakdenizli/status/1580544801803411457", "1580544801803411457")</f>
        <v>1580544801803411457</v>
      </c>
      <c r="B395" t="s">
        <v>15</v>
      </c>
      <c r="C395" s="2">
        <v>44847.544212962966</v>
      </c>
      <c r="D395">
        <v>2</v>
      </c>
      <c r="E395">
        <v>1</v>
      </c>
      <c r="G395" t="s">
        <v>441</v>
      </c>
      <c r="H395" t="str">
        <f>HYPERLINK("http://pbs.twimg.com/media/Fe84UEDXEAEtDxO.png", "http://pbs.twimg.com/media/Fe84UEDXEAEtDxO.png")</f>
        <v>http://pbs.twimg.com/media/Fe84UEDXEAEtDxO.png</v>
      </c>
      <c r="L395">
        <v>-0.2732</v>
      </c>
      <c r="M395">
        <v>7.1999999999999995E-2</v>
      </c>
      <c r="N395">
        <v>0.92800000000000005</v>
      </c>
      <c r="O395">
        <v>0</v>
      </c>
    </row>
    <row r="396" spans="1:15" x14ac:dyDescent="0.2">
      <c r="A396" s="1" t="str">
        <f>HYPERLINK("http://www.twitter.com/banuakdenizli/status/1580513141904928768", "1580513141904928768")</f>
        <v>1580513141904928768</v>
      </c>
      <c r="B396" t="s">
        <v>15</v>
      </c>
      <c r="C396" s="2">
        <v>44847.45685185185</v>
      </c>
      <c r="D396">
        <v>12</v>
      </c>
      <c r="E396">
        <v>5</v>
      </c>
      <c r="G396" t="s">
        <v>442</v>
      </c>
      <c r="H396" t="str">
        <f>HYPERLINK("http://pbs.twimg.com/media/Fe8bQhEXwAQ4Pdd.png", "http://pbs.twimg.com/media/Fe8bQhEXwAQ4Pdd.png")</f>
        <v>http://pbs.twimg.com/media/Fe8bQhEXwAQ4Pdd.png</v>
      </c>
      <c r="I396" t="str">
        <f>HYPERLINK("http://pbs.twimg.com/media/Fe8bZtYXgAYPQzZ.png", "http://pbs.twimg.com/media/Fe8bZtYXgAYPQzZ.png")</f>
        <v>http://pbs.twimg.com/media/Fe8bZtYXgAYPQzZ.png</v>
      </c>
      <c r="J396" t="str">
        <f>HYPERLINK("http://pbs.twimg.com/media/Fe8bbaqWIAINGV_.png", "http://pbs.twimg.com/media/Fe8bbaqWIAINGV_.png")</f>
        <v>http://pbs.twimg.com/media/Fe8bbaqWIAINGV_.png</v>
      </c>
      <c r="L396">
        <v>0</v>
      </c>
      <c r="M396">
        <v>0</v>
      </c>
      <c r="N396">
        <v>1</v>
      </c>
      <c r="O396">
        <v>0</v>
      </c>
    </row>
    <row r="397" spans="1:15" x14ac:dyDescent="0.2">
      <c r="A397" s="1" t="str">
        <f>HYPERLINK("http://www.twitter.com/banuakdenizli/status/1580496009406599169", "1580496009406599169")</f>
        <v>1580496009406599169</v>
      </c>
      <c r="B397" t="s">
        <v>15</v>
      </c>
      <c r="C397" s="2">
        <v>44847.409571759257</v>
      </c>
      <c r="D397">
        <v>0</v>
      </c>
      <c r="E397">
        <v>4</v>
      </c>
      <c r="F397" t="s">
        <v>443</v>
      </c>
      <c r="G397" t="s">
        <v>444</v>
      </c>
      <c r="H397" t="str">
        <f>HYPERLINK("http://pbs.twimg.com/media/Fe69iJ6XgAANtRe.jpg", "http://pbs.twimg.com/media/Fe69iJ6XgAANtRe.jpg")</f>
        <v>http://pbs.twimg.com/media/Fe69iJ6XgAANtRe.jpg</v>
      </c>
      <c r="I397" t="str">
        <f>HYPERLINK("http://pbs.twimg.com/media/Fe69iJ3XwAAjSFm.jpg", "http://pbs.twimg.com/media/Fe69iJ3XwAAjSFm.jpg")</f>
        <v>http://pbs.twimg.com/media/Fe69iJ3XwAAjSFm.jpg</v>
      </c>
      <c r="J397" t="str">
        <f>HYPERLINK("http://pbs.twimg.com/media/Fe69iJ3XkAAeYlO.jpg", "http://pbs.twimg.com/media/Fe69iJ3XkAAeYlO.jpg")</f>
        <v>http://pbs.twimg.com/media/Fe69iJ3XkAAeYlO.jpg</v>
      </c>
      <c r="L397">
        <v>0</v>
      </c>
      <c r="M397">
        <v>0</v>
      </c>
      <c r="N397">
        <v>1</v>
      </c>
      <c r="O397">
        <v>0</v>
      </c>
    </row>
    <row r="398" spans="1:15" x14ac:dyDescent="0.2">
      <c r="A398" s="1" t="str">
        <f>HYPERLINK("http://www.twitter.com/banuakdenizli/status/1580271298227294208", "1580271298227294208")</f>
        <v>1580271298227294208</v>
      </c>
      <c r="B398" t="s">
        <v>15</v>
      </c>
      <c r="C398" s="2">
        <v>44846.789490740739</v>
      </c>
      <c r="D398">
        <v>3</v>
      </c>
      <c r="E398">
        <v>0</v>
      </c>
      <c r="G398" t="s">
        <v>445</v>
      </c>
      <c r="L398">
        <v>0</v>
      </c>
      <c r="M398">
        <v>0</v>
      </c>
      <c r="N398">
        <v>1</v>
      </c>
      <c r="O398">
        <v>0</v>
      </c>
    </row>
    <row r="399" spans="1:15" x14ac:dyDescent="0.2">
      <c r="A399" s="1" t="str">
        <f>HYPERLINK("http://www.twitter.com/banuakdenizli/status/1580225377586540544", "1580225377586540544")</f>
        <v>1580225377586540544</v>
      </c>
      <c r="B399" t="s">
        <v>15</v>
      </c>
      <c r="C399" s="2">
        <v>44846.662766203714</v>
      </c>
      <c r="D399">
        <v>7</v>
      </c>
      <c r="E399">
        <v>3</v>
      </c>
      <c r="G399" t="s">
        <v>446</v>
      </c>
      <c r="H399" t="str">
        <f>HYPERLINK("http://pbs.twimg.com/media/Fe4U7rKXgAAReqR.jpg", "http://pbs.twimg.com/media/Fe4U7rKXgAAReqR.jpg")</f>
        <v>http://pbs.twimg.com/media/Fe4U7rKXgAAReqR.jpg</v>
      </c>
      <c r="L399">
        <v>0</v>
      </c>
      <c r="M399">
        <v>0</v>
      </c>
      <c r="N399">
        <v>1</v>
      </c>
      <c r="O399">
        <v>0</v>
      </c>
    </row>
    <row r="400" spans="1:15" x14ac:dyDescent="0.2">
      <c r="A400" s="1" t="str">
        <f>HYPERLINK("http://www.twitter.com/banuakdenizli/status/1580057623419707392", "1580057623419707392")</f>
        <v>1580057623419707392</v>
      </c>
      <c r="B400" t="s">
        <v>15</v>
      </c>
      <c r="C400" s="2">
        <v>44846.199861111112</v>
      </c>
      <c r="D400">
        <v>0</v>
      </c>
      <c r="E400">
        <v>0</v>
      </c>
      <c r="G400" t="s">
        <v>447</v>
      </c>
      <c r="L400">
        <v>0</v>
      </c>
      <c r="M400">
        <v>0</v>
      </c>
      <c r="N400">
        <v>1</v>
      </c>
      <c r="O400">
        <v>0</v>
      </c>
    </row>
    <row r="401" spans="1:15" x14ac:dyDescent="0.2">
      <c r="A401" s="1" t="str">
        <f>HYPERLINK("http://www.twitter.com/banuakdenizli/status/1580051125289377792", "1580051125289377792")</f>
        <v>1580051125289377792</v>
      </c>
      <c r="B401" t="s">
        <v>15</v>
      </c>
      <c r="C401" s="2">
        <v>44846.181921296287</v>
      </c>
      <c r="D401">
        <v>0</v>
      </c>
      <c r="E401">
        <v>11</v>
      </c>
      <c r="F401" t="s">
        <v>131</v>
      </c>
      <c r="G401" t="s">
        <v>448</v>
      </c>
      <c r="H401" t="str">
        <f>HYPERLINK("http://pbs.twimg.com/media/Fe1tqDGXkAM5hkn.jpg", "http://pbs.twimg.com/media/Fe1tqDGXkAM5hkn.jpg")</f>
        <v>http://pbs.twimg.com/media/Fe1tqDGXkAM5hkn.jpg</v>
      </c>
      <c r="I401" t="str">
        <f>HYPERLINK("http://pbs.twimg.com/media/Fe1tqDGWQAAMsqV.jpg", "http://pbs.twimg.com/media/Fe1tqDGWQAAMsqV.jpg")</f>
        <v>http://pbs.twimg.com/media/Fe1tqDGWQAAMsqV.jpg</v>
      </c>
      <c r="J401" t="str">
        <f>HYPERLINK("http://pbs.twimg.com/media/Fe1tqDFWIAYI7Xb.jpg", "http://pbs.twimg.com/media/Fe1tqDFWIAYI7Xb.jpg")</f>
        <v>http://pbs.twimg.com/media/Fe1tqDFWIAYI7Xb.jpg</v>
      </c>
      <c r="K401" t="str">
        <f>HYPERLINK("http://pbs.twimg.com/media/Fe1tqDIX0AAYW1J.jpg", "http://pbs.twimg.com/media/Fe1tqDIX0AAYW1J.jpg")</f>
        <v>http://pbs.twimg.com/media/Fe1tqDIX0AAYW1J.jpg</v>
      </c>
      <c r="L401">
        <v>0.44040000000000001</v>
      </c>
      <c r="M401">
        <v>0</v>
      </c>
      <c r="N401">
        <v>0.92900000000000005</v>
      </c>
      <c r="O401">
        <v>7.0999999999999994E-2</v>
      </c>
    </row>
    <row r="402" spans="1:15" x14ac:dyDescent="0.2">
      <c r="A402" s="1" t="str">
        <f>HYPERLINK("http://www.twitter.com/banuakdenizli/status/1579938426346143744", "1579938426346143744")</f>
        <v>1579938426346143744</v>
      </c>
      <c r="B402" t="s">
        <v>15</v>
      </c>
      <c r="C402" s="2">
        <v>44845.870937500003</v>
      </c>
      <c r="D402">
        <v>15</v>
      </c>
      <c r="E402">
        <v>8</v>
      </c>
      <c r="G402" t="s">
        <v>449</v>
      </c>
      <c r="H402" t="str">
        <f>HYPERLINK("http://pbs.twimg.com/media/Fe0RNeTWIAwTWby.jpg", "http://pbs.twimg.com/media/Fe0RNeTWIAwTWby.jpg")</f>
        <v>http://pbs.twimg.com/media/Fe0RNeTWIAwTWby.jpg</v>
      </c>
      <c r="L402">
        <v>0</v>
      </c>
      <c r="M402">
        <v>0</v>
      </c>
      <c r="N402">
        <v>1</v>
      </c>
      <c r="O402">
        <v>0</v>
      </c>
    </row>
    <row r="403" spans="1:15" x14ac:dyDescent="0.2">
      <c r="A403" s="1" t="str">
        <f>HYPERLINK("http://www.twitter.com/banuakdenizli/status/1579924554239348737", "1579924554239348737")</f>
        <v>1579924554239348737</v>
      </c>
      <c r="B403" t="s">
        <v>15</v>
      </c>
      <c r="C403" s="2">
        <v>44845.832650462973</v>
      </c>
      <c r="D403">
        <v>0</v>
      </c>
      <c r="E403">
        <v>11</v>
      </c>
      <c r="F403" t="s">
        <v>450</v>
      </c>
      <c r="G403" t="s">
        <v>451</v>
      </c>
      <c r="H403" t="str">
        <f>HYPERLINK("http://pbs.twimg.com/media/FeZk1XAXkAUbeld.jpg", "http://pbs.twimg.com/media/FeZk1XAXkAUbeld.jpg")</f>
        <v>http://pbs.twimg.com/media/FeZk1XAXkAUbeld.jpg</v>
      </c>
      <c r="I403" t="str">
        <f>HYPERLINK("http://pbs.twimg.com/media/FeZk1W9WYAAKVYC.jpg", "http://pbs.twimg.com/media/FeZk1W9WYAAKVYC.jpg")</f>
        <v>http://pbs.twimg.com/media/FeZk1W9WYAAKVYC.jpg</v>
      </c>
      <c r="J403" t="str">
        <f>HYPERLINK("http://pbs.twimg.com/media/FeZk1W6WQAcz8AH.jpg", "http://pbs.twimg.com/media/FeZk1W6WQAcz8AH.jpg")</f>
        <v>http://pbs.twimg.com/media/FeZk1W6WQAcz8AH.jpg</v>
      </c>
      <c r="L403">
        <v>0.70030000000000003</v>
      </c>
      <c r="M403">
        <v>0</v>
      </c>
      <c r="N403">
        <v>0.83299999999999996</v>
      </c>
      <c r="O403">
        <v>0.16700000000000001</v>
      </c>
    </row>
    <row r="404" spans="1:15" x14ac:dyDescent="0.2">
      <c r="A404" s="1" t="str">
        <f>HYPERLINK("http://www.twitter.com/banuakdenizli/status/1579771371416354816", "1579771371416354816")</f>
        <v>1579771371416354816</v>
      </c>
      <c r="B404" t="s">
        <v>15</v>
      </c>
      <c r="C404" s="2">
        <v>44845.409953703696</v>
      </c>
      <c r="D404">
        <v>7</v>
      </c>
      <c r="E404">
        <v>2</v>
      </c>
      <c r="G404" t="s">
        <v>452</v>
      </c>
      <c r="H404" t="str">
        <f>HYPERLINK("https://video.twimg.com/ext_tw_video/1579771196496908288/pu/vid/640x352/N42f7H7cfXN2a127.mp4?tag=12", "https://video.twimg.com/ext_tw_video/1579771196496908288/pu/vid/640x352/N42f7H7cfXN2a127.mp4?tag=12")</f>
        <v>https://video.twimg.com/ext_tw_video/1579771196496908288/pu/vid/640x352/N42f7H7cfXN2a127.mp4?tag=12</v>
      </c>
      <c r="L404">
        <v>0</v>
      </c>
      <c r="M404">
        <v>0</v>
      </c>
      <c r="N404">
        <v>1</v>
      </c>
      <c r="O404">
        <v>0</v>
      </c>
    </row>
    <row r="405" spans="1:15" x14ac:dyDescent="0.2">
      <c r="A405" s="1" t="str">
        <f>HYPERLINK("http://www.twitter.com/banuakdenizli/status/1579555407831658497", "1579555407831658497")</f>
        <v>1579555407831658497</v>
      </c>
      <c r="B405" t="s">
        <v>15</v>
      </c>
      <c r="C405" s="2">
        <v>44844.814004629632</v>
      </c>
      <c r="D405">
        <v>6</v>
      </c>
      <c r="E405">
        <v>2</v>
      </c>
      <c r="G405" t="s">
        <v>453</v>
      </c>
      <c r="L405">
        <v>0</v>
      </c>
      <c r="M405">
        <v>0</v>
      </c>
      <c r="N405">
        <v>1</v>
      </c>
      <c r="O405">
        <v>0</v>
      </c>
    </row>
    <row r="406" spans="1:15" x14ac:dyDescent="0.2">
      <c r="A406" s="1" t="str">
        <f>HYPERLINK("http://www.twitter.com/banuakdenizli/status/1579388258672611328", "1579388258672611328")</f>
        <v>1579388258672611328</v>
      </c>
      <c r="B406" t="s">
        <v>15</v>
      </c>
      <c r="C406" s="2">
        <v>44844.352766203701</v>
      </c>
      <c r="D406">
        <v>4</v>
      </c>
      <c r="E406">
        <v>1</v>
      </c>
      <c r="G406" t="s">
        <v>454</v>
      </c>
      <c r="H406" t="str">
        <f>HYPERLINK("http://pbs.twimg.com/media/Fesc9FvXgAIqJq0.png", "http://pbs.twimg.com/media/Fesc9FvXgAIqJq0.png")</f>
        <v>http://pbs.twimg.com/media/Fesc9FvXgAIqJq0.png</v>
      </c>
      <c r="I406" t="str">
        <f>HYPERLINK("http://pbs.twimg.com/media/FeschUjX0AEAo1z.png", "http://pbs.twimg.com/media/FeschUjX0AEAo1z.png")</f>
        <v>http://pbs.twimg.com/media/FeschUjX0AEAo1z.png</v>
      </c>
      <c r="L406">
        <v>0</v>
      </c>
      <c r="M406">
        <v>0</v>
      </c>
      <c r="N406">
        <v>1</v>
      </c>
      <c r="O406">
        <v>0</v>
      </c>
    </row>
    <row r="407" spans="1:15" x14ac:dyDescent="0.2">
      <c r="A407" s="1" t="str">
        <f>HYPERLINK("http://www.twitter.com/banuakdenizli/status/1579388249248002049", "1579388249248002049")</f>
        <v>1579388249248002049</v>
      </c>
      <c r="B407" t="s">
        <v>15</v>
      </c>
      <c r="C407" s="2">
        <v>44844.352731481478</v>
      </c>
      <c r="D407">
        <v>8</v>
      </c>
      <c r="E407">
        <v>2</v>
      </c>
      <c r="G407" t="s">
        <v>455</v>
      </c>
      <c r="H407" t="str">
        <f>HYPERLINK("http://pbs.twimg.com/media/FescoDWXgAE7ros.png", "http://pbs.twimg.com/media/FescoDWXgAE7ros.png")</f>
        <v>http://pbs.twimg.com/media/FescoDWXgAE7ros.png</v>
      </c>
      <c r="L407">
        <v>0</v>
      </c>
      <c r="M407">
        <v>0</v>
      </c>
      <c r="N407">
        <v>1</v>
      </c>
      <c r="O407">
        <v>0</v>
      </c>
    </row>
    <row r="408" spans="1:15" x14ac:dyDescent="0.2">
      <c r="A408" s="1" t="str">
        <f>HYPERLINK("http://www.twitter.com/banuakdenizli/status/1579223007557361665", "1579223007557361665")</f>
        <v>1579223007557361665</v>
      </c>
      <c r="B408" t="s">
        <v>15</v>
      </c>
      <c r="C408" s="2">
        <v>44843.89675925926</v>
      </c>
      <c r="D408">
        <v>0</v>
      </c>
      <c r="E408">
        <v>10</v>
      </c>
      <c r="F408" t="s">
        <v>51</v>
      </c>
      <c r="G408" t="s">
        <v>456</v>
      </c>
      <c r="H408" t="str">
        <f>HYPERLINK("http://pbs.twimg.com/media/FepTWOMX0AQMxXy.jpg", "http://pbs.twimg.com/media/FepTWOMX0AQMxXy.jpg")</f>
        <v>http://pbs.twimg.com/media/FepTWOMX0AQMxXy.jpg</v>
      </c>
      <c r="I408" t="str">
        <f>HYPERLINK("http://pbs.twimg.com/media/FepTWOPXkAIehtu.jpg", "http://pbs.twimg.com/media/FepTWOPXkAIehtu.jpg")</f>
        <v>http://pbs.twimg.com/media/FepTWOPXkAIehtu.jpg</v>
      </c>
      <c r="J408" t="str">
        <f>HYPERLINK("http://pbs.twimg.com/media/FepTWOKWIAUndp1.jpg", "http://pbs.twimg.com/media/FepTWOKWIAUndp1.jpg")</f>
        <v>http://pbs.twimg.com/media/FepTWOKWIAUndp1.jpg</v>
      </c>
      <c r="K408" t="str">
        <f>HYPERLINK("http://pbs.twimg.com/media/FepTWOOWQAAuguz.jpg", "http://pbs.twimg.com/media/FepTWOOWQAAuguz.jpg")</f>
        <v>http://pbs.twimg.com/media/FepTWOOWQAAuguz.jpg</v>
      </c>
      <c r="L408">
        <v>0</v>
      </c>
      <c r="M408">
        <v>0</v>
      </c>
      <c r="N408">
        <v>1</v>
      </c>
      <c r="O408">
        <v>0</v>
      </c>
    </row>
    <row r="409" spans="1:15" x14ac:dyDescent="0.2">
      <c r="A409" s="1" t="str">
        <f>HYPERLINK("http://www.twitter.com/banuakdenizli/status/1579151908023205888", "1579151908023205888")</f>
        <v>1579151908023205888</v>
      </c>
      <c r="B409" t="s">
        <v>15</v>
      </c>
      <c r="C409" s="2">
        <v>44843.700555555559</v>
      </c>
      <c r="D409">
        <v>5</v>
      </c>
      <c r="E409">
        <v>2</v>
      </c>
      <c r="G409" t="s">
        <v>457</v>
      </c>
      <c r="L409">
        <v>0</v>
      </c>
      <c r="M409">
        <v>0</v>
      </c>
      <c r="N409">
        <v>1</v>
      </c>
      <c r="O409">
        <v>0</v>
      </c>
    </row>
    <row r="410" spans="1:15" x14ac:dyDescent="0.2">
      <c r="A410" s="1" t="str">
        <f>HYPERLINK("http://www.twitter.com/banuakdenizli/status/1579144202788950016", "1579144202788950016")</f>
        <v>1579144202788950016</v>
      </c>
      <c r="B410" t="s">
        <v>15</v>
      </c>
      <c r="C410" s="2">
        <v>44843.679293981477</v>
      </c>
      <c r="D410">
        <v>13</v>
      </c>
      <c r="E410">
        <v>5</v>
      </c>
      <c r="G410" t="s">
        <v>458</v>
      </c>
      <c r="H410" t="str">
        <f>HYPERLINK("https://video.twimg.com/ext_tw_video/1579144088842108929/pu/vid/848x480/UZz1BcKx7IwNNby7.mp4?tag=12", "https://video.twimg.com/ext_tw_video/1579144088842108929/pu/vid/848x480/UZz1BcKx7IwNNby7.mp4?tag=12")</f>
        <v>https://video.twimg.com/ext_tw_video/1579144088842108929/pu/vid/848x480/UZz1BcKx7IwNNby7.mp4?tag=12</v>
      </c>
      <c r="L410">
        <v>0</v>
      </c>
      <c r="M410">
        <v>0</v>
      </c>
      <c r="N410">
        <v>1</v>
      </c>
      <c r="O410">
        <v>0</v>
      </c>
    </row>
    <row r="411" spans="1:15" x14ac:dyDescent="0.2">
      <c r="A411" s="1" t="str">
        <f>HYPERLINK("http://www.twitter.com/banuakdenizli/status/1578881993387175936", "1578881993387175936")</f>
        <v>1578881993387175936</v>
      </c>
      <c r="B411" t="s">
        <v>15</v>
      </c>
      <c r="C411" s="2">
        <v>44842.955740740741</v>
      </c>
      <c r="D411">
        <v>6</v>
      </c>
      <c r="E411">
        <v>3</v>
      </c>
      <c r="G411" t="s">
        <v>459</v>
      </c>
      <c r="L411">
        <v>0</v>
      </c>
      <c r="M411">
        <v>0</v>
      </c>
      <c r="N411">
        <v>1</v>
      </c>
      <c r="O411">
        <v>0</v>
      </c>
    </row>
    <row r="412" spans="1:15" x14ac:dyDescent="0.2">
      <c r="A412" s="1" t="str">
        <f>HYPERLINK("http://www.twitter.com/banuakdenizli/status/1578881626318475264", "1578881626318475264")</f>
        <v>1578881626318475264</v>
      </c>
      <c r="B412" t="s">
        <v>15</v>
      </c>
      <c r="C412" s="2">
        <v>44842.954722222217</v>
      </c>
      <c r="D412">
        <v>3</v>
      </c>
      <c r="E412">
        <v>2</v>
      </c>
      <c r="G412" t="s">
        <v>460</v>
      </c>
      <c r="L412">
        <v>0</v>
      </c>
      <c r="M412">
        <v>0</v>
      </c>
      <c r="N412">
        <v>1</v>
      </c>
      <c r="O412">
        <v>0</v>
      </c>
    </row>
    <row r="413" spans="1:15" x14ac:dyDescent="0.2">
      <c r="A413" s="1" t="str">
        <f>HYPERLINK("http://www.twitter.com/banuakdenizli/status/1578868373567737858", "1578868373567737858")</f>
        <v>1578868373567737858</v>
      </c>
      <c r="B413" t="s">
        <v>15</v>
      </c>
      <c r="C413" s="2">
        <v>44842.91814814815</v>
      </c>
      <c r="D413">
        <v>13</v>
      </c>
      <c r="E413">
        <v>4</v>
      </c>
      <c r="G413" t="s">
        <v>461</v>
      </c>
      <c r="H413" t="str">
        <f>HYPERLINK("https://video.twimg.com/ext_tw_video/1578868317418291203/pu/vid/848x480/VAql6lWEJKq1YxVm.mp4?tag=12", "https://video.twimg.com/ext_tw_video/1578868317418291203/pu/vid/848x480/VAql6lWEJKq1YxVm.mp4?tag=12")</f>
        <v>https://video.twimg.com/ext_tw_video/1578868317418291203/pu/vid/848x480/VAql6lWEJKq1YxVm.mp4?tag=12</v>
      </c>
      <c r="L413">
        <v>0</v>
      </c>
      <c r="M413">
        <v>0</v>
      </c>
      <c r="N413">
        <v>1</v>
      </c>
      <c r="O413">
        <v>0</v>
      </c>
    </row>
    <row r="414" spans="1:15" x14ac:dyDescent="0.2">
      <c r="A414" s="1" t="str">
        <f>HYPERLINK("http://www.twitter.com/banuakdenizli/status/1578704098148638720", "1578704098148638720")</f>
        <v>1578704098148638720</v>
      </c>
      <c r="B414" t="s">
        <v>15</v>
      </c>
      <c r="C414" s="2">
        <v>44842.464837962973</v>
      </c>
      <c r="D414">
        <v>5</v>
      </c>
      <c r="E414">
        <v>1</v>
      </c>
      <c r="G414" t="s">
        <v>462</v>
      </c>
      <c r="H414" t="str">
        <f>HYPERLINK("http://pbs.twimg.com/media/FeiugibXEAEux7t.jpg", "http://pbs.twimg.com/media/FeiugibXEAEux7t.jpg")</f>
        <v>http://pbs.twimg.com/media/FeiugibXEAEux7t.jpg</v>
      </c>
      <c r="I414" t="str">
        <f>HYPERLINK("http://pbs.twimg.com/media/Feiugi5X0AADl_7.jpg", "http://pbs.twimg.com/media/Feiugi5X0AADl_7.jpg")</f>
        <v>http://pbs.twimg.com/media/Feiugi5X0AADl_7.jpg</v>
      </c>
      <c r="L414">
        <v>0</v>
      </c>
      <c r="M414">
        <v>0</v>
      </c>
      <c r="N414">
        <v>1</v>
      </c>
      <c r="O414">
        <v>0</v>
      </c>
    </row>
    <row r="415" spans="1:15" x14ac:dyDescent="0.2">
      <c r="A415" s="1" t="str">
        <f>HYPERLINK("http://www.twitter.com/banuakdenizli/status/1578704091664257025", "1578704091664257025")</f>
        <v>1578704091664257025</v>
      </c>
      <c r="B415" t="s">
        <v>15</v>
      </c>
      <c r="C415" s="2">
        <v>44842.464826388888</v>
      </c>
      <c r="D415">
        <v>18</v>
      </c>
      <c r="E415">
        <v>7</v>
      </c>
      <c r="G415" t="s">
        <v>463</v>
      </c>
      <c r="H415" t="str">
        <f>HYPERLINK("http://pbs.twimg.com/media/Feit1pSXEAAOs1F.jpg", "http://pbs.twimg.com/media/Feit1pSXEAAOs1F.jpg")</f>
        <v>http://pbs.twimg.com/media/Feit1pSXEAAOs1F.jpg</v>
      </c>
      <c r="I415" t="str">
        <f>HYPERLINK("http://pbs.twimg.com/media/Feit1pZWAAAFJIw.jpg", "http://pbs.twimg.com/media/Feit1pZWAAAFJIw.jpg")</f>
        <v>http://pbs.twimg.com/media/Feit1pZWAAAFJIw.jpg</v>
      </c>
      <c r="J415" t="str">
        <f>HYPERLINK("http://pbs.twimg.com/media/Feit1pVXwAEaSeo.jpg", "http://pbs.twimg.com/media/Feit1pVXwAEaSeo.jpg")</f>
        <v>http://pbs.twimg.com/media/Feit1pVXwAEaSeo.jpg</v>
      </c>
      <c r="L415">
        <v>0</v>
      </c>
      <c r="M415">
        <v>0</v>
      </c>
      <c r="N415">
        <v>1</v>
      </c>
      <c r="O415">
        <v>0</v>
      </c>
    </row>
    <row r="416" spans="1:15" x14ac:dyDescent="0.2">
      <c r="A416" s="1" t="str">
        <f>HYPERLINK("http://www.twitter.com/banuakdenizli/status/1578628378684317696", "1578628378684317696")</f>
        <v>1578628378684317696</v>
      </c>
      <c r="B416" t="s">
        <v>15</v>
      </c>
      <c r="C416" s="2">
        <v>44842.255891203713</v>
      </c>
      <c r="D416">
        <v>0</v>
      </c>
      <c r="E416">
        <v>55</v>
      </c>
      <c r="F416" t="s">
        <v>17</v>
      </c>
      <c r="G416" t="s">
        <v>464</v>
      </c>
      <c r="H416" t="str">
        <f>HYPERLINK("http://pbs.twimg.com/media/Fee7e0HWYAYMMG3.jpg", "http://pbs.twimg.com/media/Fee7e0HWYAYMMG3.jpg")</f>
        <v>http://pbs.twimg.com/media/Fee7e0HWYAYMMG3.jpg</v>
      </c>
      <c r="L416">
        <v>0</v>
      </c>
      <c r="M416">
        <v>0</v>
      </c>
      <c r="N416">
        <v>1</v>
      </c>
      <c r="O416">
        <v>0</v>
      </c>
    </row>
    <row r="417" spans="1:15" x14ac:dyDescent="0.2">
      <c r="A417" s="1" t="str">
        <f>HYPERLINK("http://www.twitter.com/banuakdenizli/status/1578628320341950464", "1578628320341950464")</f>
        <v>1578628320341950464</v>
      </c>
      <c r="B417" t="s">
        <v>15</v>
      </c>
      <c r="C417" s="2">
        <v>44842.255729166667</v>
      </c>
      <c r="D417">
        <v>0</v>
      </c>
      <c r="E417">
        <v>61</v>
      </c>
      <c r="F417" t="s">
        <v>17</v>
      </c>
      <c r="G417" t="s">
        <v>465</v>
      </c>
      <c r="H417" t="str">
        <f>HYPERLINK("http://pbs.twimg.com/media/FefQ3ZvVUAEna6T.jpg", "http://pbs.twimg.com/media/FefQ3ZvVUAEna6T.jpg")</f>
        <v>http://pbs.twimg.com/media/FefQ3ZvVUAEna6T.jpg</v>
      </c>
      <c r="L417">
        <v>0</v>
      </c>
      <c r="M417">
        <v>0</v>
      </c>
      <c r="N417">
        <v>1</v>
      </c>
      <c r="O417">
        <v>0</v>
      </c>
    </row>
    <row r="418" spans="1:15" x14ac:dyDescent="0.2">
      <c r="A418" s="1" t="str">
        <f>HYPERLINK("http://www.twitter.com/banuakdenizli/status/1578420426023526400", "1578420426023526400")</f>
        <v>1578420426023526400</v>
      </c>
      <c r="B418" t="s">
        <v>15</v>
      </c>
      <c r="C418" s="2">
        <v>44841.68204861111</v>
      </c>
      <c r="D418">
        <v>0</v>
      </c>
      <c r="E418">
        <v>8</v>
      </c>
      <c r="F418" t="s">
        <v>18</v>
      </c>
      <c r="G418" t="s">
        <v>466</v>
      </c>
      <c r="H418" t="str">
        <f>HYPERLINK("http://pbs.twimg.com/media/Feeq_aSXEAAEao0.jpg", "http://pbs.twimg.com/media/Feeq_aSXEAAEao0.jpg")</f>
        <v>http://pbs.twimg.com/media/Feeq_aSXEAAEao0.jpg</v>
      </c>
      <c r="I418" t="str">
        <f>HYPERLINK("http://pbs.twimg.com/media/FeerB51XgAErPcv.jpg", "http://pbs.twimg.com/media/FeerB51XgAErPcv.jpg")</f>
        <v>http://pbs.twimg.com/media/FeerB51XgAErPcv.jpg</v>
      </c>
      <c r="J418" t="str">
        <f>HYPERLINK("http://pbs.twimg.com/media/FeerX7-WIAA8G0J.jpg", "http://pbs.twimg.com/media/FeerX7-WIAA8G0J.jpg")</f>
        <v>http://pbs.twimg.com/media/FeerX7-WIAA8G0J.jpg</v>
      </c>
      <c r="L418">
        <v>0</v>
      </c>
      <c r="M418">
        <v>0</v>
      </c>
      <c r="N418">
        <v>1</v>
      </c>
      <c r="O418">
        <v>0</v>
      </c>
    </row>
    <row r="419" spans="1:15" x14ac:dyDescent="0.2">
      <c r="A419" s="1" t="str">
        <f>HYPERLINK("http://www.twitter.com/banuakdenizli/status/1578377304157442051", "1578377304157442051")</f>
        <v>1578377304157442051</v>
      </c>
      <c r="B419" t="s">
        <v>15</v>
      </c>
      <c r="C419" s="2">
        <v>44841.563055555547</v>
      </c>
      <c r="D419">
        <v>3</v>
      </c>
      <c r="E419">
        <v>1</v>
      </c>
      <c r="G419" t="s">
        <v>467</v>
      </c>
      <c r="L419">
        <v>0</v>
      </c>
      <c r="M419">
        <v>0</v>
      </c>
      <c r="N419">
        <v>1</v>
      </c>
      <c r="O419">
        <v>0</v>
      </c>
    </row>
    <row r="420" spans="1:15" x14ac:dyDescent="0.2">
      <c r="A420" s="1" t="str">
        <f>HYPERLINK("http://www.twitter.com/banuakdenizli/status/1578318146653417475", "1578318146653417475")</f>
        <v>1578318146653417475</v>
      </c>
      <c r="B420" t="s">
        <v>15</v>
      </c>
      <c r="C420" s="2">
        <v>44841.399814814817</v>
      </c>
      <c r="D420">
        <v>19</v>
      </c>
      <c r="E420">
        <v>1</v>
      </c>
      <c r="G420" t="s">
        <v>468</v>
      </c>
      <c r="H420" t="str">
        <f>HYPERLINK("http://pbs.twimg.com/media/FedP-uwXgAEfu0u.jpg", "http://pbs.twimg.com/media/FedP-uwXgAEfu0u.jpg")</f>
        <v>http://pbs.twimg.com/media/FedP-uwXgAEfu0u.jpg</v>
      </c>
      <c r="L420">
        <v>0.20230000000000001</v>
      </c>
      <c r="M420">
        <v>0</v>
      </c>
      <c r="N420">
        <v>0.96099999999999997</v>
      </c>
      <c r="O420">
        <v>3.9E-2</v>
      </c>
    </row>
    <row r="421" spans="1:15" x14ac:dyDescent="0.2">
      <c r="A421" s="1" t="str">
        <f>HYPERLINK("http://www.twitter.com/banuakdenizli/status/1578065618280108032", "1578065618280108032")</f>
        <v>1578065618280108032</v>
      </c>
      <c r="B421" t="s">
        <v>15</v>
      </c>
      <c r="C421" s="2">
        <v>44840.702974537038</v>
      </c>
      <c r="D421">
        <v>5</v>
      </c>
      <c r="E421">
        <v>1</v>
      </c>
      <c r="G421" t="s">
        <v>469</v>
      </c>
      <c r="L421">
        <v>0</v>
      </c>
      <c r="M421">
        <v>0</v>
      </c>
      <c r="N421">
        <v>1</v>
      </c>
      <c r="O421">
        <v>0</v>
      </c>
    </row>
    <row r="422" spans="1:15" x14ac:dyDescent="0.2">
      <c r="A422" s="1" t="str">
        <f>HYPERLINK("http://www.twitter.com/banuakdenizli/status/1578065303669555203", "1578065303669555203")</f>
        <v>1578065303669555203</v>
      </c>
      <c r="B422" t="s">
        <v>15</v>
      </c>
      <c r="C422" s="2">
        <v>44840.702106481483</v>
      </c>
      <c r="D422">
        <v>0</v>
      </c>
      <c r="E422">
        <v>83</v>
      </c>
      <c r="F422" t="s">
        <v>17</v>
      </c>
      <c r="G422" t="s">
        <v>470</v>
      </c>
      <c r="L422">
        <v>0</v>
      </c>
      <c r="M422">
        <v>0</v>
      </c>
      <c r="N422">
        <v>1</v>
      </c>
      <c r="O422">
        <v>0</v>
      </c>
    </row>
    <row r="423" spans="1:15" x14ac:dyDescent="0.2">
      <c r="A423" s="1" t="str">
        <f>HYPERLINK("http://www.twitter.com/banuakdenizli/status/1578040245035098113", "1578040245035098113")</f>
        <v>1578040245035098113</v>
      </c>
      <c r="B423" t="s">
        <v>15</v>
      </c>
      <c r="C423" s="2">
        <v>44840.632951388892</v>
      </c>
      <c r="D423">
        <v>7</v>
      </c>
      <c r="E423">
        <v>2</v>
      </c>
      <c r="G423" t="s">
        <v>471</v>
      </c>
      <c r="H423" t="str">
        <f>HYPERLINK("http://pbs.twimg.com/media/FeZTOzfUoAYKdAn.jpg", "http://pbs.twimg.com/media/FeZTOzfUoAYKdAn.jpg")</f>
        <v>http://pbs.twimg.com/media/FeZTOzfUoAYKdAn.jpg</v>
      </c>
      <c r="I423" t="str">
        <f>HYPERLINK("http://pbs.twimg.com/media/FeZTOzjUcAADcTT.jpg", "http://pbs.twimg.com/media/FeZTOzjUcAADcTT.jpg")</f>
        <v>http://pbs.twimg.com/media/FeZTOzjUcAADcTT.jpg</v>
      </c>
      <c r="L423">
        <v>0</v>
      </c>
      <c r="M423">
        <v>0</v>
      </c>
      <c r="N423">
        <v>1</v>
      </c>
      <c r="O423">
        <v>0</v>
      </c>
    </row>
    <row r="424" spans="1:15" x14ac:dyDescent="0.2">
      <c r="A424" s="1" t="str">
        <f>HYPERLINK("http://www.twitter.com/banuakdenizli/status/1577913340214624256", "1577913340214624256")</f>
        <v>1577913340214624256</v>
      </c>
      <c r="B424" t="s">
        <v>15</v>
      </c>
      <c r="C424" s="2">
        <v>44840.282766203702</v>
      </c>
      <c r="D424">
        <v>1</v>
      </c>
      <c r="E424">
        <v>0</v>
      </c>
      <c r="G424" t="s">
        <v>472</v>
      </c>
      <c r="H424" t="str">
        <f>HYPERLINK("http://pbs.twimg.com/media/FeXfAfvXEAEFG7A.jpg", "http://pbs.twimg.com/media/FeXfAfvXEAEFG7A.jpg")</f>
        <v>http://pbs.twimg.com/media/FeXfAfvXEAEFG7A.jpg</v>
      </c>
      <c r="L424">
        <v>0</v>
      </c>
      <c r="M424">
        <v>0</v>
      </c>
      <c r="N424">
        <v>1</v>
      </c>
      <c r="O424">
        <v>0</v>
      </c>
    </row>
    <row r="425" spans="1:15" x14ac:dyDescent="0.2">
      <c r="A425" s="1" t="str">
        <f>HYPERLINK("http://www.twitter.com/banuakdenizli/status/1577901383868727296", "1577901383868727296")</f>
        <v>1577901383868727296</v>
      </c>
      <c r="B425" t="s">
        <v>15</v>
      </c>
      <c r="C425" s="2">
        <v>44840.249768518523</v>
      </c>
      <c r="D425">
        <v>0</v>
      </c>
      <c r="E425">
        <v>43</v>
      </c>
      <c r="F425" t="s">
        <v>473</v>
      </c>
      <c r="G425" t="s">
        <v>474</v>
      </c>
      <c r="H425" t="str">
        <f>HYPERLINK("http://pbs.twimg.com/media/FeL3Z_GWYAENQtv.jpg", "http://pbs.twimg.com/media/FeL3Z_GWYAENQtv.jpg")</f>
        <v>http://pbs.twimg.com/media/FeL3Z_GWYAENQtv.jpg</v>
      </c>
      <c r="L425">
        <v>0</v>
      </c>
      <c r="M425">
        <v>0</v>
      </c>
      <c r="N425">
        <v>1</v>
      </c>
      <c r="O425">
        <v>0</v>
      </c>
    </row>
    <row r="426" spans="1:15" x14ac:dyDescent="0.2">
      <c r="A426" s="1" t="str">
        <f>HYPERLINK("http://www.twitter.com/banuakdenizli/status/1577901254386253826", "1577901254386253826")</f>
        <v>1577901254386253826</v>
      </c>
      <c r="B426" t="s">
        <v>15</v>
      </c>
      <c r="C426" s="2">
        <v>44840.249409722222</v>
      </c>
      <c r="D426">
        <v>0</v>
      </c>
      <c r="E426">
        <v>31</v>
      </c>
      <c r="F426" t="s">
        <v>473</v>
      </c>
      <c r="G426" t="s">
        <v>475</v>
      </c>
      <c r="H426" t="str">
        <f>HYPERLINK("http://pbs.twimg.com/media/FePoec4WQAUpQMT.jpg", "http://pbs.twimg.com/media/FePoec4WQAUpQMT.jpg")</f>
        <v>http://pbs.twimg.com/media/FePoec4WQAUpQMT.jpg</v>
      </c>
      <c r="L426">
        <v>0</v>
      </c>
      <c r="M426">
        <v>0</v>
      </c>
      <c r="N426">
        <v>1</v>
      </c>
      <c r="O426">
        <v>0</v>
      </c>
    </row>
    <row r="427" spans="1:15" x14ac:dyDescent="0.2">
      <c r="A427" s="1" t="str">
        <f>HYPERLINK("http://www.twitter.com/banuakdenizli/status/1577888031830310912", "1577888031830310912")</f>
        <v>1577888031830310912</v>
      </c>
      <c r="B427" t="s">
        <v>15</v>
      </c>
      <c r="C427" s="2">
        <v>44840.21292824074</v>
      </c>
      <c r="D427">
        <v>6</v>
      </c>
      <c r="E427">
        <v>4</v>
      </c>
      <c r="G427" t="s">
        <v>476</v>
      </c>
      <c r="L427">
        <v>0</v>
      </c>
      <c r="M427">
        <v>0</v>
      </c>
      <c r="N427">
        <v>1</v>
      </c>
      <c r="O427">
        <v>0</v>
      </c>
    </row>
    <row r="428" spans="1:15" x14ac:dyDescent="0.2">
      <c r="A428" s="1" t="str">
        <f>HYPERLINK("http://www.twitter.com/banuakdenizli/status/1577880457441644547", "1577880457441644547")</f>
        <v>1577880457441644547</v>
      </c>
      <c r="B428" t="s">
        <v>15</v>
      </c>
      <c r="C428" s="2">
        <v>44840.192025462973</v>
      </c>
      <c r="D428">
        <v>5</v>
      </c>
      <c r="E428">
        <v>3</v>
      </c>
      <c r="G428" t="s">
        <v>477</v>
      </c>
      <c r="L428">
        <v>0</v>
      </c>
      <c r="M428">
        <v>0</v>
      </c>
      <c r="N428">
        <v>1</v>
      </c>
      <c r="O428">
        <v>0</v>
      </c>
    </row>
    <row r="429" spans="1:15" x14ac:dyDescent="0.2">
      <c r="A429" s="1" t="str">
        <f>HYPERLINK("http://www.twitter.com/banuakdenizli/status/1577646317999906816", "1577646317999906816")</f>
        <v>1577646317999906816</v>
      </c>
      <c r="B429" t="s">
        <v>15</v>
      </c>
      <c r="C429" s="2">
        <v>44839.545925925922</v>
      </c>
      <c r="D429">
        <v>9</v>
      </c>
      <c r="E429">
        <v>3</v>
      </c>
      <c r="G429" t="s">
        <v>478</v>
      </c>
      <c r="H429" t="str">
        <f>HYPERLINK("https://video.twimg.com/ext_tw_video/1577646279500365826/pu/vid/848x480/EAti1QdIZTpY94Bj.mp4?tag=12", "https://video.twimg.com/ext_tw_video/1577646279500365826/pu/vid/848x480/EAti1QdIZTpY94Bj.mp4?tag=12")</f>
        <v>https://video.twimg.com/ext_tw_video/1577646279500365826/pu/vid/848x480/EAti1QdIZTpY94Bj.mp4?tag=12</v>
      </c>
      <c r="L429">
        <v>0</v>
      </c>
      <c r="M429">
        <v>0</v>
      </c>
      <c r="N429">
        <v>1</v>
      </c>
      <c r="O429">
        <v>0</v>
      </c>
    </row>
    <row r="430" spans="1:15" x14ac:dyDescent="0.2">
      <c r="A430" s="1" t="str">
        <f>HYPERLINK("http://www.twitter.com/banuakdenizli/status/1577617208829673472", "1577617208829673472")</f>
        <v>1577617208829673472</v>
      </c>
      <c r="B430" t="s">
        <v>15</v>
      </c>
      <c r="C430" s="2">
        <v>44839.465590277781</v>
      </c>
      <c r="D430">
        <v>3</v>
      </c>
      <c r="E430">
        <v>2</v>
      </c>
      <c r="G430" t="s">
        <v>479</v>
      </c>
      <c r="H430" t="str">
        <f>HYPERLINK("http://pbs.twimg.com/media/FeTSLzMWYAE8iAN.png", "http://pbs.twimg.com/media/FeTSLzMWYAE8iAN.png")</f>
        <v>http://pbs.twimg.com/media/FeTSLzMWYAE8iAN.png</v>
      </c>
      <c r="I430" t="str">
        <f>HYPERLINK("http://pbs.twimg.com/media/FeTSSTqWIAIbFQ-.png", "http://pbs.twimg.com/media/FeTSSTqWIAIbFQ-.png")</f>
        <v>http://pbs.twimg.com/media/FeTSSTqWIAIbFQ-.png</v>
      </c>
      <c r="J430" t="str">
        <f>HYPERLINK("http://pbs.twimg.com/media/FeTSVolWQAA8ZLi.png", "http://pbs.twimg.com/media/FeTSVolWQAA8ZLi.png")</f>
        <v>http://pbs.twimg.com/media/FeTSVolWQAA8ZLi.png</v>
      </c>
      <c r="L430">
        <v>0</v>
      </c>
      <c r="M430">
        <v>0</v>
      </c>
      <c r="N430">
        <v>1</v>
      </c>
      <c r="O430">
        <v>0</v>
      </c>
    </row>
    <row r="431" spans="1:15" x14ac:dyDescent="0.2">
      <c r="A431" s="1" t="str">
        <f>HYPERLINK("http://www.twitter.com/banuakdenizli/status/1577217404127830018", "1577217404127830018")</f>
        <v>1577217404127830018</v>
      </c>
      <c r="B431" t="s">
        <v>15</v>
      </c>
      <c r="C431" s="2">
        <v>44838.362349537027</v>
      </c>
      <c r="D431">
        <v>1</v>
      </c>
      <c r="E431">
        <v>0</v>
      </c>
      <c r="G431" t="s">
        <v>480</v>
      </c>
      <c r="H431" t="str">
        <f>HYPERLINK("http://pbs.twimg.com/media/FeNkIIDWIAAZC0V.png", "http://pbs.twimg.com/media/FeNkIIDWIAAZC0V.png")</f>
        <v>http://pbs.twimg.com/media/FeNkIIDWIAAZC0V.png</v>
      </c>
      <c r="L431">
        <v>0</v>
      </c>
      <c r="M431">
        <v>0</v>
      </c>
      <c r="N431">
        <v>1</v>
      </c>
      <c r="O431">
        <v>0</v>
      </c>
    </row>
    <row r="432" spans="1:15" x14ac:dyDescent="0.2">
      <c r="A432" s="1" t="str">
        <f>HYPERLINK("http://www.twitter.com/banuakdenizli/status/1576992285816160258", "1576992285816160258")</f>
        <v>1576992285816160258</v>
      </c>
      <c r="B432" t="s">
        <v>15</v>
      </c>
      <c r="C432" s="2">
        <v>44837.74113425926</v>
      </c>
      <c r="D432">
        <v>7</v>
      </c>
      <c r="E432">
        <v>2</v>
      </c>
      <c r="G432" t="s">
        <v>481</v>
      </c>
      <c r="L432">
        <v>0</v>
      </c>
      <c r="M432">
        <v>0</v>
      </c>
      <c r="N432">
        <v>1</v>
      </c>
      <c r="O432">
        <v>0</v>
      </c>
    </row>
    <row r="433" spans="1:15" x14ac:dyDescent="0.2">
      <c r="A433" s="1" t="str">
        <f>HYPERLINK("http://www.twitter.com/banuakdenizli/status/1576990282293600256", "1576990282293600256")</f>
        <v>1576990282293600256</v>
      </c>
      <c r="B433" t="s">
        <v>15</v>
      </c>
      <c r="C433" s="2">
        <v>44837.735613425917</v>
      </c>
      <c r="D433">
        <v>1</v>
      </c>
      <c r="E433">
        <v>0</v>
      </c>
      <c r="G433" t="s">
        <v>482</v>
      </c>
      <c r="L433">
        <v>0</v>
      </c>
      <c r="M433">
        <v>0</v>
      </c>
      <c r="N433">
        <v>1</v>
      </c>
      <c r="O433">
        <v>0</v>
      </c>
    </row>
    <row r="434" spans="1:15" x14ac:dyDescent="0.2">
      <c r="A434" s="1" t="str">
        <f>HYPERLINK("http://www.twitter.com/banuakdenizli/status/1576989087633838080", "1576989087633838080")</f>
        <v>1576989087633838080</v>
      </c>
      <c r="B434" t="s">
        <v>15</v>
      </c>
      <c r="C434" s="2">
        <v>44837.732314814813</v>
      </c>
      <c r="D434">
        <v>0</v>
      </c>
      <c r="E434">
        <v>5</v>
      </c>
      <c r="F434" t="s">
        <v>483</v>
      </c>
      <c r="G434" t="s">
        <v>484</v>
      </c>
      <c r="H434" t="str">
        <f>HYPERLINK("http://pbs.twimg.com/media/FeKXGiZXkAstjkn.jpg", "http://pbs.twimg.com/media/FeKXGiZXkAstjkn.jpg")</f>
        <v>http://pbs.twimg.com/media/FeKXGiZXkAstjkn.jpg</v>
      </c>
      <c r="L434">
        <v>-0.62490000000000001</v>
      </c>
      <c r="M434">
        <v>8.2000000000000003E-2</v>
      </c>
      <c r="N434">
        <v>0.91800000000000004</v>
      </c>
      <c r="O434">
        <v>0</v>
      </c>
    </row>
    <row r="435" spans="1:15" x14ac:dyDescent="0.2">
      <c r="A435" s="1" t="str">
        <f>HYPERLINK("http://www.twitter.com/banuakdenizli/status/1576962112202547200", "1576962112202547200")</f>
        <v>1576962112202547200</v>
      </c>
      <c r="B435" t="s">
        <v>15</v>
      </c>
      <c r="C435" s="2">
        <v>44837.657870370371</v>
      </c>
      <c r="D435">
        <v>1</v>
      </c>
      <c r="E435">
        <v>0</v>
      </c>
      <c r="G435" t="s">
        <v>485</v>
      </c>
      <c r="L435">
        <v>0</v>
      </c>
      <c r="M435">
        <v>0</v>
      </c>
      <c r="N435">
        <v>1</v>
      </c>
      <c r="O435">
        <v>0</v>
      </c>
    </row>
    <row r="436" spans="1:15" x14ac:dyDescent="0.2">
      <c r="A436" s="1" t="str">
        <f>HYPERLINK("http://www.twitter.com/banuakdenizli/status/1576945715829362688", "1576945715829362688")</f>
        <v>1576945715829362688</v>
      </c>
      <c r="B436" t="s">
        <v>15</v>
      </c>
      <c r="C436" s="2">
        <v>44837.612627314818</v>
      </c>
      <c r="D436">
        <v>9</v>
      </c>
      <c r="E436">
        <v>2</v>
      </c>
      <c r="G436" t="s">
        <v>486</v>
      </c>
      <c r="H436" t="str">
        <f>HYPERLINK("http://pbs.twimg.com/media/FeJslZaXEAAeSjF.png", "http://pbs.twimg.com/media/FeJslZaXEAAeSjF.png")</f>
        <v>http://pbs.twimg.com/media/FeJslZaXEAAeSjF.png</v>
      </c>
      <c r="L436">
        <v>0</v>
      </c>
      <c r="M436">
        <v>0</v>
      </c>
      <c r="N436">
        <v>1</v>
      </c>
      <c r="O436">
        <v>0</v>
      </c>
    </row>
    <row r="437" spans="1:15" x14ac:dyDescent="0.2">
      <c r="A437" s="1" t="str">
        <f>HYPERLINK("http://www.twitter.com/banuakdenizli/status/1576688141309657088", "1576688141309657088")</f>
        <v>1576688141309657088</v>
      </c>
      <c r="B437" t="s">
        <v>15</v>
      </c>
      <c r="C437" s="2">
        <v>44836.90185185185</v>
      </c>
      <c r="D437">
        <v>0</v>
      </c>
      <c r="E437">
        <v>15</v>
      </c>
      <c r="F437" t="s">
        <v>487</v>
      </c>
      <c r="G437" t="s">
        <v>488</v>
      </c>
      <c r="H437" t="str">
        <f>HYPERLINK("http://pbs.twimg.com/media/FeF9ShZXkAIle6m.jpg", "http://pbs.twimg.com/media/FeF9ShZXkAIle6m.jpg")</f>
        <v>http://pbs.twimg.com/media/FeF9ShZXkAIle6m.jpg</v>
      </c>
      <c r="L437">
        <v>0</v>
      </c>
      <c r="M437">
        <v>0</v>
      </c>
      <c r="N437">
        <v>1</v>
      </c>
      <c r="O437">
        <v>0</v>
      </c>
    </row>
    <row r="438" spans="1:15" x14ac:dyDescent="0.2">
      <c r="A438" s="1" t="str">
        <f>HYPERLINK("http://www.twitter.com/banuakdenizli/status/1576618730657701888", "1576618730657701888")</f>
        <v>1576618730657701888</v>
      </c>
      <c r="B438" t="s">
        <v>15</v>
      </c>
      <c r="C438" s="2">
        <v>44836.710324074083</v>
      </c>
      <c r="D438">
        <v>8</v>
      </c>
      <c r="E438">
        <v>4</v>
      </c>
      <c r="G438" t="s">
        <v>489</v>
      </c>
      <c r="L438">
        <v>0</v>
      </c>
      <c r="M438">
        <v>0</v>
      </c>
      <c r="N438">
        <v>1</v>
      </c>
      <c r="O438">
        <v>0</v>
      </c>
    </row>
    <row r="439" spans="1:15" x14ac:dyDescent="0.2">
      <c r="A439" s="1" t="str">
        <f>HYPERLINK("http://www.twitter.com/banuakdenizli/status/1576528893804105728", "1576528893804105728")</f>
        <v>1576528893804105728</v>
      </c>
      <c r="B439" t="s">
        <v>15</v>
      </c>
      <c r="C439" s="2">
        <v>44836.462418981479</v>
      </c>
      <c r="D439">
        <v>2</v>
      </c>
      <c r="E439">
        <v>1</v>
      </c>
      <c r="G439" t="s">
        <v>490</v>
      </c>
      <c r="H439" t="str">
        <f>HYPERLINK("http://pbs.twimg.com/media/FeDz9BwXEAA64Oh.jpg", "http://pbs.twimg.com/media/FeDz9BwXEAA64Oh.jpg")</f>
        <v>http://pbs.twimg.com/media/FeDz9BwXEAA64Oh.jpg</v>
      </c>
      <c r="L439">
        <v>0</v>
      </c>
      <c r="M439">
        <v>0</v>
      </c>
      <c r="N439">
        <v>1</v>
      </c>
      <c r="O439">
        <v>0</v>
      </c>
    </row>
    <row r="440" spans="1:15" x14ac:dyDescent="0.2">
      <c r="A440" s="1" t="str">
        <f>HYPERLINK("http://www.twitter.com/banuakdenizli/status/1576389808338837504", "1576389808338837504")</f>
        <v>1576389808338837504</v>
      </c>
      <c r="B440" t="s">
        <v>15</v>
      </c>
      <c r="C440" s="2">
        <v>44836.078611111108</v>
      </c>
      <c r="D440">
        <v>0</v>
      </c>
      <c r="E440">
        <v>17</v>
      </c>
      <c r="F440" t="s">
        <v>18</v>
      </c>
      <c r="G440" t="s">
        <v>491</v>
      </c>
      <c r="H440" t="str">
        <f>HYPERLINK("http://pbs.twimg.com/media/FeAvtR5UYAEH0Wy.jpg", "http://pbs.twimg.com/media/FeAvtR5UYAEH0Wy.jpg")</f>
        <v>http://pbs.twimg.com/media/FeAvtR5UYAEH0Wy.jpg</v>
      </c>
      <c r="I440" t="str">
        <f>HYPERLINK("http://pbs.twimg.com/media/FeAvwynVQAEiaVs.jpg", "http://pbs.twimg.com/media/FeAvwynVQAEiaVs.jpg")</f>
        <v>http://pbs.twimg.com/media/FeAvwynVQAEiaVs.jpg</v>
      </c>
      <c r="J440" t="str">
        <f>HYPERLINK("http://pbs.twimg.com/media/FeAvxA8VsAEF55i.jpg", "http://pbs.twimg.com/media/FeAvxA8VsAEF55i.jpg")</f>
        <v>http://pbs.twimg.com/media/FeAvxA8VsAEF55i.jpg</v>
      </c>
      <c r="L440">
        <v>0</v>
      </c>
      <c r="M440">
        <v>0</v>
      </c>
      <c r="N440">
        <v>1</v>
      </c>
      <c r="O440">
        <v>0</v>
      </c>
    </row>
    <row r="441" spans="1:15" x14ac:dyDescent="0.2">
      <c r="A441" s="1" t="str">
        <f>HYPERLINK("http://www.twitter.com/banuakdenizli/status/1576276962628116481", "1576276962628116481")</f>
        <v>1576276962628116481</v>
      </c>
      <c r="B441" t="s">
        <v>15</v>
      </c>
      <c r="C441" s="2">
        <v>44835.767222222217</v>
      </c>
      <c r="D441">
        <v>24</v>
      </c>
      <c r="E441">
        <v>8</v>
      </c>
      <c r="G441" t="s">
        <v>492</v>
      </c>
      <c r="H441" t="str">
        <f>HYPERLINK("http://pbs.twimg.com/media/FeAOUFgXgAIB5Fj.jpg", "http://pbs.twimg.com/media/FeAOUFgXgAIB5Fj.jpg")</f>
        <v>http://pbs.twimg.com/media/FeAOUFgXgAIB5Fj.jpg</v>
      </c>
      <c r="L441">
        <v>0</v>
      </c>
      <c r="M441">
        <v>0</v>
      </c>
      <c r="N441">
        <v>1</v>
      </c>
      <c r="O441">
        <v>0</v>
      </c>
    </row>
    <row r="442" spans="1:15" x14ac:dyDescent="0.2">
      <c r="A442" s="1" t="str">
        <f>HYPERLINK("http://www.twitter.com/banuakdenizli/status/1576251798062436352", "1576251798062436352")</f>
        <v>1576251798062436352</v>
      </c>
      <c r="B442" t="s">
        <v>15</v>
      </c>
      <c r="C442" s="2">
        <v>44835.697777777779</v>
      </c>
      <c r="D442">
        <v>0</v>
      </c>
      <c r="E442">
        <v>235</v>
      </c>
      <c r="F442" t="s">
        <v>170</v>
      </c>
      <c r="G442" t="s">
        <v>493</v>
      </c>
      <c r="H442" t="str">
        <f>HYPERLINK("http://pbs.twimg.com/media/Fd-tgzOXEAANDEV.jpg", "http://pbs.twimg.com/media/Fd-tgzOXEAANDEV.jpg")</f>
        <v>http://pbs.twimg.com/media/Fd-tgzOXEAANDEV.jpg</v>
      </c>
      <c r="I442" t="str">
        <f>HYPERLINK("http://pbs.twimg.com/media/Fd-tjWUXkAArhid.jpg", "http://pbs.twimg.com/media/Fd-tjWUXkAArhid.jpg")</f>
        <v>http://pbs.twimg.com/media/Fd-tjWUXkAArhid.jpg</v>
      </c>
      <c r="J442" t="str">
        <f>HYPERLINK("http://pbs.twimg.com/media/Fd-tpBQWQAEpj5j.jpg", "http://pbs.twimg.com/media/Fd-tpBQWQAEpj5j.jpg")</f>
        <v>http://pbs.twimg.com/media/Fd-tpBQWQAEpj5j.jpg</v>
      </c>
      <c r="K442" t="str">
        <f>HYPERLINK("http://pbs.twimg.com/media/Fd-tl_AWQAITAil.jpg", "http://pbs.twimg.com/media/Fd-tl_AWQAITAil.jpg")</f>
        <v>http://pbs.twimg.com/media/Fd-tl_AWQAITAil.jpg</v>
      </c>
      <c r="L442">
        <v>0</v>
      </c>
      <c r="M442">
        <v>0</v>
      </c>
      <c r="N442">
        <v>1</v>
      </c>
      <c r="O442">
        <v>0</v>
      </c>
    </row>
    <row r="443" spans="1:15" x14ac:dyDescent="0.2">
      <c r="A443" s="1" t="str">
        <f>HYPERLINK("http://www.twitter.com/banuakdenizli/status/1576236406468272129", "1576236406468272129")</f>
        <v>1576236406468272129</v>
      </c>
      <c r="B443" t="s">
        <v>15</v>
      </c>
      <c r="C443" s="2">
        <v>44835.655312499999</v>
      </c>
      <c r="D443">
        <v>0</v>
      </c>
      <c r="E443">
        <v>42</v>
      </c>
      <c r="F443" t="s">
        <v>494</v>
      </c>
      <c r="G443" t="s">
        <v>495</v>
      </c>
      <c r="H443" t="str">
        <f>HYPERLINK("http://pbs.twimg.com/media/Fd_guRFWIAErdDE.jpg", "http://pbs.twimg.com/media/Fd_guRFWIAErdDE.jpg")</f>
        <v>http://pbs.twimg.com/media/Fd_guRFWIAErdDE.jpg</v>
      </c>
      <c r="L443">
        <v>0</v>
      </c>
      <c r="M443">
        <v>0</v>
      </c>
      <c r="N443">
        <v>1</v>
      </c>
      <c r="O443">
        <v>0</v>
      </c>
    </row>
    <row r="444" spans="1:15" x14ac:dyDescent="0.2">
      <c r="A444" s="1" t="str">
        <f>HYPERLINK("http://www.twitter.com/banuakdenizli/status/1576204633449512960", "1576204633449512960")</f>
        <v>1576204633449512960</v>
      </c>
      <c r="B444" t="s">
        <v>15</v>
      </c>
      <c r="C444" s="2">
        <v>44835.567627314813</v>
      </c>
      <c r="D444">
        <v>0</v>
      </c>
      <c r="E444">
        <v>50</v>
      </c>
      <c r="F444" t="s">
        <v>17</v>
      </c>
      <c r="G444" t="s">
        <v>496</v>
      </c>
      <c r="H444" t="str">
        <f>HYPERLINK("https://video.twimg.com/ext_tw_video/1576050866477490178/pu/vid/1280x720/mUc2xMa6JGyOXnCP.mp4?tag=12", "https://video.twimg.com/ext_tw_video/1576050866477490178/pu/vid/1280x720/mUc2xMa6JGyOXnCP.mp4?tag=12")</f>
        <v>https://video.twimg.com/ext_tw_video/1576050866477490178/pu/vid/1280x720/mUc2xMa6JGyOXnCP.mp4?tag=12</v>
      </c>
      <c r="L444">
        <v>0</v>
      </c>
      <c r="M444">
        <v>0</v>
      </c>
      <c r="N444">
        <v>1</v>
      </c>
      <c r="O444">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2023-04-03T11:55:52Z</dcterms:modified>
</cp:coreProperties>
</file>