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imitshah/Downloads/"/>
    </mc:Choice>
  </mc:AlternateContent>
  <xr:revisionPtr revIDLastSave="0" documentId="13_ncr:1_{611597E0-37C0-2644-975B-ECD24417106A}" xr6:coauthVersionLast="46" xr6:coauthVersionMax="46" xr10:uidLastSave="{00000000-0000-0000-0000-000000000000}"/>
  <bookViews>
    <workbookView xWindow="-51200" yWindow="2640" windowWidth="51200" windowHeight="19960" activeTab="7" xr2:uid="{00000000-000D-0000-FFFF-FFFF00000000}"/>
  </bookViews>
  <sheets>
    <sheet name="Year 2021" sheetId="1" r:id="rId1"/>
    <sheet name="Year 2022" sheetId="2" r:id="rId2"/>
    <sheet name="Year 2023" sheetId="3" r:id="rId3"/>
    <sheet name="Year 2024" sheetId="4" r:id="rId4"/>
    <sheet name="Year 2025" sheetId="5" r:id="rId5"/>
    <sheet name="Assumptions" sheetId="6" r:id="rId6"/>
    <sheet name="Statements" sheetId="7" r:id="rId7"/>
    <sheet name="Financial Analysi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4eBg4yjBxwgw+HObbtaJSkvOxfw=="/>
    </ext>
  </extLst>
</workbook>
</file>

<file path=xl/calcChain.xml><?xml version="1.0" encoding="utf-8"?>
<calcChain xmlns="http://schemas.openxmlformats.org/spreadsheetml/2006/main">
  <c r="B22" i="8" l="1"/>
  <c r="B21" i="8" s="1"/>
  <c r="B23" i="8" s="1"/>
  <c r="F16" i="8"/>
  <c r="B11" i="8"/>
  <c r="F9" i="8"/>
  <c r="H6" i="8"/>
  <c r="H9" i="8" s="1"/>
  <c r="F6" i="8"/>
  <c r="I5" i="8"/>
  <c r="H5" i="8"/>
  <c r="G5" i="8"/>
  <c r="F5" i="8"/>
  <c r="H4" i="8"/>
  <c r="H16" i="8" s="1"/>
  <c r="F4" i="8"/>
  <c r="F7" i="8" s="1"/>
  <c r="F8" i="8" s="1"/>
  <c r="E4" i="8"/>
  <c r="E7" i="8" s="1"/>
  <c r="I3" i="8"/>
  <c r="H3" i="8"/>
  <c r="G3" i="8"/>
  <c r="F3" i="8"/>
  <c r="E3" i="8"/>
  <c r="D13" i="5"/>
  <c r="C13" i="5"/>
  <c r="I12" i="5"/>
  <c r="J12" i="5" s="1"/>
  <c r="H12" i="5"/>
  <c r="I11" i="5"/>
  <c r="H11" i="5"/>
  <c r="F10" i="7" s="1"/>
  <c r="N8" i="7" s="1"/>
  <c r="I10" i="5"/>
  <c r="H10" i="5"/>
  <c r="J10" i="5" s="1"/>
  <c r="F9" i="7" s="1"/>
  <c r="N6" i="7" s="1"/>
  <c r="I9" i="5"/>
  <c r="H9" i="5"/>
  <c r="J9" i="5" s="1"/>
  <c r="F8" i="7" s="1"/>
  <c r="N4" i="7" s="1"/>
  <c r="I8" i="5"/>
  <c r="J8" i="5" s="1"/>
  <c r="F7" i="7" s="1"/>
  <c r="N3" i="7" s="1"/>
  <c r="H8" i="5"/>
  <c r="I7" i="5"/>
  <c r="J7" i="5" s="1"/>
  <c r="F6" i="7" s="1"/>
  <c r="H7" i="5"/>
  <c r="I6" i="5"/>
  <c r="J6" i="5" s="1"/>
  <c r="H6" i="5"/>
  <c r="J5" i="5"/>
  <c r="F5" i="7" s="1"/>
  <c r="I5" i="5"/>
  <c r="H5" i="5"/>
  <c r="I4" i="5"/>
  <c r="H4" i="5"/>
  <c r="J4" i="5" s="1"/>
  <c r="F4" i="7" s="1"/>
  <c r="I3" i="5"/>
  <c r="I13" i="5" s="1"/>
  <c r="H3" i="5"/>
  <c r="H13" i="5" s="1"/>
  <c r="D13" i="4"/>
  <c r="C13" i="4"/>
  <c r="I11" i="4"/>
  <c r="H11" i="4"/>
  <c r="E10" i="7" s="1"/>
  <c r="M8" i="7" s="1"/>
  <c r="I10" i="4"/>
  <c r="H10" i="4"/>
  <c r="J10" i="4" s="1"/>
  <c r="E9" i="7" s="1"/>
  <c r="M6" i="7" s="1"/>
  <c r="I9" i="4"/>
  <c r="J9" i="4" s="1"/>
  <c r="E8" i="7" s="1"/>
  <c r="M4" i="7" s="1"/>
  <c r="H9" i="4"/>
  <c r="J8" i="4"/>
  <c r="E7" i="7" s="1"/>
  <c r="M3" i="7" s="1"/>
  <c r="I8" i="4"/>
  <c r="H8" i="4"/>
  <c r="I7" i="4"/>
  <c r="J7" i="4" s="1"/>
  <c r="E6" i="7" s="1"/>
  <c r="H7" i="4"/>
  <c r="J6" i="4"/>
  <c r="I6" i="4"/>
  <c r="H6" i="4"/>
  <c r="J5" i="4"/>
  <c r="E5" i="7" s="1"/>
  <c r="I5" i="4"/>
  <c r="H5" i="4"/>
  <c r="I4" i="4"/>
  <c r="I12" i="4" s="1"/>
  <c r="H4" i="4"/>
  <c r="J4" i="4" s="1"/>
  <c r="E4" i="7" s="1"/>
  <c r="I3" i="4"/>
  <c r="H3" i="4"/>
  <c r="J3" i="4" s="1"/>
  <c r="D13" i="3"/>
  <c r="C13" i="3"/>
  <c r="I11" i="3"/>
  <c r="H11" i="3"/>
  <c r="D10" i="7" s="1"/>
  <c r="L8" i="7" s="1"/>
  <c r="I10" i="3"/>
  <c r="H10" i="3"/>
  <c r="J10" i="3" s="1"/>
  <c r="D9" i="7" s="1"/>
  <c r="L6" i="7" s="1"/>
  <c r="I9" i="3"/>
  <c r="J9" i="3" s="1"/>
  <c r="D8" i="7" s="1"/>
  <c r="L4" i="7" s="1"/>
  <c r="H9" i="3"/>
  <c r="J8" i="3"/>
  <c r="D7" i="7" s="1"/>
  <c r="L3" i="7" s="1"/>
  <c r="L5" i="7" s="1"/>
  <c r="L7" i="7" s="1"/>
  <c r="I8" i="3"/>
  <c r="H8" i="3"/>
  <c r="I7" i="3"/>
  <c r="J7" i="3" s="1"/>
  <c r="D6" i="7" s="1"/>
  <c r="H7" i="3"/>
  <c r="J6" i="3"/>
  <c r="I6" i="3"/>
  <c r="H6" i="3"/>
  <c r="J5" i="3"/>
  <c r="D5" i="7" s="1"/>
  <c r="I5" i="3"/>
  <c r="H5" i="3"/>
  <c r="I4" i="3"/>
  <c r="I12" i="3" s="1"/>
  <c r="H4" i="3"/>
  <c r="H12" i="3" s="1"/>
  <c r="I3" i="3"/>
  <c r="H3" i="3"/>
  <c r="J3" i="3" s="1"/>
  <c r="D15" i="2"/>
  <c r="C15" i="2"/>
  <c r="I12" i="2"/>
  <c r="J12" i="2" s="1"/>
  <c r="H12" i="2"/>
  <c r="I11" i="2"/>
  <c r="H11" i="2"/>
  <c r="J11" i="2" s="1"/>
  <c r="I10" i="2"/>
  <c r="J10" i="2" s="1"/>
  <c r="C9" i="7" s="1"/>
  <c r="K6" i="7" s="1"/>
  <c r="H10" i="2"/>
  <c r="I9" i="2"/>
  <c r="H9" i="2"/>
  <c r="J9" i="2" s="1"/>
  <c r="C8" i="7" s="1"/>
  <c r="K4" i="7" s="1"/>
  <c r="I8" i="2"/>
  <c r="J8" i="2" s="1"/>
  <c r="C7" i="7" s="1"/>
  <c r="K3" i="7" s="1"/>
  <c r="H8" i="2"/>
  <c r="J7" i="2"/>
  <c r="C6" i="7" s="1"/>
  <c r="I7" i="2"/>
  <c r="H7" i="2"/>
  <c r="I6" i="2"/>
  <c r="J6" i="2" s="1"/>
  <c r="H6" i="2"/>
  <c r="I5" i="2"/>
  <c r="H5" i="2"/>
  <c r="J5" i="2" s="1"/>
  <c r="C5" i="7" s="1"/>
  <c r="I4" i="2"/>
  <c r="H4" i="2"/>
  <c r="J4" i="2" s="1"/>
  <c r="C4" i="7" s="1"/>
  <c r="I3" i="2"/>
  <c r="I13" i="2" s="1"/>
  <c r="H3" i="2"/>
  <c r="J3" i="2" s="1"/>
  <c r="D17" i="1"/>
  <c r="C17" i="1"/>
  <c r="I12" i="1"/>
  <c r="J12" i="1" s="1"/>
  <c r="H12" i="1"/>
  <c r="I11" i="1"/>
  <c r="J11" i="1" s="1"/>
  <c r="H11" i="1"/>
  <c r="B10" i="7" s="1"/>
  <c r="J8" i="7" s="1"/>
  <c r="J10" i="1"/>
  <c r="B9" i="7" s="1"/>
  <c r="J6" i="7" s="1"/>
  <c r="I10" i="1"/>
  <c r="H10" i="1"/>
  <c r="I9" i="1"/>
  <c r="H9" i="1"/>
  <c r="J9" i="1" s="1"/>
  <c r="B8" i="7" s="1"/>
  <c r="J4" i="7" s="1"/>
  <c r="J8" i="1"/>
  <c r="B7" i="7" s="1"/>
  <c r="J3" i="7" s="1"/>
  <c r="I8" i="1"/>
  <c r="H8" i="1"/>
  <c r="I7" i="1"/>
  <c r="J7" i="1" s="1"/>
  <c r="B6" i="7" s="1"/>
  <c r="B23" i="7" s="1"/>
  <c r="H7" i="1"/>
  <c r="I6" i="1"/>
  <c r="J6" i="1" s="1"/>
  <c r="H6" i="1"/>
  <c r="I5" i="1"/>
  <c r="J5" i="1" s="1"/>
  <c r="B5" i="7" s="1"/>
  <c r="B19" i="7" s="1"/>
  <c r="H5" i="1"/>
  <c r="I4" i="1"/>
  <c r="H4" i="1"/>
  <c r="J4" i="1" s="1"/>
  <c r="B4" i="7" s="1"/>
  <c r="I3" i="1"/>
  <c r="J3" i="1" s="1"/>
  <c r="H3" i="1"/>
  <c r="H13" i="1" s="1"/>
  <c r="H7" i="8" l="1"/>
  <c r="H8" i="8" s="1"/>
  <c r="H10" i="8" s="1"/>
  <c r="H11" i="8" s="1"/>
  <c r="H13" i="8" s="1"/>
  <c r="H20" i="8" s="1"/>
  <c r="D3" i="7"/>
  <c r="C23" i="7"/>
  <c r="J23" i="7"/>
  <c r="J24" i="7" s="1"/>
  <c r="C3" i="7"/>
  <c r="J13" i="2"/>
  <c r="N5" i="7"/>
  <c r="N7" i="7" s="1"/>
  <c r="N9" i="7" s="1"/>
  <c r="N10" i="7" s="1"/>
  <c r="N17" i="7" s="1"/>
  <c r="N18" i="7" s="1"/>
  <c r="F10" i="8"/>
  <c r="F11" i="8" s="1"/>
  <c r="F13" i="8" s="1"/>
  <c r="F20" i="8" s="1"/>
  <c r="J5" i="7"/>
  <c r="J7" i="7" s="1"/>
  <c r="J9" i="7" s="1"/>
  <c r="K5" i="7"/>
  <c r="K7" i="7" s="1"/>
  <c r="K9" i="7" s="1"/>
  <c r="K10" i="7" s="1"/>
  <c r="K17" i="7" s="1"/>
  <c r="K18" i="7" s="1"/>
  <c r="M5" i="7"/>
  <c r="M7" i="7" s="1"/>
  <c r="M9" i="7" s="1"/>
  <c r="M10" i="7" s="1"/>
  <c r="M17" i="7" s="1"/>
  <c r="M18" i="7" s="1"/>
  <c r="E8" i="8"/>
  <c r="L9" i="7"/>
  <c r="L10" i="7" s="1"/>
  <c r="L17" i="7" s="1"/>
  <c r="L18" i="7" s="1"/>
  <c r="B3" i="7"/>
  <c r="B18" i="7" s="1"/>
  <c r="J13" i="1"/>
  <c r="J20" i="7"/>
  <c r="J21" i="7" s="1"/>
  <c r="C19" i="7"/>
  <c r="E3" i="7"/>
  <c r="E9" i="8"/>
  <c r="H13" i="2"/>
  <c r="H12" i="4"/>
  <c r="J4" i="3"/>
  <c r="D4" i="7" s="1"/>
  <c r="I13" i="1"/>
  <c r="J11" i="3"/>
  <c r="J11" i="4"/>
  <c r="J12" i="4" s="1"/>
  <c r="J3" i="5"/>
  <c r="J11" i="5"/>
  <c r="C10" i="7"/>
  <c r="K8" i="7" s="1"/>
  <c r="G4" i="8"/>
  <c r="G6" i="8"/>
  <c r="I4" i="8"/>
  <c r="I6" i="8"/>
  <c r="I9" i="8" s="1"/>
  <c r="G9" i="8" l="1"/>
  <c r="D23" i="7"/>
  <c r="K23" i="7"/>
  <c r="K24" i="7" s="1"/>
  <c r="K20" i="7"/>
  <c r="K21" i="7" s="1"/>
  <c r="K26" i="7" s="1"/>
  <c r="K28" i="7" s="1"/>
  <c r="L27" i="7" s="1"/>
  <c r="D19" i="7"/>
  <c r="G16" i="8"/>
  <c r="G7" i="8"/>
  <c r="G8" i="8" s="1"/>
  <c r="I16" i="8"/>
  <c r="I7" i="8"/>
  <c r="I8" i="8" s="1"/>
  <c r="B24" i="7"/>
  <c r="J10" i="7"/>
  <c r="J17" i="7" s="1"/>
  <c r="J18" i="7" s="1"/>
  <c r="J26" i="7" s="1"/>
  <c r="J28" i="7" s="1"/>
  <c r="K27" i="7" s="1"/>
  <c r="B20" i="7"/>
  <c r="C18" i="7"/>
  <c r="F3" i="7"/>
  <c r="J13" i="5"/>
  <c r="E11" i="8"/>
  <c r="E13" i="8" s="1"/>
  <c r="E20" i="8" s="1"/>
  <c r="J12" i="3"/>
  <c r="C24" i="7" l="1"/>
  <c r="B25" i="7"/>
  <c r="C20" i="7"/>
  <c r="D18" i="7"/>
  <c r="L20" i="7"/>
  <c r="L21" i="7" s="1"/>
  <c r="L26" i="7" s="1"/>
  <c r="L28" i="7" s="1"/>
  <c r="M27" i="7" s="1"/>
  <c r="E19" i="7"/>
  <c r="I10" i="8"/>
  <c r="I11" i="8" s="1"/>
  <c r="I13" i="8" s="1"/>
  <c r="I20" i="8" s="1"/>
  <c r="G10" i="8"/>
  <c r="G11" i="8" s="1"/>
  <c r="G13" i="8" s="1"/>
  <c r="G20" i="8" s="1"/>
  <c r="L23" i="7"/>
  <c r="L24" i="7" s="1"/>
  <c r="E23" i="7"/>
  <c r="M23" i="7" l="1"/>
  <c r="M24" i="7" s="1"/>
  <c r="F23" i="7"/>
  <c r="M20" i="7"/>
  <c r="M21" i="7" s="1"/>
  <c r="M26" i="7" s="1"/>
  <c r="M28" i="7" s="1"/>
  <c r="N27" i="7" s="1"/>
  <c r="F19" i="7"/>
  <c r="N20" i="7" s="1"/>
  <c r="N21" i="7" s="1"/>
  <c r="E18" i="7"/>
  <c r="D20" i="7"/>
  <c r="D24" i="7"/>
  <c r="C25" i="7"/>
  <c r="E24" i="7" l="1"/>
  <c r="D25" i="7"/>
  <c r="F18" i="7"/>
  <c r="F20" i="7" s="1"/>
  <c r="E20" i="7"/>
  <c r="N23" i="7"/>
  <c r="N24" i="7" s="1"/>
  <c r="N26" i="7" s="1"/>
  <c r="N28" i="7" s="1"/>
  <c r="F24" i="7" l="1"/>
  <c r="F25" i="7" s="1"/>
  <c r="E25" i="7"/>
</calcChain>
</file>

<file path=xl/sharedStrings.xml><?xml version="1.0" encoding="utf-8"?>
<sst xmlns="http://schemas.openxmlformats.org/spreadsheetml/2006/main" count="330" uniqueCount="102">
  <si>
    <t>Journal</t>
  </si>
  <si>
    <t>Ledger</t>
  </si>
  <si>
    <t>Debited Account</t>
  </si>
  <si>
    <t>Credited Account</t>
  </si>
  <si>
    <t>Debit</t>
  </si>
  <si>
    <t>Credit</t>
  </si>
  <si>
    <t>Account</t>
  </si>
  <si>
    <t>Usual Balance</t>
  </si>
  <si>
    <t>Total Debits</t>
  </si>
  <si>
    <t>Total Credits</t>
  </si>
  <si>
    <t>Change from Previous Year</t>
  </si>
  <si>
    <t>Cash</t>
  </si>
  <si>
    <t>Paid-in Capital</t>
  </si>
  <si>
    <t>Inventory</t>
  </si>
  <si>
    <t>Operating Expenses</t>
  </si>
  <si>
    <t>Intangible Assets (IP)</t>
  </si>
  <si>
    <t>Accounts Payable</t>
  </si>
  <si>
    <t>Revenue</t>
  </si>
  <si>
    <t>COGS</t>
  </si>
  <si>
    <t>Taxes</t>
  </si>
  <si>
    <t>Total</t>
  </si>
  <si>
    <t>ASSUMPTIONS</t>
  </si>
  <si>
    <t>1. Production is done (Just-In-Time ) by a 3rd party Manufacturer and shipped directly to Customer (Drop-shipping)</t>
  </si>
  <si>
    <t>2. Because of Assumption 1 above there is no Asset  and Depreciation in the Financial Statements (F/S)</t>
  </si>
  <si>
    <t>3. Because of Assumption 1 , we also have a zero inventory in the F/S</t>
  </si>
  <si>
    <t>4. intellectual property refer to Cost spent to secure patent for the Product</t>
  </si>
  <si>
    <t>5. Projected Revenue for successisve years include new customers and existing ones since the bulbs needs replacement after One year</t>
  </si>
  <si>
    <t>6. Year 1 Revenue is mainly product samples but we expect customers to pay for them as a  proof of concept (POC) to us.</t>
  </si>
  <si>
    <t>7. Taxes are paid in the year incurred</t>
  </si>
  <si>
    <t>Yearly Ledger Changes</t>
  </si>
  <si>
    <t>Income Statement</t>
  </si>
  <si>
    <t>Year 2021</t>
  </si>
  <si>
    <t>Year 2022</t>
  </si>
  <si>
    <t>Year 2023</t>
  </si>
  <si>
    <t>Year 2024</t>
  </si>
  <si>
    <t>Year 2025</t>
  </si>
  <si>
    <t>Gross Profit</t>
  </si>
  <si>
    <t>EBITDA</t>
  </si>
  <si>
    <t xml:space="preserve">EBIDA </t>
  </si>
  <si>
    <t>Net Income</t>
  </si>
  <si>
    <t>Balance Sheet</t>
  </si>
  <si>
    <t>Cash Flow Statement</t>
  </si>
  <si>
    <t>Assets</t>
  </si>
  <si>
    <t>Total Operating Cash flows</t>
  </si>
  <si>
    <t>Total Assets</t>
  </si>
  <si>
    <t>Intellectual Property Expense</t>
  </si>
  <si>
    <t>Total Investing Cash Flows</t>
  </si>
  <si>
    <t>Liabilities &amp; Equity</t>
  </si>
  <si>
    <t>Paid-in-capital</t>
  </si>
  <si>
    <t>Increase in Paid-in capital</t>
  </si>
  <si>
    <t>Retained Earnings</t>
  </si>
  <si>
    <t>Total Financing Cash Flows</t>
  </si>
  <si>
    <t>Total Liabilities &amp; Equity</t>
  </si>
  <si>
    <t>Total Cash Flows</t>
  </si>
  <si>
    <t>Beginning Cash</t>
  </si>
  <si>
    <t>Ending Cash</t>
  </si>
  <si>
    <t>LIFELIGHT FINANCIAL ANALYSIS</t>
  </si>
  <si>
    <t>Year</t>
  </si>
  <si>
    <t>Units Sold</t>
  </si>
  <si>
    <t>Price per unit</t>
  </si>
  <si>
    <t>Annual price increase</t>
  </si>
  <si>
    <t>R&amp;D</t>
  </si>
  <si>
    <t>Overhead</t>
  </si>
  <si>
    <t>Non-Recurring Engineering Costs</t>
  </si>
  <si>
    <t>S&amp;M</t>
  </si>
  <si>
    <t>Tax</t>
  </si>
  <si>
    <t>Total Costs</t>
  </si>
  <si>
    <t>Property tax</t>
  </si>
  <si>
    <t>Operating Income</t>
  </si>
  <si>
    <t>State tax</t>
  </si>
  <si>
    <t>Federal tax</t>
  </si>
  <si>
    <t>State &amp; Federal Taxes</t>
  </si>
  <si>
    <t>Effective tax rate</t>
  </si>
  <si>
    <t>Operating Income After Tax</t>
  </si>
  <si>
    <t>Labor</t>
  </si>
  <si>
    <t>S&amp;M (% of sales)</t>
  </si>
  <si>
    <t>After Tax Operating Cash Flows</t>
  </si>
  <si>
    <t>Overhead (% of sales)</t>
  </si>
  <si>
    <t>COGS (% of sales)</t>
  </si>
  <si>
    <t>Non-Recurring Engineering Cost</t>
  </si>
  <si>
    <t>Working capital Reserved (% of current year's COGS)</t>
  </si>
  <si>
    <t>Working Capital Reserved</t>
  </si>
  <si>
    <t>Cost of Capital</t>
  </si>
  <si>
    <t>Working Capital Returned</t>
  </si>
  <si>
    <t>D/E ratio</t>
  </si>
  <si>
    <t>Interest rate</t>
  </si>
  <si>
    <t>Return on equity</t>
  </si>
  <si>
    <t>Total After Tax Cash Flows</t>
  </si>
  <si>
    <t>% Equity</t>
  </si>
  <si>
    <t>% Debt</t>
  </si>
  <si>
    <t>WACC</t>
  </si>
  <si>
    <t>Required Return</t>
  </si>
  <si>
    <t>Year 0</t>
  </si>
  <si>
    <t>Year 1</t>
  </si>
  <si>
    <t>Year 2</t>
  </si>
  <si>
    <t>Year 3</t>
  </si>
  <si>
    <t>Year 4</t>
  </si>
  <si>
    <t>Year 5</t>
  </si>
  <si>
    <t>Initial Investment PIC</t>
  </si>
  <si>
    <t>Net Inflows</t>
  </si>
  <si>
    <t>NPV using excel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</si>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</sst>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_(* #,##0_);_(* \(#,##0\);_(* &quot;-&quot;??_);_(@_)"/>
  </numFmts>
  <fonts count="12" x14ac:knownFonts="1">
    <font>
      <sz val="12"/>
      <color theme="1"/>
      <name val="Arial"/>
    </font>
    <font>
      <b/>
      <sz val="12"/>
      <color theme="0"/>
      <name val="Calibri"/>
    </font>
    <font>
      <sz val="12"/>
      <name val="Arial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0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154397"/>
        <bgColor rgb="FF154397"/>
      </patternFill>
    </fill>
    <fill>
      <patternFill patternType="solid">
        <fgColor rgb="FF9B2934"/>
        <bgColor rgb="FF9B2934"/>
      </patternFill>
    </fill>
    <fill>
      <patternFill patternType="solid">
        <fgColor rgb="FF8A6700"/>
        <bgColor rgb="FF8A67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513286"/>
        <bgColor rgb="FF513286"/>
      </patternFill>
    </fill>
    <fill>
      <patternFill patternType="solid">
        <fgColor rgb="FF036E6F"/>
        <bgColor rgb="FF036E6F"/>
      </patternFill>
    </fill>
    <fill>
      <patternFill patternType="solid">
        <fgColor rgb="FF9650F0"/>
        <bgColor rgb="FF9650F0"/>
      </patternFill>
    </fill>
    <fill>
      <patternFill patternType="solid">
        <fgColor rgb="FF00D1B4"/>
        <bgColor rgb="FF00D1B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3" fillId="0" borderId="0" xfId="0" applyFont="1"/>
    <xf numFmtId="164" fontId="4" fillId="0" borderId="0" xfId="0" applyNumberFormat="1" applyFont="1" applyAlignment="1"/>
    <xf numFmtId="164" fontId="4" fillId="0" borderId="0" xfId="0" applyNumberFormat="1" applyFont="1"/>
    <xf numFmtId="0" fontId="3" fillId="0" borderId="0" xfId="0" applyFont="1" applyAlignment="1"/>
    <xf numFmtId="0" fontId="5" fillId="0" borderId="0" xfId="0" applyFont="1"/>
    <xf numFmtId="164" fontId="6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5" borderId="0" xfId="0" applyFont="1" applyFill="1"/>
    <xf numFmtId="164" fontId="6" fillId="5" borderId="0" xfId="0" applyNumberFormat="1" applyFont="1" applyFill="1"/>
    <xf numFmtId="0" fontId="6" fillId="6" borderId="0" xfId="0" applyFont="1" applyFill="1"/>
    <xf numFmtId="165" fontId="6" fillId="6" borderId="0" xfId="0" applyNumberFormat="1" applyFont="1" applyFill="1"/>
    <xf numFmtId="165" fontId="4" fillId="0" borderId="0" xfId="0" applyNumberFormat="1" applyFont="1"/>
    <xf numFmtId="0" fontId="6" fillId="9" borderId="0" xfId="0" applyFont="1" applyFill="1"/>
    <xf numFmtId="164" fontId="6" fillId="9" borderId="0" xfId="0" applyNumberFormat="1" applyFont="1" applyFill="1"/>
    <xf numFmtId="165" fontId="4" fillId="0" borderId="0" xfId="0" applyNumberFormat="1" applyFont="1"/>
    <xf numFmtId="0" fontId="6" fillId="10" borderId="0" xfId="0" applyFont="1" applyFill="1"/>
    <xf numFmtId="164" fontId="6" fillId="10" borderId="0" xfId="0" applyNumberFormat="1" applyFont="1" applyFill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7" xfId="0" applyFont="1" applyBorder="1" applyAlignment="1"/>
    <xf numFmtId="0" fontId="4" fillId="0" borderId="8" xfId="0" applyFont="1" applyBorder="1" applyAlignment="1"/>
    <xf numFmtId="3" fontId="4" fillId="0" borderId="0" xfId="0" applyNumberFormat="1" applyFont="1" applyAlignment="1">
      <alignment horizontal="right"/>
    </xf>
    <xf numFmtId="0" fontId="4" fillId="0" borderId="9" xfId="0" applyFont="1" applyBorder="1" applyAlignment="1"/>
    <xf numFmtId="164" fontId="4" fillId="0" borderId="10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9" fontId="4" fillId="0" borderId="10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6" fillId="0" borderId="9" xfId="0" applyFont="1" applyBorder="1" applyAlignment="1"/>
    <xf numFmtId="9" fontId="4" fillId="0" borderId="10" xfId="0" applyNumberFormat="1" applyFont="1" applyBorder="1" applyAlignment="1"/>
    <xf numFmtId="164" fontId="4" fillId="0" borderId="0" xfId="0" applyNumberFormat="1" applyFont="1" applyAlignment="1"/>
    <xf numFmtId="0" fontId="6" fillId="0" borderId="0" xfId="0" applyFont="1" applyAlignment="1"/>
    <xf numFmtId="0" fontId="9" fillId="0" borderId="0" xfId="0" applyFont="1" applyAlignment="1"/>
    <xf numFmtId="9" fontId="10" fillId="0" borderId="10" xfId="0" applyNumberFormat="1" applyFont="1" applyBorder="1" applyAlignment="1">
      <alignment horizontal="right"/>
    </xf>
    <xf numFmtId="10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3" fontId="4" fillId="0" borderId="0" xfId="0" applyNumberFormat="1" applyFont="1" applyAlignment="1"/>
    <xf numFmtId="0" fontId="9" fillId="0" borderId="11" xfId="0" applyFont="1" applyBorder="1" applyAlignment="1"/>
    <xf numFmtId="164" fontId="6" fillId="0" borderId="11" xfId="0" applyNumberFormat="1" applyFont="1" applyBorder="1" applyAlignment="1">
      <alignment horizontal="right"/>
    </xf>
    <xf numFmtId="0" fontId="4" fillId="0" borderId="12" xfId="0" applyFont="1" applyBorder="1" applyAlignment="1"/>
    <xf numFmtId="9" fontId="4" fillId="0" borderId="13" xfId="0" applyNumberFormat="1" applyFont="1" applyBorder="1" applyAlignment="1">
      <alignment horizontal="right"/>
    </xf>
    <xf numFmtId="0" fontId="10" fillId="11" borderId="14" xfId="0" applyFont="1" applyFill="1" applyBorder="1" applyAlignment="1"/>
    <xf numFmtId="9" fontId="10" fillId="11" borderId="15" xfId="0" applyNumberFormat="1" applyFont="1" applyFill="1" applyBorder="1" applyAlignment="1">
      <alignment horizontal="right"/>
    </xf>
    <xf numFmtId="0" fontId="10" fillId="11" borderId="15" xfId="0" applyFont="1" applyFill="1" applyBorder="1" applyAlignment="1"/>
    <xf numFmtId="0" fontId="10" fillId="11" borderId="16" xfId="0" applyFont="1" applyFill="1" applyBorder="1" applyAlignment="1"/>
    <xf numFmtId="0" fontId="10" fillId="11" borderId="17" xfId="0" applyFont="1" applyFill="1" applyBorder="1" applyAlignment="1"/>
    <xf numFmtId="0" fontId="9" fillId="11" borderId="18" xfId="0" applyFont="1" applyFill="1" applyBorder="1" applyAlignment="1">
      <alignment horizontal="center"/>
    </xf>
    <xf numFmtId="0" fontId="10" fillId="11" borderId="19" xfId="0" applyFont="1" applyFill="1" applyBorder="1" applyAlignment="1"/>
    <xf numFmtId="0" fontId="10" fillId="11" borderId="17" xfId="0" applyFont="1" applyFill="1" applyBorder="1" applyAlignment="1"/>
    <xf numFmtId="164" fontId="10" fillId="11" borderId="0" xfId="0" applyNumberFormat="1" applyFont="1" applyFill="1" applyAlignment="1"/>
    <xf numFmtId="164" fontId="10" fillId="11" borderId="0" xfId="0" applyNumberFormat="1" applyFont="1" applyFill="1" applyAlignment="1"/>
    <xf numFmtId="164" fontId="10" fillId="11" borderId="20" xfId="0" applyNumberFormat="1" applyFont="1" applyFill="1" applyBorder="1" applyAlignment="1"/>
    <xf numFmtId="3" fontId="10" fillId="11" borderId="0" xfId="0" applyNumberFormat="1" applyFont="1" applyFill="1" applyAlignment="1"/>
    <xf numFmtId="164" fontId="11" fillId="11" borderId="0" xfId="0" applyNumberFormat="1" applyFont="1" applyFill="1" applyAlignment="1">
      <alignment horizontal="right"/>
    </xf>
    <xf numFmtId="164" fontId="10" fillId="11" borderId="0" xfId="0" applyNumberFormat="1" applyFont="1" applyFill="1" applyAlignment="1">
      <alignment horizontal="right"/>
    </xf>
    <xf numFmtId="164" fontId="9" fillId="11" borderId="21" xfId="0" applyNumberFormat="1" applyFont="1" applyFill="1" applyBorder="1" applyAlignment="1">
      <alignment horizontal="right"/>
    </xf>
    <xf numFmtId="0" fontId="10" fillId="11" borderId="22" xfId="0" applyFont="1" applyFill="1" applyBorder="1" applyAlignment="1"/>
    <xf numFmtId="0" fontId="10" fillId="11" borderId="18" xfId="0" applyFont="1" applyFill="1" applyBorder="1" applyAlignment="1"/>
    <xf numFmtId="9" fontId="10" fillId="11" borderId="18" xfId="0" applyNumberFormat="1" applyFont="1" applyFill="1" applyBorder="1" applyAlignment="1">
      <alignment horizontal="right"/>
    </xf>
    <xf numFmtId="0" fontId="10" fillId="11" borderId="23" xfId="0" applyFont="1" applyFill="1" applyBorder="1" applyAlignment="1"/>
    <xf numFmtId="0" fontId="1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7" fillId="7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8" xfId="0" applyFont="1" applyBorder="1"/>
  </cellXfs>
  <cellStyles count="1">
    <cellStyle name="Normal" xfId="0" builtinId="0"/>
  </cellStyles>
  <dxfs count="5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BA7"/>
          <bgColor rgb="FFFFEBA7"/>
        </patternFill>
      </fill>
    </dxf>
    <dxf>
      <fill>
        <patternFill patternType="solid">
          <fgColor rgb="FFFFD546"/>
          <bgColor rgb="FFFFD546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4CC"/>
          <bgColor rgb="FFFFC4CC"/>
        </patternFill>
      </fill>
    </dxf>
    <dxf>
      <fill>
        <patternFill patternType="solid">
          <fgColor rgb="FFFF8795"/>
          <bgColor rgb="FFFF8795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B3F1E7"/>
          <bgColor rgb="FFB3F1E7"/>
        </patternFill>
      </fill>
    </dxf>
    <dxf>
      <fill>
        <patternFill patternType="solid">
          <fgColor rgb="FF61E0CE"/>
          <bgColor rgb="FF61E0CE"/>
        </patternFill>
      </fill>
    </dxf>
    <dxf>
      <fill>
        <patternFill patternType="solid">
          <fgColor rgb="FF00D1B4"/>
          <bgColor rgb="FF00D1B4"/>
        </patternFill>
      </fill>
    </dxf>
    <dxf>
      <fill>
        <patternFill patternType="solid">
          <fgColor rgb="FF9650F0"/>
          <bgColor rgb="FF9650F0"/>
        </patternFill>
      </fill>
    </dxf>
    <dxf>
      <fill>
        <patternFill patternType="solid">
          <fgColor rgb="FFDDC7FB"/>
          <bgColor rgb="FFDDC7FB"/>
        </patternFill>
      </fill>
    </dxf>
    <dxf>
      <fill>
        <patternFill patternType="solid">
          <fgColor rgb="FFB98BF5"/>
          <bgColor rgb="FFB98BF5"/>
        </patternFill>
      </fill>
    </dxf>
    <dxf>
      <fill>
        <patternFill patternType="solid">
          <fgColor rgb="FF9650F0"/>
          <bgColor rgb="FF9650F0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FFC4CC"/>
          <bgColor rgb="FFFFC4CC"/>
        </patternFill>
      </fill>
    </dxf>
    <dxf>
      <fill>
        <patternFill patternType="solid">
          <fgColor rgb="FFFF8795"/>
          <bgColor rgb="FFFF8795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C4D2FF"/>
          <bgColor rgb="FFC4D2FF"/>
        </patternFill>
      </fill>
    </dxf>
    <dxf>
      <fill>
        <patternFill patternType="solid">
          <fgColor rgb="FF87A4FF"/>
          <bgColor rgb="FF87A4F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FFC4CC"/>
          <bgColor rgb="FFFFC4CC"/>
        </patternFill>
      </fill>
    </dxf>
    <dxf>
      <fill>
        <patternFill patternType="solid">
          <fgColor rgb="FFFF8795"/>
          <bgColor rgb="FFFF8795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C4D2FF"/>
          <bgColor rgb="FFC4D2FF"/>
        </patternFill>
      </fill>
    </dxf>
    <dxf>
      <fill>
        <patternFill patternType="solid">
          <fgColor rgb="FF87A4FF"/>
          <bgColor rgb="FF87A4F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FFC4CC"/>
          <bgColor rgb="FFFFC4CC"/>
        </patternFill>
      </fill>
    </dxf>
    <dxf>
      <fill>
        <patternFill patternType="solid">
          <fgColor rgb="FFFF8795"/>
          <bgColor rgb="FFFF8795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C4D2FF"/>
          <bgColor rgb="FFC4D2FF"/>
        </patternFill>
      </fill>
    </dxf>
    <dxf>
      <fill>
        <patternFill patternType="solid">
          <fgColor rgb="FF87A4FF"/>
          <bgColor rgb="FF87A4F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C4D2FF"/>
          <bgColor rgb="FFC4D2FF"/>
        </patternFill>
      </fill>
    </dxf>
    <dxf>
      <fill>
        <patternFill patternType="solid">
          <fgColor rgb="FF87A4FF"/>
          <bgColor rgb="FF87A4F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FFC4CC"/>
          <bgColor rgb="FFFFC4CC"/>
        </patternFill>
      </fill>
    </dxf>
    <dxf>
      <fill>
        <patternFill patternType="solid">
          <fgColor rgb="FFFF8795"/>
          <bgColor rgb="FFFF8795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C4D2FF"/>
          <bgColor rgb="FFC4D2FF"/>
        </patternFill>
      </fill>
    </dxf>
    <dxf>
      <fill>
        <patternFill patternType="solid">
          <fgColor rgb="FF87A4FF"/>
          <bgColor rgb="FF87A4FF"/>
        </patternFill>
      </fill>
    </dxf>
    <dxf>
      <fill>
        <patternFill patternType="solid">
          <fgColor rgb="FF4A76FF"/>
          <bgColor rgb="FF4A76FF"/>
        </patternFill>
      </fill>
    </dxf>
    <dxf>
      <fill>
        <patternFill patternType="solid">
          <fgColor rgb="FFFF4A5F"/>
          <bgColor rgb="FFFF4A5F"/>
        </patternFill>
      </fill>
    </dxf>
    <dxf>
      <fill>
        <patternFill patternType="solid">
          <fgColor rgb="FFFFC4CC"/>
          <bgColor rgb="FFFFC4CC"/>
        </patternFill>
      </fill>
    </dxf>
    <dxf>
      <fill>
        <patternFill patternType="solid">
          <fgColor rgb="FFFF8795"/>
          <bgColor rgb="FFFF8795"/>
        </patternFill>
      </fill>
    </dxf>
    <dxf>
      <fill>
        <patternFill patternType="solid">
          <fgColor rgb="FFFF4A5F"/>
          <bgColor rgb="FFFF4A5F"/>
        </patternFill>
      </fill>
    </dxf>
  </dxfs>
  <tableStyles count="14">
    <tableStyle name="Year 2021-style" pivot="0" count="4" xr9:uid="{00000000-0011-0000-FFFF-FFFF00000000}">
      <tableStyleElement type="headerRow" dxfId="53"/>
      <tableStyleElement type="totalRow" dxfId="50"/>
      <tableStyleElement type="firstRowStripe" dxfId="52"/>
      <tableStyleElement type="secondRowStripe" dxfId="51"/>
    </tableStyle>
    <tableStyle name="Year 2021-style 2" pivot="0" count="4" xr9:uid="{00000000-0011-0000-FFFF-FFFF01000000}">
      <tableStyleElement type="headerRow" dxfId="49"/>
      <tableStyleElement type="totalRow" dxfId="46"/>
      <tableStyleElement type="firstRowStripe" dxfId="48"/>
      <tableStyleElement type="secondRowStripe" dxfId="47"/>
    </tableStyle>
    <tableStyle name="Year 2022-style" pivot="0" count="4" xr9:uid="{00000000-0011-0000-FFFF-FFFF02000000}">
      <tableStyleElement type="headerRow" dxfId="45"/>
      <tableStyleElement type="totalRow" dxfId="42"/>
      <tableStyleElement type="firstRowStripe" dxfId="44"/>
      <tableStyleElement type="secondRowStripe" dxfId="43"/>
    </tableStyle>
    <tableStyle name="Year 2022-style 2" pivot="0" count="4" xr9:uid="{00000000-0011-0000-FFFF-FFFF03000000}">
      <tableStyleElement type="headerRow" dxfId="41"/>
      <tableStyleElement type="totalRow" dxfId="38"/>
      <tableStyleElement type="firstRowStripe" dxfId="40"/>
      <tableStyleElement type="secondRowStripe" dxfId="39"/>
    </tableStyle>
    <tableStyle name="Year 2023-style" pivot="0" count="4" xr9:uid="{00000000-0011-0000-FFFF-FFFF04000000}">
      <tableStyleElement type="headerRow" dxfId="37"/>
      <tableStyleElement type="totalRow" dxfId="34"/>
      <tableStyleElement type="firstRowStripe" dxfId="36"/>
      <tableStyleElement type="secondRowStripe" dxfId="35"/>
    </tableStyle>
    <tableStyle name="Year 2023-style 2" pivot="0" count="4" xr9:uid="{00000000-0011-0000-FFFF-FFFF05000000}">
      <tableStyleElement type="headerRow" dxfId="33"/>
      <tableStyleElement type="totalRow" dxfId="30"/>
      <tableStyleElement type="firstRowStripe" dxfId="32"/>
      <tableStyleElement type="secondRowStripe" dxfId="31"/>
    </tableStyle>
    <tableStyle name="Year 2024-style" pivot="0" count="4" xr9:uid="{00000000-0011-0000-FFFF-FFFF06000000}">
      <tableStyleElement type="headerRow" dxfId="29"/>
      <tableStyleElement type="totalRow" dxfId="26"/>
      <tableStyleElement type="firstRowStripe" dxfId="28"/>
      <tableStyleElement type="secondRowStripe" dxfId="27"/>
    </tableStyle>
    <tableStyle name="Year 2024-style 2" pivot="0" count="4" xr9:uid="{00000000-0011-0000-FFFF-FFFF07000000}">
      <tableStyleElement type="headerRow" dxfId="25"/>
      <tableStyleElement type="totalRow" dxfId="22"/>
      <tableStyleElement type="firstRowStripe" dxfId="24"/>
      <tableStyleElement type="secondRowStripe" dxfId="23"/>
    </tableStyle>
    <tableStyle name="Year 2025-style" pivot="0" count="4" xr9:uid="{00000000-0011-0000-FFFF-FFFF08000000}">
      <tableStyleElement type="headerRow" dxfId="21"/>
      <tableStyleElement type="totalRow" dxfId="18"/>
      <tableStyleElement type="firstRowStripe" dxfId="20"/>
      <tableStyleElement type="secondRowStripe" dxfId="19"/>
    </tableStyle>
    <tableStyle name="Year 2025-style 2" pivot="0" count="4" xr9:uid="{00000000-0011-0000-FFFF-FFFF09000000}">
      <tableStyleElement type="headerRow" dxfId="17"/>
      <tableStyleElement type="totalRow" dxfId="14"/>
      <tableStyleElement type="firstRowStripe" dxfId="16"/>
      <tableStyleElement type="secondRowStripe" dxfId="15"/>
    </tableStyle>
    <tableStyle name="Statements-style" pivot="0" count="4" xr9:uid="{00000000-0011-0000-FFFF-FFFF0A000000}">
      <tableStyleElement type="headerRow" dxfId="13"/>
      <tableStyleElement type="totalRow" dxfId="10"/>
      <tableStyleElement type="firstRowStripe" dxfId="12"/>
      <tableStyleElement type="secondRowStripe" dxfId="11"/>
    </tableStyle>
    <tableStyle name="Statements-style 2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tatements-style 3" pivot="0" count="3" xr9:uid="{00000000-0011-0000-FFFF-FFFF0C000000}">
      <tableStyleElement type="headerRow" dxfId="6"/>
      <tableStyleElement type="firstRowStripe" dxfId="5"/>
      <tableStyleElement type="secondRowStripe" dxfId="4"/>
    </tableStyle>
    <tableStyle name="Statements-style 4" pivot="0" count="3" xr9:uid="{00000000-0011-0000-FFFF-FFFF0D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2:J13">
  <tableColumns count="5">
    <tableColumn id="1" xr3:uid="{00000000-0010-0000-0000-000001000000}" name="Account"/>
    <tableColumn id="2" xr3:uid="{00000000-0010-0000-0000-000002000000}" name="Usual Balance"/>
    <tableColumn id="3" xr3:uid="{00000000-0010-0000-0000-000003000000}" name="Total Debits"/>
    <tableColumn id="4" xr3:uid="{00000000-0010-0000-0000-000004000000}" name="Total Credits"/>
    <tableColumn id="5" xr3:uid="{00000000-0010-0000-0000-000005000000}" name="Change from Previous Year"/>
  </tableColumns>
  <tableStyleInfo name="Year 202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F2:J13">
  <tableColumns count="5">
    <tableColumn id="1" xr3:uid="{00000000-0010-0000-0900-000001000000}" name="Account"/>
    <tableColumn id="2" xr3:uid="{00000000-0010-0000-0900-000002000000}" name="Usual Balance"/>
    <tableColumn id="3" xr3:uid="{00000000-0010-0000-0900-000003000000}" name="Total Debits"/>
    <tableColumn id="4" xr3:uid="{00000000-0010-0000-0900-000004000000}" name="Total Credits"/>
    <tableColumn id="5" xr3:uid="{00000000-0010-0000-0900-000005000000}" name="Change from Previous Year"/>
  </tableColumns>
  <tableStyleInfo name="Year 2025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6:F25">
  <tableColumns count="6">
    <tableColumn id="1" xr3:uid="{00000000-0010-0000-0A00-000001000000}" name="Account"/>
    <tableColumn id="2" xr3:uid="{00000000-0010-0000-0A00-000002000000}" name="Year 2021"/>
    <tableColumn id="3" xr3:uid="{00000000-0010-0000-0A00-000003000000}" name="Year 2022"/>
    <tableColumn id="4" xr3:uid="{00000000-0010-0000-0A00-000004000000}" name="Year 2023"/>
    <tableColumn id="5" xr3:uid="{00000000-0010-0000-0A00-000005000000}" name="Year 2024"/>
    <tableColumn id="6" xr3:uid="{00000000-0010-0000-0A00-000006000000}" name="Year 2025"/>
  </tableColumns>
  <tableStyleInfo name="Statement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I16:N28">
  <tableColumns count="6">
    <tableColumn id="1" xr3:uid="{00000000-0010-0000-0B00-000001000000}" name="Account"/>
    <tableColumn id="2" xr3:uid="{00000000-0010-0000-0B00-000002000000}" name="Year 2021"/>
    <tableColumn id="3" xr3:uid="{00000000-0010-0000-0B00-000003000000}" name="Year 2022"/>
    <tableColumn id="4" xr3:uid="{00000000-0010-0000-0B00-000004000000}" name="Year 2023"/>
    <tableColumn id="5" xr3:uid="{00000000-0010-0000-0B00-000005000000}" name="Year 2024"/>
    <tableColumn id="6" xr3:uid="{00000000-0010-0000-0B00-000006000000}" name="Year 2025"/>
  </tableColumns>
  <tableStyleInfo name="Statements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2:F10">
  <tableColumns count="6">
    <tableColumn id="1" xr3:uid="{00000000-0010-0000-0C00-000001000000}" name="Account"/>
    <tableColumn id="2" xr3:uid="{00000000-0010-0000-0C00-000002000000}" name="Year 2021"/>
    <tableColumn id="3" xr3:uid="{00000000-0010-0000-0C00-000003000000}" name="Year 2022"/>
    <tableColumn id="4" xr3:uid="{00000000-0010-0000-0C00-000004000000}" name="Year 2023"/>
    <tableColumn id="5" xr3:uid="{00000000-0010-0000-0C00-000005000000}" name="Year 2024"/>
    <tableColumn id="6" xr3:uid="{00000000-0010-0000-0C00-000006000000}" name="Year 2025"/>
  </tableColumns>
  <tableStyleInfo name="Statements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I2:N11">
  <tableColumns count="6">
    <tableColumn id="1" xr3:uid="{00000000-0010-0000-0D00-000001000000}" name="Account"/>
    <tableColumn id="2" xr3:uid="{00000000-0010-0000-0D00-000002000000}" name="Year 2021"/>
    <tableColumn id="3" xr3:uid="{00000000-0010-0000-0D00-000003000000}" name="Year 2022"/>
    <tableColumn id="4" xr3:uid="{00000000-0010-0000-0D00-000004000000}" name="Year 2023"/>
    <tableColumn id="5" xr3:uid="{00000000-0010-0000-0D00-000005000000}" name="Year 2024"/>
    <tableColumn id="6" xr3:uid="{00000000-0010-0000-0D00-000006000000}" name="Year 2025"/>
  </tableColumns>
  <tableStyleInfo name="Statements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D17">
  <tableColumns count="4">
    <tableColumn id="1" xr3:uid="{00000000-0010-0000-0100-000001000000}" name="Debited Account"/>
    <tableColumn id="2" xr3:uid="{00000000-0010-0000-0100-000002000000}" name="Credited Account"/>
    <tableColumn id="3" xr3:uid="{00000000-0010-0000-0100-000003000000}" name="Debit"/>
    <tableColumn id="4" xr3:uid="{00000000-0010-0000-0100-000004000000}" name="Credit"/>
  </tableColumns>
  <tableStyleInfo name="Year 202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:J13">
  <tableColumns count="5">
    <tableColumn id="1" xr3:uid="{00000000-0010-0000-0200-000001000000}" name="Account"/>
    <tableColumn id="2" xr3:uid="{00000000-0010-0000-0200-000002000000}" name="Usual Balance"/>
    <tableColumn id="3" xr3:uid="{00000000-0010-0000-0200-000003000000}" name="Total Debits"/>
    <tableColumn id="4" xr3:uid="{00000000-0010-0000-0200-000004000000}" name="Total Credits"/>
    <tableColumn id="5" xr3:uid="{00000000-0010-0000-0200-000005000000}" name="Change from Previous Year"/>
  </tableColumns>
  <tableStyleInfo name="Year 202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:D15">
  <tableColumns count="4">
    <tableColumn id="1" xr3:uid="{00000000-0010-0000-0300-000001000000}" name="Debited Account"/>
    <tableColumn id="2" xr3:uid="{00000000-0010-0000-0300-000002000000}" name="Credited Account"/>
    <tableColumn id="3" xr3:uid="{00000000-0010-0000-0300-000003000000}" name="Debit"/>
    <tableColumn id="4" xr3:uid="{00000000-0010-0000-0300-000004000000}" name="Credit"/>
  </tableColumns>
  <tableStyleInfo name="Year 2022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D13">
  <tableColumns count="4">
    <tableColumn id="1" xr3:uid="{00000000-0010-0000-0400-000001000000}" name="Debited Account"/>
    <tableColumn id="2" xr3:uid="{00000000-0010-0000-0400-000002000000}" name="Credited Account"/>
    <tableColumn id="3" xr3:uid="{00000000-0010-0000-0400-000003000000}" name="Debit"/>
    <tableColumn id="4" xr3:uid="{00000000-0010-0000-0400-000004000000}" name="Credit"/>
  </tableColumns>
  <tableStyleInfo name="Year 2023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2:J12">
  <tableColumns count="5">
    <tableColumn id="1" xr3:uid="{00000000-0010-0000-0500-000001000000}" name="Account"/>
    <tableColumn id="2" xr3:uid="{00000000-0010-0000-0500-000002000000}" name="Usual Balance"/>
    <tableColumn id="3" xr3:uid="{00000000-0010-0000-0500-000003000000}" name="Total Debits"/>
    <tableColumn id="4" xr3:uid="{00000000-0010-0000-0500-000004000000}" name="Total Credits"/>
    <tableColumn id="5" xr3:uid="{00000000-0010-0000-0500-000005000000}" name="Change from Previous Year"/>
  </tableColumns>
  <tableStyleInfo name="Year 2023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:D13">
  <tableColumns count="4">
    <tableColumn id="1" xr3:uid="{00000000-0010-0000-0600-000001000000}" name="Debited Account"/>
    <tableColumn id="2" xr3:uid="{00000000-0010-0000-0600-000002000000}" name="Credited Account"/>
    <tableColumn id="3" xr3:uid="{00000000-0010-0000-0600-000003000000}" name="Debit"/>
    <tableColumn id="4" xr3:uid="{00000000-0010-0000-0600-000004000000}" name="Credit"/>
  </tableColumns>
  <tableStyleInfo name="Year 2024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2:J12">
  <tableColumns count="5">
    <tableColumn id="1" xr3:uid="{00000000-0010-0000-0700-000001000000}" name="Account"/>
    <tableColumn id="2" xr3:uid="{00000000-0010-0000-0700-000002000000}" name="Usual Balance"/>
    <tableColumn id="3" xr3:uid="{00000000-0010-0000-0700-000003000000}" name="Total Debits"/>
    <tableColumn id="4" xr3:uid="{00000000-0010-0000-0700-000004000000}" name="Total Credits"/>
    <tableColumn id="5" xr3:uid="{00000000-0010-0000-0700-000005000000}" name="Change from Previous Year"/>
  </tableColumns>
  <tableStyleInfo name="Year 2024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2:D13">
  <tableColumns count="4">
    <tableColumn id="1" xr3:uid="{00000000-0010-0000-0800-000001000000}" name="Debited Account"/>
    <tableColumn id="2" xr3:uid="{00000000-0010-0000-0800-000002000000}" name="Credited Account"/>
    <tableColumn id="3" xr3:uid="{00000000-0010-0000-0800-000003000000}" name="Debit"/>
    <tableColumn id="4" xr3:uid="{00000000-0010-0000-0800-000004000000}" name="Credit"/>
  </tableColumns>
  <tableStyleInfo name="Year 20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workbookViewId="0">
      <selection sqref="A1:D1"/>
    </sheetView>
  </sheetViews>
  <sheetFormatPr baseColWidth="10" defaultColWidth="11.28515625" defaultRowHeight="15" customHeight="1" x14ac:dyDescent="0.2"/>
  <cols>
    <col min="1" max="1" width="18.140625" customWidth="1"/>
    <col min="2" max="2" width="13.42578125" customWidth="1"/>
    <col min="3" max="4" width="9" customWidth="1"/>
    <col min="5" max="5" width="11" customWidth="1"/>
    <col min="6" max="6" width="15.85546875" customWidth="1"/>
    <col min="7" max="7" width="11" customWidth="1"/>
    <col min="8" max="8" width="9.28515625" customWidth="1"/>
    <col min="9" max="9" width="9.7109375" customWidth="1"/>
    <col min="10" max="10" width="20.28515625" customWidth="1"/>
    <col min="11" max="26" width="11" customWidth="1"/>
  </cols>
  <sheetData>
    <row r="1" spans="1:10" ht="15.75" customHeight="1" x14ac:dyDescent="0.2">
      <c r="A1" s="66" t="s">
        <v>0</v>
      </c>
      <c r="B1" s="67"/>
      <c r="C1" s="67"/>
      <c r="D1" s="68"/>
      <c r="F1" s="69" t="s">
        <v>1</v>
      </c>
      <c r="G1" s="67"/>
      <c r="H1" s="67"/>
      <c r="I1" s="67"/>
      <c r="J1" s="68"/>
    </row>
    <row r="2" spans="1:10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">
      <c r="A3" s="1" t="s">
        <v>11</v>
      </c>
      <c r="B3" s="1"/>
      <c r="C3" s="2">
        <v>600000</v>
      </c>
      <c r="D3" s="3"/>
      <c r="F3" s="1" t="s">
        <v>11</v>
      </c>
      <c r="G3" s="1" t="s">
        <v>4</v>
      </c>
      <c r="H3" s="3">
        <f t="shared" ref="H3:I3" si="0">SUMIF(A$3:A$14,$F3,C$3:C$14)</f>
        <v>610500</v>
      </c>
      <c r="I3" s="3">
        <f t="shared" si="0"/>
        <v>505250</v>
      </c>
      <c r="J3" s="3">
        <f t="shared" ref="J3:J12" si="1">IF(G3="Debit",H3-I3,I3-H3)</f>
        <v>105250</v>
      </c>
    </row>
    <row r="4" spans="1:10" ht="15.75" customHeight="1" x14ac:dyDescent="0.2">
      <c r="A4" s="1"/>
      <c r="B4" s="1" t="s">
        <v>12</v>
      </c>
      <c r="C4" s="3"/>
      <c r="D4" s="2">
        <v>600000</v>
      </c>
      <c r="F4" s="1" t="s">
        <v>13</v>
      </c>
      <c r="G4" s="1" t="s">
        <v>4</v>
      </c>
      <c r="H4" s="3">
        <f t="shared" ref="H4:I4" si="2">SUMIF(A$3:A$14,$F4,C$3:C$14)</f>
        <v>5250</v>
      </c>
      <c r="I4" s="3">
        <f t="shared" si="2"/>
        <v>5250</v>
      </c>
      <c r="J4" s="3">
        <f t="shared" si="1"/>
        <v>0</v>
      </c>
    </row>
    <row r="5" spans="1:10" ht="15.75" customHeight="1" x14ac:dyDescent="0.2">
      <c r="A5" s="1" t="s">
        <v>14</v>
      </c>
      <c r="B5" s="1"/>
      <c r="C5" s="2">
        <v>100000</v>
      </c>
      <c r="D5" s="3"/>
      <c r="F5" s="4" t="s">
        <v>15</v>
      </c>
      <c r="G5" s="1" t="s">
        <v>4</v>
      </c>
      <c r="H5" s="3">
        <f t="shared" ref="H5:I5" si="3">SUMIF(A$3:A$14,$F5,C$3:C$14)</f>
        <v>400000</v>
      </c>
      <c r="I5" s="3">
        <f t="shared" si="3"/>
        <v>0</v>
      </c>
      <c r="J5" s="3">
        <f t="shared" si="1"/>
        <v>400000</v>
      </c>
    </row>
    <row r="6" spans="1:10" ht="15.75" customHeight="1" x14ac:dyDescent="0.2">
      <c r="A6" s="1"/>
      <c r="B6" s="1" t="s">
        <v>11</v>
      </c>
      <c r="C6" s="3"/>
      <c r="D6" s="2">
        <v>100000</v>
      </c>
      <c r="F6" s="1" t="s">
        <v>16</v>
      </c>
      <c r="G6" s="1" t="s">
        <v>5</v>
      </c>
      <c r="H6" s="3">
        <f t="shared" ref="H6:I6" si="4">SUMIF(A$3:A$14,$F6,C$3:C$14)</f>
        <v>0</v>
      </c>
      <c r="I6" s="3">
        <f t="shared" si="4"/>
        <v>0</v>
      </c>
      <c r="J6" s="3">
        <f t="shared" si="1"/>
        <v>0</v>
      </c>
    </row>
    <row r="7" spans="1:10" ht="15.75" customHeight="1" x14ac:dyDescent="0.2">
      <c r="A7" s="1" t="s">
        <v>13</v>
      </c>
      <c r="B7" s="1"/>
      <c r="C7" s="3">
        <v>5250</v>
      </c>
      <c r="D7" s="3"/>
      <c r="F7" s="1" t="s">
        <v>12</v>
      </c>
      <c r="G7" s="1" t="s">
        <v>5</v>
      </c>
      <c r="H7" s="3">
        <f t="shared" ref="H7:I7" si="5">SUMIF(A$3:A$14,$F7,C$3:C$14)</f>
        <v>0</v>
      </c>
      <c r="I7" s="3">
        <f t="shared" si="5"/>
        <v>600000</v>
      </c>
      <c r="J7" s="3">
        <f t="shared" si="1"/>
        <v>600000</v>
      </c>
    </row>
    <row r="8" spans="1:10" ht="15.75" customHeight="1" x14ac:dyDescent="0.2">
      <c r="A8" s="1"/>
      <c r="B8" s="1" t="s">
        <v>11</v>
      </c>
      <c r="C8" s="3"/>
      <c r="D8" s="3">
        <v>5250</v>
      </c>
      <c r="F8" s="1" t="s">
        <v>17</v>
      </c>
      <c r="G8" s="1" t="s">
        <v>5</v>
      </c>
      <c r="H8" s="3">
        <f t="shared" ref="H8:I8" si="6">SUMIF(A$3:A$14,$F8,C$3:C$14)</f>
        <v>0</v>
      </c>
      <c r="I8" s="3">
        <f t="shared" si="6"/>
        <v>10500</v>
      </c>
      <c r="J8" s="3">
        <f t="shared" si="1"/>
        <v>10500</v>
      </c>
    </row>
    <row r="9" spans="1:10" ht="15.75" customHeight="1" x14ac:dyDescent="0.2">
      <c r="A9" s="1" t="s">
        <v>11</v>
      </c>
      <c r="B9" s="1"/>
      <c r="C9" s="3">
        <v>10500</v>
      </c>
      <c r="D9" s="3"/>
      <c r="F9" s="1" t="s">
        <v>18</v>
      </c>
      <c r="G9" s="1" t="s">
        <v>4</v>
      </c>
      <c r="H9" s="3">
        <f t="shared" ref="H9:I9" si="7">SUMIF(A$3:A$14,$F9,C$3:C$14)</f>
        <v>5250</v>
      </c>
      <c r="I9" s="3">
        <f t="shared" si="7"/>
        <v>0</v>
      </c>
      <c r="J9" s="3">
        <f t="shared" si="1"/>
        <v>5250</v>
      </c>
    </row>
    <row r="10" spans="1:10" ht="15.75" customHeight="1" x14ac:dyDescent="0.2">
      <c r="A10" s="1" t="s">
        <v>18</v>
      </c>
      <c r="B10" s="1"/>
      <c r="C10" s="3">
        <v>5250</v>
      </c>
      <c r="D10" s="3"/>
      <c r="F10" s="1" t="s">
        <v>14</v>
      </c>
      <c r="G10" s="1" t="s">
        <v>4</v>
      </c>
      <c r="H10" s="3">
        <f t="shared" ref="H10:I10" si="8">SUMIF(A$3:A$14,$F10,C$3:C$14)</f>
        <v>100000</v>
      </c>
      <c r="I10" s="3">
        <f t="shared" si="8"/>
        <v>0</v>
      </c>
      <c r="J10" s="3">
        <f t="shared" si="1"/>
        <v>100000</v>
      </c>
    </row>
    <row r="11" spans="1:10" ht="15.75" customHeight="1" x14ac:dyDescent="0.2">
      <c r="A11" s="1"/>
      <c r="B11" s="1" t="s">
        <v>17</v>
      </c>
      <c r="C11" s="3"/>
      <c r="D11" s="3">
        <v>10500</v>
      </c>
      <c r="F11" s="4" t="s">
        <v>19</v>
      </c>
      <c r="G11" s="1" t="s">
        <v>4</v>
      </c>
      <c r="H11" s="3">
        <f t="shared" ref="H11:I11" si="9">SUMIF(A$3:A$14,$F11,C$3:C$14)</f>
        <v>0</v>
      </c>
      <c r="I11" s="3">
        <f t="shared" si="9"/>
        <v>0</v>
      </c>
      <c r="J11" s="3">
        <f t="shared" si="1"/>
        <v>0</v>
      </c>
    </row>
    <row r="12" spans="1:10" ht="15.75" customHeight="1" x14ac:dyDescent="0.2">
      <c r="A12" s="1"/>
      <c r="B12" s="1" t="s">
        <v>13</v>
      </c>
      <c r="C12" s="3"/>
      <c r="D12" s="3">
        <v>5250</v>
      </c>
      <c r="F12" s="1"/>
      <c r="G12" s="1"/>
      <c r="H12" s="3">
        <f t="shared" ref="H12:I12" si="10">SUMIF(A$3:A$14,$F12,C$3:C$14)</f>
        <v>0</v>
      </c>
      <c r="I12" s="3">
        <f t="shared" si="10"/>
        <v>0</v>
      </c>
      <c r="J12" s="3">
        <f t="shared" si="1"/>
        <v>0</v>
      </c>
    </row>
    <row r="13" spans="1:10" ht="15.75" customHeight="1" x14ac:dyDescent="0.2">
      <c r="A13" s="4" t="s">
        <v>15</v>
      </c>
      <c r="B13" s="1"/>
      <c r="C13" s="2">
        <v>400000</v>
      </c>
      <c r="D13" s="3"/>
      <c r="F13" s="5" t="s">
        <v>20</v>
      </c>
      <c r="G13" s="5"/>
      <c r="H13" s="6">
        <f t="shared" ref="H13:J13" si="11">SUBTOTAL(109,H3:H12)</f>
        <v>1121000</v>
      </c>
      <c r="I13" s="6">
        <f t="shared" si="11"/>
        <v>1121000</v>
      </c>
      <c r="J13" s="6">
        <f t="shared" si="11"/>
        <v>1221000</v>
      </c>
    </row>
    <row r="14" spans="1:10" ht="15.75" customHeight="1" x14ac:dyDescent="0.2">
      <c r="A14" s="4"/>
      <c r="B14" s="4" t="s">
        <v>11</v>
      </c>
      <c r="C14" s="3"/>
      <c r="D14" s="2">
        <v>400000</v>
      </c>
    </row>
    <row r="15" spans="1:10" ht="15.75" customHeight="1" x14ac:dyDescent="0.2">
      <c r="A15" s="4" t="s">
        <v>19</v>
      </c>
      <c r="B15" s="4"/>
      <c r="C15" s="2">
        <v>0</v>
      </c>
      <c r="D15" s="2"/>
    </row>
    <row r="16" spans="1:10" ht="15.75" customHeight="1" x14ac:dyDescent="0.2">
      <c r="A16" s="4"/>
      <c r="B16" s="4" t="s">
        <v>11</v>
      </c>
      <c r="C16" s="3"/>
      <c r="D16" s="2">
        <v>0</v>
      </c>
    </row>
    <row r="17" spans="1:4" ht="15.75" customHeight="1" x14ac:dyDescent="0.2">
      <c r="A17" s="5" t="s">
        <v>20</v>
      </c>
      <c r="B17" s="5"/>
      <c r="C17" s="6">
        <f>SUM(C3:C14)</f>
        <v>1121000</v>
      </c>
      <c r="D17" s="6">
        <f>SUBTOTAL(109,D3:D14)</f>
        <v>1121000</v>
      </c>
    </row>
    <row r="18" spans="1:4" ht="15.75" customHeight="1" x14ac:dyDescent="0.2"/>
    <row r="19" spans="1:4" ht="15.75" customHeight="1" x14ac:dyDescent="0.2"/>
    <row r="20" spans="1:4" ht="15.75" customHeight="1" x14ac:dyDescent="0.2"/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2">
    <mergeCell ref="A1:D1"/>
    <mergeCell ref="F1:J1"/>
  </mergeCells>
  <dataValidations count="1">
    <dataValidation type="list" allowBlank="1" showErrorMessage="1" sqref="A3:B16" xr:uid="{00000000-0002-0000-0000-000000000000}">
      <formula1>$F$3:$F$12</formula1>
    </dataValidation>
  </dataValidations>
  <pageMargins left="0.7" right="0.7" top="0.75" bottom="0.75" header="0" footer="0"/>
  <pageSetup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6"/>
  <sheetViews>
    <sheetView workbookViewId="0">
      <selection sqref="A1:D1"/>
    </sheetView>
  </sheetViews>
  <sheetFormatPr baseColWidth="10" defaultColWidth="11.28515625" defaultRowHeight="15" customHeight="1" x14ac:dyDescent="0.2"/>
  <cols>
    <col min="1" max="1" width="17.28515625" customWidth="1"/>
    <col min="2" max="2" width="13.42578125" customWidth="1"/>
    <col min="3" max="4" width="9" customWidth="1"/>
    <col min="5" max="5" width="11" customWidth="1"/>
    <col min="6" max="6" width="15.85546875" customWidth="1"/>
    <col min="7" max="7" width="11" customWidth="1"/>
    <col min="8" max="8" width="9.28515625" customWidth="1"/>
    <col min="9" max="9" width="9.7109375" customWidth="1"/>
    <col min="10" max="10" width="20.28515625" customWidth="1"/>
    <col min="11" max="26" width="11" customWidth="1"/>
  </cols>
  <sheetData>
    <row r="1" spans="1:10" ht="15.75" customHeight="1" x14ac:dyDescent="0.2">
      <c r="A1" s="66" t="s">
        <v>0</v>
      </c>
      <c r="B1" s="67"/>
      <c r="C1" s="67"/>
      <c r="D1" s="68"/>
      <c r="F1" s="69" t="s">
        <v>1</v>
      </c>
      <c r="G1" s="67"/>
      <c r="H1" s="67"/>
      <c r="I1" s="67"/>
      <c r="J1" s="68"/>
    </row>
    <row r="2" spans="1:10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">
      <c r="A3" s="1" t="s">
        <v>11</v>
      </c>
      <c r="B3" s="1"/>
      <c r="C3" s="3">
        <v>0</v>
      </c>
      <c r="D3" s="3"/>
      <c r="F3" s="1" t="s">
        <v>11</v>
      </c>
      <c r="G3" s="1" t="s">
        <v>4</v>
      </c>
      <c r="H3" s="3">
        <f t="shared" ref="H3:I3" si="0">SUMIF(A$3:A$14,$F3,C$3:C$14)</f>
        <v>1050000</v>
      </c>
      <c r="I3" s="3">
        <f t="shared" si="0"/>
        <v>865463</v>
      </c>
      <c r="J3" s="3">
        <f t="shared" ref="J3:J12" si="1">IF(G3="Debit",H3-I3,I3-H3)</f>
        <v>184537</v>
      </c>
    </row>
    <row r="4" spans="1:10" ht="15.75" customHeight="1" x14ac:dyDescent="0.2">
      <c r="A4" s="1"/>
      <c r="B4" s="1" t="s">
        <v>12</v>
      </c>
      <c r="C4" s="3"/>
      <c r="D4" s="3">
        <v>0</v>
      </c>
      <c r="F4" s="1" t="s">
        <v>13</v>
      </c>
      <c r="G4" s="1" t="s">
        <v>4</v>
      </c>
      <c r="H4" s="3">
        <f t="shared" ref="H4:I4" si="2">SUMIF(A$3:A$14,$F4,C$3:C$14)</f>
        <v>525000</v>
      </c>
      <c r="I4" s="3">
        <f t="shared" si="2"/>
        <v>525000</v>
      </c>
      <c r="J4" s="3">
        <f t="shared" si="1"/>
        <v>0</v>
      </c>
    </row>
    <row r="5" spans="1:10" ht="15.75" customHeight="1" x14ac:dyDescent="0.2">
      <c r="A5" s="1" t="s">
        <v>14</v>
      </c>
      <c r="B5" s="1"/>
      <c r="C5" s="2">
        <v>262500</v>
      </c>
      <c r="D5" s="3"/>
      <c r="F5" s="4" t="s">
        <v>15</v>
      </c>
      <c r="G5" s="1" t="s">
        <v>4</v>
      </c>
      <c r="H5" s="3">
        <f t="shared" ref="H5:I5" si="3">SUMIF(A$3:A$14,$F5,C$3:C$14)</f>
        <v>0</v>
      </c>
      <c r="I5" s="3">
        <f t="shared" si="3"/>
        <v>0</v>
      </c>
      <c r="J5" s="3">
        <f t="shared" si="1"/>
        <v>0</v>
      </c>
    </row>
    <row r="6" spans="1:10" ht="15.75" customHeight="1" x14ac:dyDescent="0.2">
      <c r="A6" s="1"/>
      <c r="B6" s="1" t="s">
        <v>11</v>
      </c>
      <c r="C6" s="3"/>
      <c r="D6" s="2">
        <v>262500</v>
      </c>
      <c r="F6" s="1" t="s">
        <v>16</v>
      </c>
      <c r="G6" s="1" t="s">
        <v>5</v>
      </c>
      <c r="H6" s="3">
        <f t="shared" ref="H6:I6" si="4">SUMIF(A$3:A$14,$F6,C$3:C$14)</f>
        <v>0</v>
      </c>
      <c r="I6" s="3">
        <f t="shared" si="4"/>
        <v>0</v>
      </c>
      <c r="J6" s="3">
        <f t="shared" si="1"/>
        <v>0</v>
      </c>
    </row>
    <row r="7" spans="1:10" ht="15.75" customHeight="1" x14ac:dyDescent="0.2">
      <c r="A7" s="1" t="s">
        <v>13</v>
      </c>
      <c r="B7" s="1"/>
      <c r="C7" s="3">
        <v>525000</v>
      </c>
      <c r="D7" s="3"/>
      <c r="F7" s="1" t="s">
        <v>12</v>
      </c>
      <c r="G7" s="1" t="s">
        <v>5</v>
      </c>
      <c r="H7" s="3">
        <f t="shared" ref="H7:I7" si="5">SUMIF(A$3:A$14,$F7,C$3:C$14)</f>
        <v>0</v>
      </c>
      <c r="I7" s="3">
        <f t="shared" si="5"/>
        <v>0</v>
      </c>
      <c r="J7" s="3">
        <f t="shared" si="1"/>
        <v>0</v>
      </c>
    </row>
    <row r="8" spans="1:10" ht="15.75" customHeight="1" x14ac:dyDescent="0.2">
      <c r="A8" s="1"/>
      <c r="B8" s="1" t="s">
        <v>11</v>
      </c>
      <c r="C8" s="3"/>
      <c r="D8" s="3">
        <v>525000</v>
      </c>
      <c r="F8" s="1" t="s">
        <v>17</v>
      </c>
      <c r="G8" s="1" t="s">
        <v>5</v>
      </c>
      <c r="H8" s="3">
        <f t="shared" ref="H8:I8" si="6">SUMIF(A$3:A$14,$F8,C$3:C$14)</f>
        <v>0</v>
      </c>
      <c r="I8" s="3">
        <f t="shared" si="6"/>
        <v>1050000</v>
      </c>
      <c r="J8" s="3">
        <f t="shared" si="1"/>
        <v>1050000</v>
      </c>
    </row>
    <row r="9" spans="1:10" ht="15.75" customHeight="1" x14ac:dyDescent="0.2">
      <c r="A9" s="1" t="s">
        <v>11</v>
      </c>
      <c r="B9" s="1"/>
      <c r="C9" s="3">
        <v>1050000</v>
      </c>
      <c r="D9" s="3"/>
      <c r="F9" s="1" t="s">
        <v>18</v>
      </c>
      <c r="G9" s="1" t="s">
        <v>4</v>
      </c>
      <c r="H9" s="3">
        <f t="shared" ref="H9:I9" si="7">SUMIF(A$3:A$14,$F9,C$3:C$14)</f>
        <v>525000</v>
      </c>
      <c r="I9" s="3">
        <f t="shared" si="7"/>
        <v>0</v>
      </c>
      <c r="J9" s="3">
        <f t="shared" si="1"/>
        <v>525000</v>
      </c>
    </row>
    <row r="10" spans="1:10" ht="15.75" customHeight="1" x14ac:dyDescent="0.2">
      <c r="A10" s="1" t="s">
        <v>18</v>
      </c>
      <c r="B10" s="1"/>
      <c r="C10" s="3">
        <v>525000</v>
      </c>
      <c r="D10" s="3"/>
      <c r="F10" s="1" t="s">
        <v>14</v>
      </c>
      <c r="G10" s="1" t="s">
        <v>4</v>
      </c>
      <c r="H10" s="3">
        <f t="shared" ref="H10:I10" si="8">SUMIF(A$3:A$14,$F10,C$3:C$14)</f>
        <v>262500</v>
      </c>
      <c r="I10" s="3">
        <f t="shared" si="8"/>
        <v>0</v>
      </c>
      <c r="J10" s="3">
        <f t="shared" si="1"/>
        <v>262500</v>
      </c>
    </row>
    <row r="11" spans="1:10" ht="15.75" customHeight="1" x14ac:dyDescent="0.2">
      <c r="A11" s="1"/>
      <c r="B11" s="1" t="s">
        <v>17</v>
      </c>
      <c r="C11" s="3"/>
      <c r="D11" s="3">
        <v>1050000</v>
      </c>
      <c r="F11" s="4" t="s">
        <v>19</v>
      </c>
      <c r="G11" s="1" t="s">
        <v>4</v>
      </c>
      <c r="H11" s="3">
        <f t="shared" ref="H11:I11" si="9">SUMIF(A$3:A$14,$F11,C$3:C$14)</f>
        <v>77963</v>
      </c>
      <c r="I11" s="3">
        <f t="shared" si="9"/>
        <v>0</v>
      </c>
      <c r="J11" s="3">
        <f t="shared" si="1"/>
        <v>77963</v>
      </c>
    </row>
    <row r="12" spans="1:10" ht="15.75" customHeight="1" x14ac:dyDescent="0.2">
      <c r="A12" s="1"/>
      <c r="B12" s="1" t="s">
        <v>13</v>
      </c>
      <c r="C12" s="3"/>
      <c r="D12" s="3">
        <v>525000</v>
      </c>
      <c r="F12" s="1"/>
      <c r="G12" s="1"/>
      <c r="H12" s="3">
        <f t="shared" ref="H12:I12" si="10">SUMIF(A$3:A$14,$F12,C$3:C$14)</f>
        <v>0</v>
      </c>
      <c r="I12" s="3">
        <f t="shared" si="10"/>
        <v>0</v>
      </c>
      <c r="J12" s="3">
        <f t="shared" si="1"/>
        <v>0</v>
      </c>
    </row>
    <row r="13" spans="1:10" ht="15.75" customHeight="1" x14ac:dyDescent="0.2">
      <c r="A13" s="4" t="s">
        <v>19</v>
      </c>
      <c r="B13" s="1"/>
      <c r="C13" s="2">
        <v>77963</v>
      </c>
      <c r="D13" s="3"/>
      <c r="F13" s="5" t="s">
        <v>20</v>
      </c>
      <c r="G13" s="5"/>
      <c r="H13" s="6">
        <f t="shared" ref="H13:J13" si="11">SUBTOTAL(109,H3:H12)</f>
        <v>2440463</v>
      </c>
      <c r="I13" s="6">
        <f t="shared" si="11"/>
        <v>2440463</v>
      </c>
      <c r="J13" s="6">
        <f t="shared" si="11"/>
        <v>2100000</v>
      </c>
    </row>
    <row r="14" spans="1:10" ht="15.75" customHeight="1" x14ac:dyDescent="0.2">
      <c r="A14" s="1"/>
      <c r="B14" s="4" t="s">
        <v>11</v>
      </c>
      <c r="C14" s="3"/>
      <c r="D14" s="2">
        <v>77963</v>
      </c>
    </row>
    <row r="15" spans="1:10" ht="15.75" customHeight="1" x14ac:dyDescent="0.2">
      <c r="A15" s="5" t="s">
        <v>20</v>
      </c>
      <c r="B15" s="5"/>
      <c r="C15" s="6">
        <f>SUM(C3:C14)</f>
        <v>2440463</v>
      </c>
      <c r="D15" s="6">
        <f>SUBTOTAL(109,D3:D14)</f>
        <v>2440463</v>
      </c>
    </row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2">
    <mergeCell ref="A1:D1"/>
    <mergeCell ref="F1:J1"/>
  </mergeCells>
  <dataValidations count="1">
    <dataValidation type="list" allowBlank="1" showErrorMessage="1" sqref="A3:B14" xr:uid="{00000000-0002-0000-0100-000000000000}">
      <formula1>$F$3:$F$12</formula1>
    </dataValidation>
  </dataValidations>
  <pageMargins left="0.7" right="0.7" top="0.75" bottom="0.75" header="0" footer="0"/>
  <pageSetup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5"/>
  <sheetViews>
    <sheetView workbookViewId="0">
      <selection sqref="A1:D1"/>
    </sheetView>
  </sheetViews>
  <sheetFormatPr baseColWidth="10" defaultColWidth="11.28515625" defaultRowHeight="15" customHeight="1" x14ac:dyDescent="0.2"/>
  <cols>
    <col min="1" max="1" width="17.28515625" customWidth="1"/>
    <col min="2" max="2" width="13.28515625" customWidth="1"/>
    <col min="3" max="4" width="9.85546875" customWidth="1"/>
    <col min="5" max="5" width="11" customWidth="1"/>
    <col min="6" max="6" width="15.85546875" customWidth="1"/>
    <col min="7" max="7" width="11" customWidth="1"/>
    <col min="8" max="9" width="9.85546875" customWidth="1"/>
    <col min="10" max="10" width="20.28515625" customWidth="1"/>
    <col min="11" max="26" width="11" customWidth="1"/>
  </cols>
  <sheetData>
    <row r="1" spans="1:10" ht="15.75" customHeight="1" x14ac:dyDescent="0.2">
      <c r="A1" s="66" t="s">
        <v>0</v>
      </c>
      <c r="B1" s="67"/>
      <c r="C1" s="67"/>
      <c r="D1" s="68"/>
      <c r="F1" s="69" t="s">
        <v>1</v>
      </c>
      <c r="G1" s="67"/>
      <c r="H1" s="67"/>
      <c r="I1" s="67"/>
      <c r="J1" s="68"/>
    </row>
    <row r="2" spans="1:10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">
      <c r="A3" s="1" t="s">
        <v>14</v>
      </c>
      <c r="B3" s="1"/>
      <c r="C3" s="2">
        <v>1312500</v>
      </c>
      <c r="D3" s="3"/>
      <c r="F3" s="1" t="s">
        <v>11</v>
      </c>
      <c r="G3" s="1" t="s">
        <v>4</v>
      </c>
      <c r="H3" s="3">
        <f t="shared" ref="H3:I3" si="0">SUMIF(A$3:A$12,$F3,C$3:C$12)</f>
        <v>5250000</v>
      </c>
      <c r="I3" s="3">
        <f t="shared" si="0"/>
        <v>4327313</v>
      </c>
      <c r="J3" s="3">
        <f t="shared" ref="J3:J11" si="1">IF(G3="Debit",H3-I3,I3-H3)</f>
        <v>922687</v>
      </c>
    </row>
    <row r="4" spans="1:10" ht="15.75" customHeight="1" x14ac:dyDescent="0.2">
      <c r="A4" s="1"/>
      <c r="B4" s="1" t="s">
        <v>11</v>
      </c>
      <c r="C4" s="3"/>
      <c r="D4" s="2">
        <v>1312500</v>
      </c>
      <c r="F4" s="1" t="s">
        <v>13</v>
      </c>
      <c r="G4" s="1" t="s">
        <v>4</v>
      </c>
      <c r="H4" s="3">
        <f t="shared" ref="H4:I4" si="2">SUMIF(A$3:A$12,$F4,C$3:C$12)</f>
        <v>2625000</v>
      </c>
      <c r="I4" s="3">
        <f t="shared" si="2"/>
        <v>2625000</v>
      </c>
      <c r="J4" s="3">
        <f t="shared" si="1"/>
        <v>0</v>
      </c>
    </row>
    <row r="5" spans="1:10" ht="15.75" customHeight="1" x14ac:dyDescent="0.2">
      <c r="A5" s="1" t="s">
        <v>13</v>
      </c>
      <c r="B5" s="1"/>
      <c r="C5" s="3">
        <v>2625000</v>
      </c>
      <c r="D5" s="3"/>
      <c r="F5" s="4" t="s">
        <v>15</v>
      </c>
      <c r="G5" s="1" t="s">
        <v>4</v>
      </c>
      <c r="H5" s="3">
        <f t="shared" ref="H5:I5" si="3">SUMIF(A$3:A$12,$F5,C$3:C$12)</f>
        <v>0</v>
      </c>
      <c r="I5" s="3">
        <f t="shared" si="3"/>
        <v>0</v>
      </c>
      <c r="J5" s="3">
        <f t="shared" si="1"/>
        <v>0</v>
      </c>
    </row>
    <row r="6" spans="1:10" ht="15.75" customHeight="1" x14ac:dyDescent="0.2">
      <c r="A6" s="1"/>
      <c r="B6" s="1" t="s">
        <v>11</v>
      </c>
      <c r="C6" s="3"/>
      <c r="D6" s="3">
        <v>2625000</v>
      </c>
      <c r="F6" s="1" t="s">
        <v>16</v>
      </c>
      <c r="G6" s="1" t="s">
        <v>5</v>
      </c>
      <c r="H6" s="3">
        <f t="shared" ref="H6:I6" si="4">SUMIF(A$3:A$12,$F6,C$3:C$12)</f>
        <v>0</v>
      </c>
      <c r="I6" s="3">
        <f t="shared" si="4"/>
        <v>0</v>
      </c>
      <c r="J6" s="3">
        <f t="shared" si="1"/>
        <v>0</v>
      </c>
    </row>
    <row r="7" spans="1:10" ht="15.75" customHeight="1" x14ac:dyDescent="0.2">
      <c r="A7" s="1" t="s">
        <v>11</v>
      </c>
      <c r="B7" s="1"/>
      <c r="C7" s="3">
        <v>5250000</v>
      </c>
      <c r="D7" s="3"/>
      <c r="F7" s="1" t="s">
        <v>12</v>
      </c>
      <c r="G7" s="1" t="s">
        <v>5</v>
      </c>
      <c r="H7" s="3">
        <f t="shared" ref="H7:I7" si="5">SUMIF(A$3:A$12,$F7,C$3:C$12)</f>
        <v>0</v>
      </c>
      <c r="I7" s="3">
        <f t="shared" si="5"/>
        <v>0</v>
      </c>
      <c r="J7" s="3">
        <f t="shared" si="1"/>
        <v>0</v>
      </c>
    </row>
    <row r="8" spans="1:10" ht="15.75" customHeight="1" x14ac:dyDescent="0.2">
      <c r="A8" s="1" t="s">
        <v>18</v>
      </c>
      <c r="B8" s="1"/>
      <c r="C8" s="3">
        <v>2625000</v>
      </c>
      <c r="D8" s="3"/>
      <c r="F8" s="1" t="s">
        <v>17</v>
      </c>
      <c r="G8" s="1" t="s">
        <v>5</v>
      </c>
      <c r="H8" s="3">
        <f t="shared" ref="H8:I8" si="6">SUMIF(A$3:A$12,$F8,C$3:C$12)</f>
        <v>0</v>
      </c>
      <c r="I8" s="3">
        <f t="shared" si="6"/>
        <v>5250000</v>
      </c>
      <c r="J8" s="3">
        <f t="shared" si="1"/>
        <v>5250000</v>
      </c>
    </row>
    <row r="9" spans="1:10" ht="15.75" customHeight="1" x14ac:dyDescent="0.2">
      <c r="A9" s="1"/>
      <c r="B9" s="1" t="s">
        <v>17</v>
      </c>
      <c r="C9" s="3"/>
      <c r="D9" s="3">
        <v>5250000</v>
      </c>
      <c r="F9" s="1" t="s">
        <v>18</v>
      </c>
      <c r="G9" s="1" t="s">
        <v>4</v>
      </c>
      <c r="H9" s="3">
        <f t="shared" ref="H9:I9" si="7">SUMIF(A$3:A$12,$F9,C$3:C$12)</f>
        <v>2625000</v>
      </c>
      <c r="I9" s="3">
        <f t="shared" si="7"/>
        <v>0</v>
      </c>
      <c r="J9" s="3">
        <f t="shared" si="1"/>
        <v>2625000</v>
      </c>
    </row>
    <row r="10" spans="1:10" ht="15.75" customHeight="1" x14ac:dyDescent="0.2">
      <c r="A10" s="1"/>
      <c r="B10" s="1" t="s">
        <v>13</v>
      </c>
      <c r="C10" s="3"/>
      <c r="D10" s="3">
        <v>2625000</v>
      </c>
      <c r="F10" s="1" t="s">
        <v>14</v>
      </c>
      <c r="G10" s="1" t="s">
        <v>4</v>
      </c>
      <c r="H10" s="3">
        <f t="shared" ref="H10:I10" si="8">SUMIF(A$3:A$12,$F10,C$3:C$12)</f>
        <v>1312500</v>
      </c>
      <c r="I10" s="3">
        <f t="shared" si="8"/>
        <v>0</v>
      </c>
      <c r="J10" s="3">
        <f t="shared" si="1"/>
        <v>1312500</v>
      </c>
    </row>
    <row r="11" spans="1:10" ht="15.75" customHeight="1" x14ac:dyDescent="0.2">
      <c r="A11" s="4" t="s">
        <v>19</v>
      </c>
      <c r="B11" s="1"/>
      <c r="C11" s="2">
        <v>389813</v>
      </c>
      <c r="D11" s="3"/>
      <c r="F11" s="4" t="s">
        <v>19</v>
      </c>
      <c r="G11" s="1" t="s">
        <v>4</v>
      </c>
      <c r="H11" s="3">
        <f t="shared" ref="H11:I11" si="9">SUMIF(A$3:A$12,$F11,C$3:C$12)</f>
        <v>389813</v>
      </c>
      <c r="I11" s="3">
        <f t="shared" si="9"/>
        <v>0</v>
      </c>
      <c r="J11" s="3">
        <f t="shared" si="1"/>
        <v>389813</v>
      </c>
    </row>
    <row r="12" spans="1:10" ht="15.75" customHeight="1" x14ac:dyDescent="0.2">
      <c r="A12" s="1"/>
      <c r="B12" s="4" t="s">
        <v>11</v>
      </c>
      <c r="C12" s="3"/>
      <c r="D12" s="2">
        <v>389813</v>
      </c>
      <c r="F12" s="5" t="s">
        <v>20</v>
      </c>
      <c r="G12" s="5"/>
      <c r="H12" s="6">
        <f t="shared" ref="H12:J12" si="10">SUBTOTAL(109,H3:H11)</f>
        <v>12202313</v>
      </c>
      <c r="I12" s="6">
        <f t="shared" si="10"/>
        <v>12202313</v>
      </c>
      <c r="J12" s="6">
        <f t="shared" si="10"/>
        <v>10500000</v>
      </c>
    </row>
    <row r="13" spans="1:10" ht="15.75" customHeight="1" x14ac:dyDescent="0.2">
      <c r="A13" s="5" t="s">
        <v>20</v>
      </c>
      <c r="B13" s="5"/>
      <c r="C13" s="6">
        <f>SUM(C3:C12)</f>
        <v>12202313</v>
      </c>
      <c r="D13" s="6">
        <f>SUBTOTAL(109,D3:D12)</f>
        <v>12202313</v>
      </c>
    </row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">
    <mergeCell ref="A1:D1"/>
    <mergeCell ref="F1:J1"/>
  </mergeCells>
  <dataValidations count="1">
    <dataValidation type="list" allowBlank="1" showErrorMessage="1" sqref="A3:B11 B12" xr:uid="{00000000-0002-0000-0200-000000000000}">
      <formula1>$F$3:$F$11</formula1>
    </dataValidation>
  </dataValidations>
  <pageMargins left="0.7" right="0.7" top="0.75" bottom="0.75" header="0" footer="0"/>
  <pageSetup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6"/>
  <sheetViews>
    <sheetView workbookViewId="0">
      <selection sqref="A1:D1"/>
    </sheetView>
  </sheetViews>
  <sheetFormatPr baseColWidth="10" defaultColWidth="11.28515625" defaultRowHeight="15" customHeight="1" x14ac:dyDescent="0.2"/>
  <cols>
    <col min="1" max="1" width="17.28515625" customWidth="1"/>
    <col min="2" max="2" width="13.28515625" customWidth="1"/>
    <col min="3" max="4" width="9.85546875" customWidth="1"/>
    <col min="5" max="5" width="11" customWidth="1"/>
    <col min="6" max="6" width="15.85546875" customWidth="1"/>
    <col min="7" max="7" width="11" customWidth="1"/>
    <col min="8" max="9" width="9.85546875" customWidth="1"/>
    <col min="10" max="10" width="20.28515625" customWidth="1"/>
    <col min="11" max="26" width="11" customWidth="1"/>
  </cols>
  <sheetData>
    <row r="1" spans="1:10" ht="15.75" customHeight="1" x14ac:dyDescent="0.2">
      <c r="A1" s="66" t="s">
        <v>0</v>
      </c>
      <c r="B1" s="67"/>
      <c r="C1" s="67"/>
      <c r="D1" s="68"/>
      <c r="F1" s="69" t="s">
        <v>1</v>
      </c>
      <c r="G1" s="67"/>
      <c r="H1" s="67"/>
      <c r="I1" s="67"/>
      <c r="J1" s="68"/>
    </row>
    <row r="2" spans="1:10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">
      <c r="A3" s="1" t="s">
        <v>14</v>
      </c>
      <c r="B3" s="1"/>
      <c r="C3" s="2">
        <v>2625000</v>
      </c>
      <c r="D3" s="3"/>
      <c r="F3" s="1" t="s">
        <v>11</v>
      </c>
      <c r="G3" s="1" t="s">
        <v>4</v>
      </c>
      <c r="H3" s="3">
        <f t="shared" ref="H3:I3" si="0">SUMIF(A$3:A$12,$F3,C$3:C$12)</f>
        <v>10500000</v>
      </c>
      <c r="I3" s="3">
        <f t="shared" si="0"/>
        <v>8654625</v>
      </c>
      <c r="J3" s="3">
        <f t="shared" ref="J3:J11" si="1">IF(G3="Debit",H3-I3,I3-H3)</f>
        <v>1845375</v>
      </c>
    </row>
    <row r="4" spans="1:10" ht="15.75" customHeight="1" x14ac:dyDescent="0.2">
      <c r="A4" s="1"/>
      <c r="B4" s="1" t="s">
        <v>11</v>
      </c>
      <c r="C4" s="3"/>
      <c r="D4" s="2">
        <v>2625000</v>
      </c>
      <c r="F4" s="1" t="s">
        <v>13</v>
      </c>
      <c r="G4" s="1" t="s">
        <v>4</v>
      </c>
      <c r="H4" s="3">
        <f t="shared" ref="H4:I4" si="2">SUMIF(A$3:A$12,$F4,C$3:C$12)</f>
        <v>5250000</v>
      </c>
      <c r="I4" s="3">
        <f t="shared" si="2"/>
        <v>5250000</v>
      </c>
      <c r="J4" s="3">
        <f t="shared" si="1"/>
        <v>0</v>
      </c>
    </row>
    <row r="5" spans="1:10" ht="15.75" customHeight="1" x14ac:dyDescent="0.2">
      <c r="A5" s="1" t="s">
        <v>13</v>
      </c>
      <c r="B5" s="1"/>
      <c r="C5" s="3">
        <v>5250000</v>
      </c>
      <c r="D5" s="3"/>
      <c r="F5" s="4" t="s">
        <v>15</v>
      </c>
      <c r="G5" s="1" t="s">
        <v>4</v>
      </c>
      <c r="H5" s="3">
        <f t="shared" ref="H5:I5" si="3">SUMIF(A$3:A$12,$F5,C$3:C$12)</f>
        <v>0</v>
      </c>
      <c r="I5" s="3">
        <f t="shared" si="3"/>
        <v>0</v>
      </c>
      <c r="J5" s="3">
        <f t="shared" si="1"/>
        <v>0</v>
      </c>
    </row>
    <row r="6" spans="1:10" ht="15.75" customHeight="1" x14ac:dyDescent="0.2">
      <c r="A6" s="1"/>
      <c r="B6" s="1" t="s">
        <v>11</v>
      </c>
      <c r="C6" s="3"/>
      <c r="D6" s="3">
        <v>5250000</v>
      </c>
      <c r="F6" s="1" t="s">
        <v>16</v>
      </c>
      <c r="G6" s="1" t="s">
        <v>5</v>
      </c>
      <c r="H6" s="3">
        <f t="shared" ref="H6:I6" si="4">SUMIF(A$3:A$12,$F6,C$3:C$12)</f>
        <v>0</v>
      </c>
      <c r="I6" s="3">
        <f t="shared" si="4"/>
        <v>0</v>
      </c>
      <c r="J6" s="3">
        <f t="shared" si="1"/>
        <v>0</v>
      </c>
    </row>
    <row r="7" spans="1:10" ht="15.75" customHeight="1" x14ac:dyDescent="0.2">
      <c r="A7" s="1" t="s">
        <v>11</v>
      </c>
      <c r="B7" s="1"/>
      <c r="C7" s="3">
        <v>10500000</v>
      </c>
      <c r="D7" s="3"/>
      <c r="F7" s="1" t="s">
        <v>12</v>
      </c>
      <c r="G7" s="1" t="s">
        <v>5</v>
      </c>
      <c r="H7" s="3">
        <f t="shared" ref="H7:I7" si="5">SUMIF(A$3:A$12,$F7,C$3:C$12)</f>
        <v>0</v>
      </c>
      <c r="I7" s="3">
        <f t="shared" si="5"/>
        <v>0</v>
      </c>
      <c r="J7" s="3">
        <f t="shared" si="1"/>
        <v>0</v>
      </c>
    </row>
    <row r="8" spans="1:10" ht="15.75" customHeight="1" x14ac:dyDescent="0.2">
      <c r="A8" s="1" t="s">
        <v>18</v>
      </c>
      <c r="B8" s="1"/>
      <c r="C8" s="3">
        <v>5250000</v>
      </c>
      <c r="D8" s="3"/>
      <c r="F8" s="1" t="s">
        <v>17</v>
      </c>
      <c r="G8" s="1" t="s">
        <v>5</v>
      </c>
      <c r="H8" s="3">
        <f t="shared" ref="H8:I8" si="6">SUMIF(A$3:A$12,$F8,C$3:C$12)</f>
        <v>0</v>
      </c>
      <c r="I8" s="3">
        <f t="shared" si="6"/>
        <v>10500000</v>
      </c>
      <c r="J8" s="3">
        <f t="shared" si="1"/>
        <v>10500000</v>
      </c>
    </row>
    <row r="9" spans="1:10" ht="15.75" customHeight="1" x14ac:dyDescent="0.2">
      <c r="A9" s="1"/>
      <c r="B9" s="1" t="s">
        <v>17</v>
      </c>
      <c r="C9" s="3"/>
      <c r="D9" s="3">
        <v>10500000</v>
      </c>
      <c r="F9" s="1" t="s">
        <v>18</v>
      </c>
      <c r="G9" s="1" t="s">
        <v>4</v>
      </c>
      <c r="H9" s="3">
        <f t="shared" ref="H9:I9" si="7">SUMIF(A$3:A$12,$F9,C$3:C$12)</f>
        <v>5250000</v>
      </c>
      <c r="I9" s="3">
        <f t="shared" si="7"/>
        <v>0</v>
      </c>
      <c r="J9" s="3">
        <f t="shared" si="1"/>
        <v>5250000</v>
      </c>
    </row>
    <row r="10" spans="1:10" ht="15.75" customHeight="1" x14ac:dyDescent="0.2">
      <c r="A10" s="1"/>
      <c r="B10" s="1" t="s">
        <v>13</v>
      </c>
      <c r="C10" s="3"/>
      <c r="D10" s="3">
        <v>5250000</v>
      </c>
      <c r="F10" s="1" t="s">
        <v>14</v>
      </c>
      <c r="G10" s="1" t="s">
        <v>4</v>
      </c>
      <c r="H10" s="3">
        <f t="shared" ref="H10:I10" si="8">SUMIF(A$3:A$12,$F10,C$3:C$12)</f>
        <v>2625000</v>
      </c>
      <c r="I10" s="3">
        <f t="shared" si="8"/>
        <v>0</v>
      </c>
      <c r="J10" s="3">
        <f t="shared" si="1"/>
        <v>2625000</v>
      </c>
    </row>
    <row r="11" spans="1:10" ht="15.75" customHeight="1" x14ac:dyDescent="0.2">
      <c r="A11" s="4" t="s">
        <v>19</v>
      </c>
      <c r="B11" s="1"/>
      <c r="C11" s="2">
        <v>779625</v>
      </c>
      <c r="D11" s="3"/>
      <c r="F11" s="4" t="s">
        <v>19</v>
      </c>
      <c r="G11" s="1" t="s">
        <v>4</v>
      </c>
      <c r="H11" s="3">
        <f t="shared" ref="H11:I11" si="9">SUMIF(A$3:A$12,$F11,C$3:C$12)</f>
        <v>779625</v>
      </c>
      <c r="I11" s="3">
        <f t="shared" si="9"/>
        <v>0</v>
      </c>
      <c r="J11" s="3">
        <f t="shared" si="1"/>
        <v>779625</v>
      </c>
    </row>
    <row r="12" spans="1:10" ht="15.75" customHeight="1" x14ac:dyDescent="0.2">
      <c r="A12" s="1"/>
      <c r="B12" s="4" t="s">
        <v>11</v>
      </c>
      <c r="C12" s="3"/>
      <c r="D12" s="2">
        <v>779625</v>
      </c>
      <c r="F12" s="5" t="s">
        <v>20</v>
      </c>
      <c r="G12" s="5"/>
      <c r="H12" s="6">
        <f t="shared" ref="H12:J12" si="10">SUBTOTAL(109,H3:H11)</f>
        <v>24404625</v>
      </c>
      <c r="I12" s="6">
        <f t="shared" si="10"/>
        <v>24404625</v>
      </c>
      <c r="J12" s="6">
        <f t="shared" si="10"/>
        <v>21000000</v>
      </c>
    </row>
    <row r="13" spans="1:10" ht="15.75" customHeight="1" x14ac:dyDescent="0.2">
      <c r="A13" s="5" t="s">
        <v>20</v>
      </c>
      <c r="B13" s="5"/>
      <c r="C13" s="6">
        <f>SUM(C3:C12)</f>
        <v>24404625</v>
      </c>
      <c r="D13" s="6">
        <f>SUBTOTAL(109,D3:D12)</f>
        <v>24404625</v>
      </c>
    </row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2">
    <mergeCell ref="A1:D1"/>
    <mergeCell ref="F1:J1"/>
  </mergeCells>
  <dataValidations count="1">
    <dataValidation type="list" allowBlank="1" showErrorMessage="1" sqref="A3:B11 B12" xr:uid="{00000000-0002-0000-0300-000000000000}">
      <formula1>$F$3:$F$11</formula1>
    </dataValidation>
  </dataValidations>
  <pageMargins left="0.7" right="0.7" top="0.75" bottom="0.75" header="0" footer="0"/>
  <pageSetup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6"/>
  <sheetViews>
    <sheetView workbookViewId="0">
      <selection sqref="A1:D1"/>
    </sheetView>
  </sheetViews>
  <sheetFormatPr baseColWidth="10" defaultColWidth="11.28515625" defaultRowHeight="15" customHeight="1" x14ac:dyDescent="0.2"/>
  <cols>
    <col min="1" max="1" width="17.28515625" customWidth="1"/>
    <col min="2" max="2" width="13.28515625" customWidth="1"/>
    <col min="3" max="4" width="9.85546875" customWidth="1"/>
    <col min="5" max="5" width="11" customWidth="1"/>
    <col min="6" max="6" width="15.85546875" customWidth="1"/>
    <col min="7" max="7" width="11" customWidth="1"/>
    <col min="8" max="9" width="9.85546875" customWidth="1"/>
    <col min="10" max="10" width="20.28515625" customWidth="1"/>
    <col min="11" max="26" width="11" customWidth="1"/>
  </cols>
  <sheetData>
    <row r="1" spans="1:10" ht="15.75" customHeight="1" x14ac:dyDescent="0.2">
      <c r="A1" s="66" t="s">
        <v>0</v>
      </c>
      <c r="B1" s="67"/>
      <c r="C1" s="67"/>
      <c r="D1" s="68"/>
      <c r="F1" s="69" t="s">
        <v>1</v>
      </c>
      <c r="G1" s="67"/>
      <c r="H1" s="67"/>
      <c r="I1" s="67"/>
      <c r="J1" s="68"/>
    </row>
    <row r="2" spans="1:10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.75" customHeight="1" x14ac:dyDescent="0.2">
      <c r="A3" s="1" t="s">
        <v>14</v>
      </c>
      <c r="B3" s="1"/>
      <c r="C3" s="2">
        <v>6562500</v>
      </c>
      <c r="D3" s="3"/>
      <c r="F3" s="1" t="s">
        <v>11</v>
      </c>
      <c r="G3" s="1" t="s">
        <v>4</v>
      </c>
      <c r="H3" s="3">
        <f t="shared" ref="H3:I3" si="0">SUMIF(A$3:A$12,$F3,C$3:C$12)</f>
        <v>26250000</v>
      </c>
      <c r="I3" s="3">
        <f t="shared" si="0"/>
        <v>21636563</v>
      </c>
      <c r="J3" s="3">
        <f t="shared" ref="J3:J12" si="1">IF(G3="Debit",H3-I3,I3-H3)</f>
        <v>4613437</v>
      </c>
    </row>
    <row r="4" spans="1:10" ht="15.75" customHeight="1" x14ac:dyDescent="0.2">
      <c r="A4" s="1"/>
      <c r="B4" s="1" t="s">
        <v>11</v>
      </c>
      <c r="C4" s="3"/>
      <c r="D4" s="2">
        <v>6562500</v>
      </c>
      <c r="F4" s="1" t="s">
        <v>13</v>
      </c>
      <c r="G4" s="1" t="s">
        <v>4</v>
      </c>
      <c r="H4" s="3">
        <f t="shared" ref="H4:I4" si="2">SUMIF(A$3:A$12,$F4,C$3:C$12)</f>
        <v>13125000</v>
      </c>
      <c r="I4" s="3">
        <f t="shared" si="2"/>
        <v>13125000</v>
      </c>
      <c r="J4" s="3">
        <f t="shared" si="1"/>
        <v>0</v>
      </c>
    </row>
    <row r="5" spans="1:10" ht="15.75" customHeight="1" x14ac:dyDescent="0.2">
      <c r="A5" s="1" t="s">
        <v>13</v>
      </c>
      <c r="B5" s="1"/>
      <c r="C5" s="3">
        <v>13125000</v>
      </c>
      <c r="D5" s="3"/>
      <c r="F5" s="4" t="s">
        <v>15</v>
      </c>
      <c r="G5" s="1" t="s">
        <v>4</v>
      </c>
      <c r="H5" s="3">
        <f t="shared" ref="H5:I5" si="3">SUMIF(A$3:A$12,$F5,C$3:C$12)</f>
        <v>0</v>
      </c>
      <c r="I5" s="3">
        <f t="shared" si="3"/>
        <v>0</v>
      </c>
      <c r="J5" s="3">
        <f t="shared" si="1"/>
        <v>0</v>
      </c>
    </row>
    <row r="6" spans="1:10" ht="15.75" customHeight="1" x14ac:dyDescent="0.2">
      <c r="A6" s="1"/>
      <c r="B6" s="1" t="s">
        <v>11</v>
      </c>
      <c r="C6" s="3"/>
      <c r="D6" s="3">
        <v>13125000</v>
      </c>
      <c r="F6" s="1" t="s">
        <v>16</v>
      </c>
      <c r="G6" s="1" t="s">
        <v>5</v>
      </c>
      <c r="H6" s="3">
        <f t="shared" ref="H6:I6" si="4">SUMIF(A$3:A$12,$F6,C$3:C$12)</f>
        <v>0</v>
      </c>
      <c r="I6" s="3">
        <f t="shared" si="4"/>
        <v>0</v>
      </c>
      <c r="J6" s="3">
        <f t="shared" si="1"/>
        <v>0</v>
      </c>
    </row>
    <row r="7" spans="1:10" ht="15.75" customHeight="1" x14ac:dyDescent="0.2">
      <c r="A7" s="1" t="s">
        <v>11</v>
      </c>
      <c r="B7" s="1"/>
      <c r="C7" s="3">
        <v>26250000</v>
      </c>
      <c r="D7" s="3"/>
      <c r="F7" s="1" t="s">
        <v>12</v>
      </c>
      <c r="G7" s="1" t="s">
        <v>5</v>
      </c>
      <c r="H7" s="3">
        <f t="shared" ref="H7:I7" si="5">SUMIF(A$3:A$12,$F7,C$3:C$12)</f>
        <v>0</v>
      </c>
      <c r="I7" s="3">
        <f t="shared" si="5"/>
        <v>0</v>
      </c>
      <c r="J7" s="3">
        <f t="shared" si="1"/>
        <v>0</v>
      </c>
    </row>
    <row r="8" spans="1:10" ht="15.75" customHeight="1" x14ac:dyDescent="0.2">
      <c r="A8" s="1" t="s">
        <v>18</v>
      </c>
      <c r="B8" s="1"/>
      <c r="C8" s="3">
        <v>13125000</v>
      </c>
      <c r="D8" s="3"/>
      <c r="F8" s="1" t="s">
        <v>17</v>
      </c>
      <c r="G8" s="1" t="s">
        <v>5</v>
      </c>
      <c r="H8" s="3">
        <f t="shared" ref="H8:I8" si="6">SUMIF(A$3:A$12,$F8,C$3:C$12)</f>
        <v>0</v>
      </c>
      <c r="I8" s="3">
        <f t="shared" si="6"/>
        <v>26250000</v>
      </c>
      <c r="J8" s="3">
        <f t="shared" si="1"/>
        <v>26250000</v>
      </c>
    </row>
    <row r="9" spans="1:10" ht="15.75" customHeight="1" x14ac:dyDescent="0.2">
      <c r="A9" s="1"/>
      <c r="B9" s="1" t="s">
        <v>17</v>
      </c>
      <c r="C9" s="3"/>
      <c r="D9" s="3">
        <v>26250000</v>
      </c>
      <c r="F9" s="1" t="s">
        <v>18</v>
      </c>
      <c r="G9" s="1" t="s">
        <v>4</v>
      </c>
      <c r="H9" s="3">
        <f t="shared" ref="H9:I9" si="7">SUMIF(A$3:A$12,$F9,C$3:C$12)</f>
        <v>13125000</v>
      </c>
      <c r="I9" s="3">
        <f t="shared" si="7"/>
        <v>0</v>
      </c>
      <c r="J9" s="3">
        <f t="shared" si="1"/>
        <v>13125000</v>
      </c>
    </row>
    <row r="10" spans="1:10" ht="15.75" customHeight="1" x14ac:dyDescent="0.2">
      <c r="A10" s="1"/>
      <c r="B10" s="1" t="s">
        <v>13</v>
      </c>
      <c r="C10" s="3"/>
      <c r="D10" s="3">
        <v>13125000</v>
      </c>
      <c r="F10" s="1" t="s">
        <v>14</v>
      </c>
      <c r="G10" s="1" t="s">
        <v>4</v>
      </c>
      <c r="H10" s="3">
        <f t="shared" ref="H10:I10" si="8">SUMIF(A$3:A$12,$F10,C$3:C$12)</f>
        <v>6562500</v>
      </c>
      <c r="I10" s="3">
        <f t="shared" si="8"/>
        <v>0</v>
      </c>
      <c r="J10" s="3">
        <f t="shared" si="1"/>
        <v>6562500</v>
      </c>
    </row>
    <row r="11" spans="1:10" ht="15.75" customHeight="1" x14ac:dyDescent="0.2">
      <c r="A11" s="4" t="s">
        <v>19</v>
      </c>
      <c r="B11" s="1"/>
      <c r="C11" s="2">
        <v>1949063</v>
      </c>
      <c r="D11" s="3"/>
      <c r="F11" s="4" t="s">
        <v>19</v>
      </c>
      <c r="G11" s="1" t="s">
        <v>4</v>
      </c>
      <c r="H11" s="3">
        <f t="shared" ref="H11:I11" si="9">SUMIF(A$3:A$12,$F11,C$3:C$12)</f>
        <v>1949063</v>
      </c>
      <c r="I11" s="3">
        <f t="shared" si="9"/>
        <v>0</v>
      </c>
      <c r="J11" s="3">
        <f t="shared" si="1"/>
        <v>1949063</v>
      </c>
    </row>
    <row r="12" spans="1:10" ht="15.75" customHeight="1" x14ac:dyDescent="0.2">
      <c r="A12" s="1"/>
      <c r="B12" s="4" t="s">
        <v>11</v>
      </c>
      <c r="C12" s="3"/>
      <c r="D12" s="2">
        <v>1949063</v>
      </c>
      <c r="F12" s="1"/>
      <c r="G12" s="1"/>
      <c r="H12" s="3">
        <f t="shared" ref="H12:I12" si="10">SUMIF(A$3:A$12,$F12,C$3:C$12)</f>
        <v>0</v>
      </c>
      <c r="I12" s="3">
        <f t="shared" si="10"/>
        <v>0</v>
      </c>
      <c r="J12" s="3">
        <f t="shared" si="1"/>
        <v>0</v>
      </c>
    </row>
    <row r="13" spans="1:10" ht="15.75" customHeight="1" x14ac:dyDescent="0.2">
      <c r="A13" s="5" t="s">
        <v>20</v>
      </c>
      <c r="B13" s="5"/>
      <c r="C13" s="6">
        <f>SUM(C3:C12)</f>
        <v>61011563</v>
      </c>
      <c r="D13" s="6">
        <f>SUBTOTAL(109,D3:D12)</f>
        <v>61011563</v>
      </c>
      <c r="F13" s="5" t="s">
        <v>20</v>
      </c>
      <c r="G13" s="5"/>
      <c r="H13" s="6">
        <f t="shared" ref="H13:J13" si="11">SUBTOTAL(109,H3:H12)</f>
        <v>61011563</v>
      </c>
      <c r="I13" s="6">
        <f t="shared" si="11"/>
        <v>61011563</v>
      </c>
      <c r="J13" s="6">
        <f t="shared" si="11"/>
        <v>52500000</v>
      </c>
    </row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2">
    <mergeCell ref="A1:D1"/>
    <mergeCell ref="F1:J1"/>
  </mergeCells>
  <dataValidations count="1">
    <dataValidation type="list" allowBlank="1" showErrorMessage="1" sqref="A3:B11 B12" xr:uid="{00000000-0002-0000-0400-000000000000}">
      <formula1>$F$3:$F$12</formula1>
    </dataValidation>
  </dataValidations>
  <pageMargins left="0.7" right="0.7" top="0.75" bottom="0.75" header="0" footer="0"/>
  <pageSetup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B8"/>
  <sheetViews>
    <sheetView workbookViewId="0"/>
  </sheetViews>
  <sheetFormatPr baseColWidth="10" defaultColWidth="11.28515625" defaultRowHeight="15" customHeight="1" x14ac:dyDescent="0.2"/>
  <cols>
    <col min="2" max="2" width="88.7109375" customWidth="1"/>
  </cols>
  <sheetData>
    <row r="1" spans="2:2" x14ac:dyDescent="0.2">
      <c r="B1" s="7" t="s">
        <v>21</v>
      </c>
    </row>
    <row r="2" spans="2:2" x14ac:dyDescent="0.2">
      <c r="B2" s="8" t="s">
        <v>22</v>
      </c>
    </row>
    <row r="3" spans="2:2" x14ac:dyDescent="0.2">
      <c r="B3" s="8" t="s">
        <v>23</v>
      </c>
    </row>
    <row r="4" spans="2:2" x14ac:dyDescent="0.2">
      <c r="B4" s="8" t="s">
        <v>24</v>
      </c>
    </row>
    <row r="5" spans="2:2" x14ac:dyDescent="0.2">
      <c r="B5" s="8" t="s">
        <v>25</v>
      </c>
    </row>
    <row r="6" spans="2:2" x14ac:dyDescent="0.2">
      <c r="B6" s="8" t="s">
        <v>26</v>
      </c>
    </row>
    <row r="7" spans="2:2" x14ac:dyDescent="0.2">
      <c r="B7" s="8" t="s">
        <v>27</v>
      </c>
    </row>
    <row r="8" spans="2:2" x14ac:dyDescent="0.2">
      <c r="B8" s="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sqref="A1:F1"/>
    </sheetView>
  </sheetViews>
  <sheetFormatPr baseColWidth="10" defaultColWidth="11.28515625" defaultRowHeight="15" customHeight="1" x14ac:dyDescent="0.2"/>
  <cols>
    <col min="1" max="1" width="18.5703125" customWidth="1"/>
    <col min="2" max="2" width="8" customWidth="1"/>
    <col min="3" max="4" width="9" customWidth="1"/>
    <col min="5" max="6" width="9.85546875" customWidth="1"/>
    <col min="7" max="8" width="2.42578125" customWidth="1"/>
    <col min="9" max="9" width="22" customWidth="1"/>
    <col min="10" max="10" width="8.28515625" customWidth="1"/>
    <col min="11" max="12" width="9" customWidth="1"/>
    <col min="13" max="14" width="9.85546875" customWidth="1"/>
    <col min="15" max="15" width="2.42578125" customWidth="1"/>
  </cols>
  <sheetData>
    <row r="1" spans="1:14" ht="15.75" customHeight="1" x14ac:dyDescent="0.2">
      <c r="A1" s="70" t="s">
        <v>29</v>
      </c>
      <c r="B1" s="67"/>
      <c r="C1" s="67"/>
      <c r="D1" s="67"/>
      <c r="E1" s="67"/>
      <c r="F1" s="68"/>
      <c r="I1" s="71" t="s">
        <v>30</v>
      </c>
      <c r="J1" s="72"/>
      <c r="K1" s="72"/>
      <c r="L1" s="72"/>
      <c r="M1" s="72"/>
      <c r="N1" s="73"/>
    </row>
    <row r="2" spans="1:14" ht="15.75" customHeight="1" x14ac:dyDescent="0.2">
      <c r="A2" s="1" t="s">
        <v>6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I2" s="1" t="s">
        <v>6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</row>
    <row r="3" spans="1:14" ht="15.75" customHeight="1" x14ac:dyDescent="0.2">
      <c r="A3" s="1" t="s">
        <v>11</v>
      </c>
      <c r="B3" s="3">
        <f>'Year 2021'!J3</f>
        <v>105250</v>
      </c>
      <c r="C3" s="3">
        <f>'Year 2022'!J3</f>
        <v>184537</v>
      </c>
      <c r="D3" s="3">
        <f>'Year 2023'!J3</f>
        <v>922687</v>
      </c>
      <c r="E3" s="3">
        <f>'Year 2024'!J3</f>
        <v>1845375</v>
      </c>
      <c r="F3" s="3">
        <f>'Year 2025'!J3</f>
        <v>4613437</v>
      </c>
      <c r="I3" s="9" t="s">
        <v>17</v>
      </c>
      <c r="J3" s="6">
        <f t="shared" ref="J3:N3" si="0">B7</f>
        <v>10500</v>
      </c>
      <c r="K3" s="6">
        <f t="shared" si="0"/>
        <v>1050000</v>
      </c>
      <c r="L3" s="6">
        <f t="shared" si="0"/>
        <v>5250000</v>
      </c>
      <c r="M3" s="6">
        <f t="shared" si="0"/>
        <v>10500000</v>
      </c>
      <c r="N3" s="6">
        <f t="shared" si="0"/>
        <v>26250000</v>
      </c>
    </row>
    <row r="4" spans="1:14" ht="15.75" customHeight="1" x14ac:dyDescent="0.2">
      <c r="A4" s="1" t="s">
        <v>13</v>
      </c>
      <c r="B4" s="3">
        <f>'Year 2021'!J4</f>
        <v>0</v>
      </c>
      <c r="C4" s="3">
        <f>'Year 2022'!J4</f>
        <v>0</v>
      </c>
      <c r="D4" s="3">
        <f>'Year 2023'!J4</f>
        <v>0</v>
      </c>
      <c r="E4" s="3">
        <f>'Year 2024'!J4</f>
        <v>0</v>
      </c>
      <c r="F4" s="3">
        <f>'Year 2025'!J4</f>
        <v>0</v>
      </c>
      <c r="I4" s="1" t="s">
        <v>18</v>
      </c>
      <c r="J4" s="3">
        <f t="shared" ref="J4:N4" si="1">B8</f>
        <v>5250</v>
      </c>
      <c r="K4" s="3">
        <f t="shared" si="1"/>
        <v>525000</v>
      </c>
      <c r="L4" s="3">
        <f t="shared" si="1"/>
        <v>2625000</v>
      </c>
      <c r="M4" s="3">
        <f t="shared" si="1"/>
        <v>5250000</v>
      </c>
      <c r="N4" s="3">
        <f t="shared" si="1"/>
        <v>13125000</v>
      </c>
    </row>
    <row r="5" spans="1:14" ht="15.75" customHeight="1" x14ac:dyDescent="0.2">
      <c r="A5" s="4" t="s">
        <v>15</v>
      </c>
      <c r="B5" s="3">
        <f>'Year 2021'!J5</f>
        <v>400000</v>
      </c>
      <c r="C5" s="3">
        <f>'Year 2022'!J5</f>
        <v>0</v>
      </c>
      <c r="D5" s="3">
        <f>'Year 2023'!J5</f>
        <v>0</v>
      </c>
      <c r="E5" s="3">
        <f>'Year 2024'!J5</f>
        <v>0</v>
      </c>
      <c r="F5" s="3">
        <f>'Year 2025'!J5</f>
        <v>0</v>
      </c>
      <c r="I5" s="9" t="s">
        <v>36</v>
      </c>
      <c r="J5" s="6">
        <f t="shared" ref="J5:N5" si="2">J3-J4</f>
        <v>5250</v>
      </c>
      <c r="K5" s="6">
        <f t="shared" si="2"/>
        <v>525000</v>
      </c>
      <c r="L5" s="6">
        <f t="shared" si="2"/>
        <v>2625000</v>
      </c>
      <c r="M5" s="6">
        <f t="shared" si="2"/>
        <v>5250000</v>
      </c>
      <c r="N5" s="6">
        <f t="shared" si="2"/>
        <v>13125000</v>
      </c>
    </row>
    <row r="6" spans="1:14" ht="15.75" customHeight="1" x14ac:dyDescent="0.2">
      <c r="A6" s="1" t="s">
        <v>12</v>
      </c>
      <c r="B6" s="3">
        <f>'Year 2021'!J7</f>
        <v>600000</v>
      </c>
      <c r="C6" s="3">
        <f>'Year 2022'!J7</f>
        <v>0</v>
      </c>
      <c r="D6" s="3">
        <f>'Year 2023'!J7</f>
        <v>0</v>
      </c>
      <c r="E6" s="3">
        <f>'Year 2024'!J7</f>
        <v>0</v>
      </c>
      <c r="F6" s="3">
        <f>'Year 2025'!J7</f>
        <v>0</v>
      </c>
      <c r="I6" s="1" t="s">
        <v>14</v>
      </c>
      <c r="J6" s="3">
        <f t="shared" ref="J6:N6" si="3">B9</f>
        <v>100000</v>
      </c>
      <c r="K6" s="3">
        <f t="shared" si="3"/>
        <v>262500</v>
      </c>
      <c r="L6" s="3">
        <f t="shared" si="3"/>
        <v>1312500</v>
      </c>
      <c r="M6" s="3">
        <f t="shared" si="3"/>
        <v>2625000</v>
      </c>
      <c r="N6" s="3">
        <f t="shared" si="3"/>
        <v>6562500</v>
      </c>
    </row>
    <row r="7" spans="1:14" ht="15.75" customHeight="1" x14ac:dyDescent="0.2">
      <c r="A7" s="1" t="s">
        <v>17</v>
      </c>
      <c r="B7" s="3">
        <f>'Year 2021'!J8</f>
        <v>10500</v>
      </c>
      <c r="C7" s="3">
        <f>'Year 2022'!J8</f>
        <v>1050000</v>
      </c>
      <c r="D7" s="3">
        <f>'Year 2023'!J8</f>
        <v>5250000</v>
      </c>
      <c r="E7" s="3">
        <f>'Year 2024'!J8</f>
        <v>10500000</v>
      </c>
      <c r="F7" s="3">
        <f>'Year 2025'!J8</f>
        <v>26250000</v>
      </c>
      <c r="I7" s="9" t="s">
        <v>37</v>
      </c>
      <c r="J7" s="6">
        <f t="shared" ref="J7:N7" si="4">J5-J6</f>
        <v>-94750</v>
      </c>
      <c r="K7" s="6">
        <f t="shared" si="4"/>
        <v>262500</v>
      </c>
      <c r="L7" s="6">
        <f t="shared" si="4"/>
        <v>1312500</v>
      </c>
      <c r="M7" s="6">
        <f t="shared" si="4"/>
        <v>2625000</v>
      </c>
      <c r="N7" s="6">
        <f t="shared" si="4"/>
        <v>6562500</v>
      </c>
    </row>
    <row r="8" spans="1:14" ht="15.75" customHeight="1" x14ac:dyDescent="0.2">
      <c r="A8" s="1" t="s">
        <v>18</v>
      </c>
      <c r="B8" s="3">
        <f>'Year 2021'!J9</f>
        <v>5250</v>
      </c>
      <c r="C8" s="3">
        <f>'Year 2022'!J9</f>
        <v>525000</v>
      </c>
      <c r="D8" s="3">
        <f>'Year 2023'!J9</f>
        <v>2625000</v>
      </c>
      <c r="E8" s="3">
        <f>'Year 2024'!J9</f>
        <v>5250000</v>
      </c>
      <c r="F8" s="3">
        <f>'Year 2025'!J9</f>
        <v>13125000</v>
      </c>
      <c r="I8" s="4" t="s">
        <v>19</v>
      </c>
      <c r="J8" s="3">
        <f t="shared" ref="J8:N8" si="5">B10</f>
        <v>0</v>
      </c>
      <c r="K8" s="3">
        <f t="shared" si="5"/>
        <v>77963</v>
      </c>
      <c r="L8" s="3">
        <f t="shared" si="5"/>
        <v>389813</v>
      </c>
      <c r="M8" s="3">
        <f t="shared" si="5"/>
        <v>779625</v>
      </c>
      <c r="N8" s="3">
        <f t="shared" si="5"/>
        <v>1949063</v>
      </c>
    </row>
    <row r="9" spans="1:14" ht="15.75" customHeight="1" x14ac:dyDescent="0.2">
      <c r="A9" s="1" t="s">
        <v>14</v>
      </c>
      <c r="B9" s="3">
        <f>'Year 2021'!J10</f>
        <v>100000</v>
      </c>
      <c r="C9" s="3">
        <f>'Year 2022'!J10</f>
        <v>262500</v>
      </c>
      <c r="D9" s="3">
        <f>'Year 2023'!J10</f>
        <v>1312500</v>
      </c>
      <c r="E9" s="3">
        <f>'Year 2024'!J10</f>
        <v>2625000</v>
      </c>
      <c r="F9" s="3">
        <f>'Year 2025'!J10</f>
        <v>6562500</v>
      </c>
      <c r="I9" s="10" t="s">
        <v>38</v>
      </c>
      <c r="J9" s="6">
        <f t="shared" ref="J9:N9" si="6">J7-J8</f>
        <v>-94750</v>
      </c>
      <c r="K9" s="6">
        <f t="shared" si="6"/>
        <v>184537</v>
      </c>
      <c r="L9" s="6">
        <f t="shared" si="6"/>
        <v>922687</v>
      </c>
      <c r="M9" s="6">
        <f t="shared" si="6"/>
        <v>1845375</v>
      </c>
      <c r="N9" s="6">
        <f t="shared" si="6"/>
        <v>4613437</v>
      </c>
    </row>
    <row r="10" spans="1:14" ht="15.75" customHeight="1" x14ac:dyDescent="0.2">
      <c r="A10" s="4" t="s">
        <v>19</v>
      </c>
      <c r="B10" s="3">
        <f>'Year 2021'!H11</f>
        <v>0</v>
      </c>
      <c r="C10" s="3">
        <f>'Year 2022'!H11</f>
        <v>77963</v>
      </c>
      <c r="D10" s="3">
        <f>'Year 2023'!H11</f>
        <v>389813</v>
      </c>
      <c r="E10" s="3">
        <f>'Year 2024'!H11</f>
        <v>779625</v>
      </c>
      <c r="F10" s="3">
        <f>'Year 2025'!H11</f>
        <v>1949063</v>
      </c>
      <c r="I10" s="11" t="s">
        <v>39</v>
      </c>
      <c r="J10" s="12">
        <f t="shared" ref="J10:N10" si="7">J9</f>
        <v>-94750</v>
      </c>
      <c r="K10" s="12">
        <f t="shared" si="7"/>
        <v>184537</v>
      </c>
      <c r="L10" s="12">
        <f t="shared" si="7"/>
        <v>922687</v>
      </c>
      <c r="M10" s="12">
        <f t="shared" si="7"/>
        <v>1845375</v>
      </c>
      <c r="N10" s="12">
        <f t="shared" si="7"/>
        <v>4613437</v>
      </c>
    </row>
    <row r="11" spans="1:14" ht="15.75" customHeight="1" x14ac:dyDescent="0.2">
      <c r="I11" s="13"/>
      <c r="J11" s="14"/>
      <c r="K11" s="14"/>
      <c r="L11" s="14"/>
      <c r="M11" s="14"/>
      <c r="N11" s="14"/>
    </row>
    <row r="12" spans="1:14" ht="15.75" customHeight="1" x14ac:dyDescent="0.2"/>
    <row r="13" spans="1:14" ht="15.75" customHeight="1" x14ac:dyDescent="0.2"/>
    <row r="14" spans="1:14" ht="15.75" customHeight="1" x14ac:dyDescent="0.2"/>
    <row r="15" spans="1:14" ht="15.75" customHeight="1" x14ac:dyDescent="0.2">
      <c r="A15" s="74" t="s">
        <v>40</v>
      </c>
      <c r="B15" s="67"/>
      <c r="C15" s="67"/>
      <c r="D15" s="67"/>
      <c r="E15" s="67"/>
      <c r="F15" s="68"/>
      <c r="I15" s="75" t="s">
        <v>41</v>
      </c>
      <c r="J15" s="72"/>
      <c r="K15" s="72"/>
      <c r="L15" s="72"/>
      <c r="M15" s="72"/>
      <c r="N15" s="73"/>
    </row>
    <row r="16" spans="1:14" ht="15.75" customHeight="1" x14ac:dyDescent="0.2">
      <c r="A16" s="1" t="s">
        <v>6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I16" s="1" t="s">
        <v>6</v>
      </c>
      <c r="J16" s="1" t="s">
        <v>31</v>
      </c>
      <c r="K16" s="1" t="s">
        <v>32</v>
      </c>
      <c r="L16" s="1" t="s">
        <v>33</v>
      </c>
      <c r="M16" s="1" t="s">
        <v>34</v>
      </c>
      <c r="N16" s="1" t="s">
        <v>35</v>
      </c>
    </row>
    <row r="17" spans="1:14" ht="15.75" customHeight="1" x14ac:dyDescent="0.2">
      <c r="A17" s="9" t="s">
        <v>42</v>
      </c>
      <c r="B17" s="15"/>
      <c r="C17" s="15"/>
      <c r="D17" s="15"/>
      <c r="E17" s="15"/>
      <c r="F17" s="15"/>
      <c r="I17" s="1" t="s">
        <v>39</v>
      </c>
      <c r="J17" s="3">
        <f t="shared" ref="J17:N17" si="8">J10</f>
        <v>-94750</v>
      </c>
      <c r="K17" s="3">
        <f t="shared" si="8"/>
        <v>184537</v>
      </c>
      <c r="L17" s="3">
        <f t="shared" si="8"/>
        <v>922687</v>
      </c>
      <c r="M17" s="3">
        <f t="shared" si="8"/>
        <v>1845375</v>
      </c>
      <c r="N17" s="3">
        <f t="shared" si="8"/>
        <v>4613437</v>
      </c>
    </row>
    <row r="18" spans="1:14" ht="15.75" customHeight="1" x14ac:dyDescent="0.2">
      <c r="A18" s="1" t="s">
        <v>11</v>
      </c>
      <c r="B18" s="3">
        <f>B3</f>
        <v>105250</v>
      </c>
      <c r="C18" s="3">
        <f t="shared" ref="C18:F18" si="9">B18+C3</f>
        <v>289787</v>
      </c>
      <c r="D18" s="3">
        <f t="shared" si="9"/>
        <v>1212474</v>
      </c>
      <c r="E18" s="3">
        <f t="shared" si="9"/>
        <v>3057849</v>
      </c>
      <c r="F18" s="3">
        <f t="shared" si="9"/>
        <v>7671286</v>
      </c>
      <c r="I18" s="9" t="s">
        <v>43</v>
      </c>
      <c r="J18" s="6">
        <f t="shared" ref="J18:N18" si="10">SUM(J17)</f>
        <v>-94750</v>
      </c>
      <c r="K18" s="6">
        <f t="shared" si="10"/>
        <v>184537</v>
      </c>
      <c r="L18" s="6">
        <f t="shared" si="10"/>
        <v>922687</v>
      </c>
      <c r="M18" s="6">
        <f t="shared" si="10"/>
        <v>1845375</v>
      </c>
      <c r="N18" s="6">
        <f t="shared" si="10"/>
        <v>4613437</v>
      </c>
    </row>
    <row r="19" spans="1:14" ht="15.75" customHeight="1" x14ac:dyDescent="0.2">
      <c r="A19" s="4" t="s">
        <v>15</v>
      </c>
      <c r="B19" s="3">
        <f>B5</f>
        <v>400000</v>
      </c>
      <c r="C19" s="3">
        <f t="shared" ref="C19:F19" si="11">B19+C5</f>
        <v>400000</v>
      </c>
      <c r="D19" s="3">
        <f t="shared" si="11"/>
        <v>400000</v>
      </c>
      <c r="E19" s="3">
        <f t="shared" si="11"/>
        <v>400000</v>
      </c>
      <c r="F19" s="3">
        <f t="shared" si="11"/>
        <v>400000</v>
      </c>
      <c r="I19" s="1"/>
      <c r="J19" s="3"/>
      <c r="K19" s="3"/>
      <c r="L19" s="3"/>
      <c r="M19" s="3"/>
      <c r="N19" s="3"/>
    </row>
    <row r="20" spans="1:14" ht="15.75" customHeight="1" x14ac:dyDescent="0.2">
      <c r="A20" s="9" t="s">
        <v>44</v>
      </c>
      <c r="B20" s="6">
        <f t="shared" ref="B20:F20" si="12">SUM(B18:B19)</f>
        <v>505250</v>
      </c>
      <c r="C20" s="6">
        <f t="shared" si="12"/>
        <v>689787</v>
      </c>
      <c r="D20" s="6">
        <f t="shared" si="12"/>
        <v>1612474</v>
      </c>
      <c r="E20" s="6">
        <f t="shared" si="12"/>
        <v>3457849</v>
      </c>
      <c r="F20" s="6">
        <f t="shared" si="12"/>
        <v>8071286</v>
      </c>
      <c r="I20" s="4" t="s">
        <v>45</v>
      </c>
      <c r="J20" s="3">
        <f>-B19</f>
        <v>-400000</v>
      </c>
      <c r="K20" s="3">
        <f t="shared" ref="K20:N20" si="13">-(C19-B19)</f>
        <v>0</v>
      </c>
      <c r="L20" s="3">
        <f t="shared" si="13"/>
        <v>0</v>
      </c>
      <c r="M20" s="3">
        <f t="shared" si="13"/>
        <v>0</v>
      </c>
      <c r="N20" s="3">
        <f t="shared" si="13"/>
        <v>0</v>
      </c>
    </row>
    <row r="21" spans="1:14" ht="15.75" customHeight="1" x14ac:dyDescent="0.2">
      <c r="A21" s="1"/>
      <c r="B21" s="3"/>
      <c r="C21" s="3"/>
      <c r="D21" s="3"/>
      <c r="E21" s="3"/>
      <c r="F21" s="3"/>
      <c r="I21" s="9" t="s">
        <v>46</v>
      </c>
      <c r="J21" s="6">
        <f t="shared" ref="J21:N21" si="14">J20</f>
        <v>-400000</v>
      </c>
      <c r="K21" s="6">
        <f t="shared" si="14"/>
        <v>0</v>
      </c>
      <c r="L21" s="6">
        <f t="shared" si="14"/>
        <v>0</v>
      </c>
      <c r="M21" s="6">
        <f t="shared" si="14"/>
        <v>0</v>
      </c>
      <c r="N21" s="6">
        <f t="shared" si="14"/>
        <v>0</v>
      </c>
    </row>
    <row r="22" spans="1:14" ht="15.75" customHeight="1" x14ac:dyDescent="0.2">
      <c r="A22" s="9" t="s">
        <v>47</v>
      </c>
      <c r="B22" s="3"/>
      <c r="C22" s="3"/>
      <c r="D22" s="3"/>
      <c r="E22" s="3"/>
      <c r="F22" s="3"/>
      <c r="I22" s="1"/>
      <c r="J22" s="3"/>
      <c r="K22" s="3"/>
      <c r="L22" s="3"/>
      <c r="M22" s="3"/>
      <c r="N22" s="3"/>
    </row>
    <row r="23" spans="1:14" ht="15.75" customHeight="1" x14ac:dyDescent="0.2">
      <c r="A23" s="1" t="s">
        <v>48</v>
      </c>
      <c r="B23" s="3">
        <f>B6</f>
        <v>600000</v>
      </c>
      <c r="C23" s="3">
        <f t="shared" ref="C23:F23" si="15">B23+C6</f>
        <v>600000</v>
      </c>
      <c r="D23" s="3">
        <f t="shared" si="15"/>
        <v>600000</v>
      </c>
      <c r="E23" s="3">
        <f t="shared" si="15"/>
        <v>600000</v>
      </c>
      <c r="F23" s="3">
        <f t="shared" si="15"/>
        <v>600000</v>
      </c>
      <c r="I23" s="1" t="s">
        <v>49</v>
      </c>
      <c r="J23" s="3">
        <f>B23</f>
        <v>600000</v>
      </c>
      <c r="K23" s="3">
        <f t="shared" ref="K23:N23" si="16">C23-B23</f>
        <v>0</v>
      </c>
      <c r="L23" s="3">
        <f t="shared" si="16"/>
        <v>0</v>
      </c>
      <c r="M23" s="3">
        <f t="shared" si="16"/>
        <v>0</v>
      </c>
      <c r="N23" s="3">
        <f t="shared" si="16"/>
        <v>0</v>
      </c>
    </row>
    <row r="24" spans="1:14" ht="15.75" customHeight="1" x14ac:dyDescent="0.2">
      <c r="A24" s="1" t="s">
        <v>50</v>
      </c>
      <c r="B24" s="3">
        <f>J9</f>
        <v>-94750</v>
      </c>
      <c r="C24" s="3">
        <f t="shared" ref="C24:F24" si="17">B24+K10</f>
        <v>89787</v>
      </c>
      <c r="D24" s="3">
        <f t="shared" si="17"/>
        <v>1012474</v>
      </c>
      <c r="E24" s="3">
        <f t="shared" si="17"/>
        <v>2857849</v>
      </c>
      <c r="F24" s="3">
        <f t="shared" si="17"/>
        <v>7471286</v>
      </c>
      <c r="I24" s="9" t="s">
        <v>51</v>
      </c>
      <c r="J24" s="6">
        <f t="shared" ref="J24:N24" si="18">J23</f>
        <v>600000</v>
      </c>
      <c r="K24" s="6">
        <f t="shared" si="18"/>
        <v>0</v>
      </c>
      <c r="L24" s="6">
        <f t="shared" si="18"/>
        <v>0</v>
      </c>
      <c r="M24" s="6">
        <f t="shared" si="18"/>
        <v>0</v>
      </c>
      <c r="N24" s="6">
        <f t="shared" si="18"/>
        <v>0</v>
      </c>
    </row>
    <row r="25" spans="1:14" ht="15.75" customHeight="1" x14ac:dyDescent="0.2">
      <c r="A25" s="16" t="s">
        <v>52</v>
      </c>
      <c r="B25" s="17">
        <f t="shared" ref="B25:F25" si="19">SUM(B23:B24)</f>
        <v>505250</v>
      </c>
      <c r="C25" s="17">
        <f t="shared" si="19"/>
        <v>689787</v>
      </c>
      <c r="D25" s="17">
        <f t="shared" si="19"/>
        <v>1612474</v>
      </c>
      <c r="E25" s="17">
        <f t="shared" si="19"/>
        <v>3457849</v>
      </c>
      <c r="F25" s="17">
        <f t="shared" si="19"/>
        <v>8071286</v>
      </c>
      <c r="I25" s="1"/>
      <c r="J25" s="3"/>
      <c r="K25" s="3"/>
      <c r="L25" s="3"/>
      <c r="M25" s="3"/>
      <c r="N25" s="3"/>
    </row>
    <row r="26" spans="1:14" ht="15.75" customHeight="1" x14ac:dyDescent="0.2">
      <c r="D26" s="18"/>
      <c r="E26" s="18"/>
      <c r="F26" s="18"/>
      <c r="I26" s="9" t="s">
        <v>53</v>
      </c>
      <c r="J26" s="6">
        <f t="shared" ref="J26:N26" si="20">J18+J21+J24</f>
        <v>105250</v>
      </c>
      <c r="K26" s="6">
        <f t="shared" si="20"/>
        <v>184537</v>
      </c>
      <c r="L26" s="6">
        <f t="shared" si="20"/>
        <v>922687</v>
      </c>
      <c r="M26" s="6">
        <f t="shared" si="20"/>
        <v>1845375</v>
      </c>
      <c r="N26" s="6">
        <f t="shared" si="20"/>
        <v>4613437</v>
      </c>
    </row>
    <row r="27" spans="1:14" ht="15.75" customHeight="1" x14ac:dyDescent="0.2">
      <c r="D27" s="18"/>
      <c r="E27" s="18"/>
      <c r="F27" s="18"/>
      <c r="I27" s="1" t="s">
        <v>54</v>
      </c>
      <c r="J27" s="3"/>
      <c r="K27" s="3">
        <f t="shared" ref="K27:N27" si="21">J28</f>
        <v>105250</v>
      </c>
      <c r="L27" s="3">
        <f t="shared" si="21"/>
        <v>289787</v>
      </c>
      <c r="M27" s="3">
        <f t="shared" si="21"/>
        <v>1212474</v>
      </c>
      <c r="N27" s="3">
        <f t="shared" si="21"/>
        <v>3057849</v>
      </c>
    </row>
    <row r="28" spans="1:14" ht="15.75" customHeight="1" x14ac:dyDescent="0.2">
      <c r="D28" s="18"/>
      <c r="E28" s="18"/>
      <c r="F28" s="18"/>
      <c r="I28" s="19" t="s">
        <v>55</v>
      </c>
      <c r="J28" s="20">
        <f t="shared" ref="J28:N28" si="22">SUM(J26:J27)</f>
        <v>105250</v>
      </c>
      <c r="K28" s="20">
        <f t="shared" si="22"/>
        <v>289787</v>
      </c>
      <c r="L28" s="20">
        <f t="shared" si="22"/>
        <v>1212474</v>
      </c>
      <c r="M28" s="20">
        <f t="shared" si="22"/>
        <v>3057849</v>
      </c>
      <c r="N28" s="20">
        <f t="shared" si="22"/>
        <v>7671286</v>
      </c>
    </row>
    <row r="29" spans="1:14" ht="15.75" customHeight="1" x14ac:dyDescent="0.2">
      <c r="D29" s="18"/>
      <c r="E29" s="18"/>
      <c r="F29" s="18"/>
    </row>
    <row r="30" spans="1:14" ht="15.75" customHeight="1" x14ac:dyDescent="0.2">
      <c r="D30" s="18"/>
      <c r="E30" s="18"/>
      <c r="F30" s="18"/>
    </row>
    <row r="31" spans="1:14" ht="15.75" customHeight="1" x14ac:dyDescent="0.2"/>
  </sheetData>
  <mergeCells count="4">
    <mergeCell ref="A1:F1"/>
    <mergeCell ref="I1:N1"/>
    <mergeCell ref="A15:F15"/>
    <mergeCell ref="I15:N15"/>
  </mergeCells>
  <pageMargins left="0.7" right="0.7" top="0.75" bottom="0.75" header="0" footer="0"/>
  <pageSetup orientation="portrait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35"/>
  <sheetViews>
    <sheetView tabSelected="1" workbookViewId="0">
      <selection activeCell="O26" sqref="O26"/>
    </sheetView>
  </sheetViews>
  <sheetFormatPr baseColWidth="10" defaultColWidth="11.28515625" defaultRowHeight="15" customHeight="1" x14ac:dyDescent="0.2"/>
  <cols>
    <col min="1" max="1" width="38.5703125" customWidth="1"/>
    <col min="2" max="2" width="7.7109375" customWidth="1"/>
    <col min="3" max="3" width="17.7109375" customWidth="1"/>
    <col min="4" max="9" width="10.7109375" customWidth="1"/>
    <col min="10" max="10" width="9.7109375" customWidth="1"/>
  </cols>
  <sheetData>
    <row r="1" spans="1:10" x14ac:dyDescent="0.2">
      <c r="A1" s="76" t="s">
        <v>56</v>
      </c>
      <c r="B1" s="77"/>
      <c r="C1" s="21"/>
      <c r="D1" s="22" t="s">
        <v>57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1"/>
    </row>
    <row r="2" spans="1:10" x14ac:dyDescent="0.2">
      <c r="A2" s="24" t="s">
        <v>17</v>
      </c>
      <c r="B2" s="25"/>
      <c r="C2" s="21"/>
      <c r="D2" s="21" t="s">
        <v>58</v>
      </c>
      <c r="E2" s="26">
        <v>100</v>
      </c>
      <c r="F2" s="26">
        <v>10000</v>
      </c>
      <c r="G2" s="26">
        <v>50000</v>
      </c>
      <c r="H2" s="26">
        <v>100000</v>
      </c>
      <c r="I2" s="26">
        <v>250000</v>
      </c>
      <c r="J2" s="21"/>
    </row>
    <row r="3" spans="1:10" x14ac:dyDescent="0.2">
      <c r="A3" s="27" t="s">
        <v>59</v>
      </c>
      <c r="B3" s="28">
        <v>105</v>
      </c>
      <c r="C3" s="21"/>
      <c r="D3" s="22" t="s">
        <v>17</v>
      </c>
      <c r="E3" s="29">
        <f t="shared" ref="E3:I3" si="0">E2*$B$3</f>
        <v>10500</v>
      </c>
      <c r="F3" s="29">
        <f t="shared" si="0"/>
        <v>1050000</v>
      </c>
      <c r="G3" s="29">
        <f t="shared" si="0"/>
        <v>5250000</v>
      </c>
      <c r="H3" s="29">
        <f t="shared" si="0"/>
        <v>10500000</v>
      </c>
      <c r="I3" s="29">
        <f t="shared" si="0"/>
        <v>26250000</v>
      </c>
      <c r="J3" s="21"/>
    </row>
    <row r="4" spans="1:10" x14ac:dyDescent="0.2">
      <c r="A4" s="27" t="s">
        <v>60</v>
      </c>
      <c r="B4" s="30">
        <v>0.02</v>
      </c>
      <c r="C4" s="21"/>
      <c r="D4" s="21" t="s">
        <v>18</v>
      </c>
      <c r="E4" s="31">
        <f t="shared" ref="E4:I4" si="1">-E3*$B$15</f>
        <v>-5250</v>
      </c>
      <c r="F4" s="31">
        <f t="shared" si="1"/>
        <v>-525000</v>
      </c>
      <c r="G4" s="31">
        <f t="shared" si="1"/>
        <v>-2625000</v>
      </c>
      <c r="H4" s="31">
        <f t="shared" si="1"/>
        <v>-5250000</v>
      </c>
      <c r="I4" s="31">
        <f t="shared" si="1"/>
        <v>-13125000</v>
      </c>
      <c r="J4" s="21"/>
    </row>
    <row r="5" spans="1:10" x14ac:dyDescent="0.2">
      <c r="A5" s="32" t="s">
        <v>61</v>
      </c>
      <c r="B5" s="33"/>
      <c r="C5" s="21"/>
      <c r="D5" s="21" t="s">
        <v>62</v>
      </c>
      <c r="E5" s="34"/>
      <c r="F5" s="31">
        <f t="shared" ref="F5:I5" si="2">-F3*$B$14</f>
        <v>-105000</v>
      </c>
      <c r="G5" s="31">
        <f t="shared" si="2"/>
        <v>-525000</v>
      </c>
      <c r="H5" s="31">
        <f t="shared" si="2"/>
        <v>-1050000</v>
      </c>
      <c r="I5" s="31">
        <f t="shared" si="2"/>
        <v>-2625000</v>
      </c>
      <c r="J5" s="21"/>
    </row>
    <row r="6" spans="1:10" x14ac:dyDescent="0.2">
      <c r="A6" s="27" t="s">
        <v>63</v>
      </c>
      <c r="B6" s="28">
        <v>400000</v>
      </c>
      <c r="C6" s="21"/>
      <c r="D6" s="21" t="s">
        <v>64</v>
      </c>
      <c r="E6" s="31">
        <v>-100000</v>
      </c>
      <c r="F6" s="31">
        <f t="shared" ref="F6:I6" si="3">-F3*$B$13</f>
        <v>-157500</v>
      </c>
      <c r="G6" s="31">
        <f t="shared" si="3"/>
        <v>-787500</v>
      </c>
      <c r="H6" s="31">
        <f t="shared" si="3"/>
        <v>-1575000</v>
      </c>
      <c r="I6" s="34">
        <f t="shared" si="3"/>
        <v>-3937500</v>
      </c>
      <c r="J6" s="21"/>
    </row>
    <row r="7" spans="1:10" x14ac:dyDescent="0.2">
      <c r="A7" s="32" t="s">
        <v>65</v>
      </c>
      <c r="B7" s="33"/>
      <c r="C7" s="21"/>
      <c r="D7" s="35" t="s">
        <v>66</v>
      </c>
      <c r="E7" s="29">
        <f t="shared" ref="E7:I7" si="4">SUM(E4:E6)</f>
        <v>-105250</v>
      </c>
      <c r="F7" s="29">
        <f t="shared" si="4"/>
        <v>-787500</v>
      </c>
      <c r="G7" s="29">
        <f t="shared" si="4"/>
        <v>-3937500</v>
      </c>
      <c r="H7" s="29">
        <f t="shared" si="4"/>
        <v>-7875000</v>
      </c>
      <c r="I7" s="29">
        <f t="shared" si="4"/>
        <v>-19687500</v>
      </c>
      <c r="J7" s="21"/>
    </row>
    <row r="8" spans="1:10" x14ac:dyDescent="0.2">
      <c r="A8" s="27" t="s">
        <v>67</v>
      </c>
      <c r="B8" s="30">
        <v>0</v>
      </c>
      <c r="C8" s="21"/>
      <c r="D8" s="36" t="s">
        <v>68</v>
      </c>
      <c r="E8" s="29">
        <f t="shared" ref="E8:I8" si="5">E3+E7</f>
        <v>-94750</v>
      </c>
      <c r="F8" s="29">
        <f t="shared" si="5"/>
        <v>262500</v>
      </c>
      <c r="G8" s="29">
        <f t="shared" si="5"/>
        <v>1312500</v>
      </c>
      <c r="H8" s="29">
        <f t="shared" si="5"/>
        <v>2625000</v>
      </c>
      <c r="I8" s="29">
        <f t="shared" si="5"/>
        <v>6562500</v>
      </c>
      <c r="J8" s="21"/>
    </row>
    <row r="9" spans="1:10" x14ac:dyDescent="0.2">
      <c r="A9" s="27" t="s">
        <v>69</v>
      </c>
      <c r="B9" s="37">
        <v>8.6999999999999994E-2</v>
      </c>
      <c r="C9" s="21"/>
      <c r="D9" s="21"/>
      <c r="E9" s="38">
        <f t="shared" ref="E9:I9" si="6">E6/SUM(E4:E6)</f>
        <v>0.95011876484560565</v>
      </c>
      <c r="F9" s="38">
        <f t="shared" si="6"/>
        <v>0.2</v>
      </c>
      <c r="G9" s="38">
        <f t="shared" si="6"/>
        <v>0.2</v>
      </c>
      <c r="H9" s="38">
        <f t="shared" si="6"/>
        <v>0.2</v>
      </c>
      <c r="I9" s="38">
        <f t="shared" si="6"/>
        <v>0.2</v>
      </c>
      <c r="J9" s="21"/>
    </row>
    <row r="10" spans="1:10" x14ac:dyDescent="0.2">
      <c r="A10" s="27" t="s">
        <v>70</v>
      </c>
      <c r="B10" s="30">
        <v>0.21</v>
      </c>
      <c r="C10" s="21"/>
      <c r="D10" s="21" t="s">
        <v>71</v>
      </c>
      <c r="E10" s="31">
        <v>0</v>
      </c>
      <c r="F10" s="31">
        <f t="shared" ref="F10:I10" si="7">-F8*$B$11</f>
        <v>-77962.5</v>
      </c>
      <c r="G10" s="31">
        <f t="shared" si="7"/>
        <v>-389812.5</v>
      </c>
      <c r="H10" s="31">
        <f t="shared" si="7"/>
        <v>-779625</v>
      </c>
      <c r="I10" s="31">
        <f t="shared" si="7"/>
        <v>-1949062.5</v>
      </c>
      <c r="J10" s="21"/>
    </row>
    <row r="11" spans="1:10" x14ac:dyDescent="0.2">
      <c r="A11" s="27" t="s">
        <v>72</v>
      </c>
      <c r="B11" s="30">
        <f>SUM(B9:B10)</f>
        <v>0.29699999999999999</v>
      </c>
      <c r="C11" s="21"/>
      <c r="D11" s="36" t="s">
        <v>73</v>
      </c>
      <c r="E11" s="29">
        <f t="shared" ref="E11:I11" si="8">SUM(E8:E10)</f>
        <v>-94749.049881235158</v>
      </c>
      <c r="F11" s="29">
        <f t="shared" si="8"/>
        <v>184537.7</v>
      </c>
      <c r="G11" s="29">
        <f t="shared" si="8"/>
        <v>922687.7</v>
      </c>
      <c r="H11" s="29">
        <f t="shared" si="8"/>
        <v>1845375.2000000002</v>
      </c>
      <c r="I11" s="29">
        <f t="shared" si="8"/>
        <v>4613437.7</v>
      </c>
      <c r="J11" s="21"/>
    </row>
    <row r="12" spans="1:10" x14ac:dyDescent="0.2">
      <c r="A12" s="32" t="s">
        <v>74</v>
      </c>
      <c r="B12" s="33"/>
      <c r="C12" s="21"/>
      <c r="D12" s="39"/>
      <c r="E12" s="38"/>
      <c r="F12" s="38"/>
      <c r="G12" s="38"/>
      <c r="H12" s="38"/>
      <c r="I12" s="38"/>
      <c r="J12" s="21"/>
    </row>
    <row r="13" spans="1:10" x14ac:dyDescent="0.2">
      <c r="A13" s="27" t="s">
        <v>75</v>
      </c>
      <c r="B13" s="30">
        <v>0.15</v>
      </c>
      <c r="C13" s="21"/>
      <c r="D13" s="36" t="s">
        <v>76</v>
      </c>
      <c r="E13" s="29">
        <f t="shared" ref="E13:I13" si="9">SUM(E11:E12)</f>
        <v>-94749.049881235158</v>
      </c>
      <c r="F13" s="29">
        <f t="shared" si="9"/>
        <v>184537.7</v>
      </c>
      <c r="G13" s="29">
        <f t="shared" si="9"/>
        <v>922687.7</v>
      </c>
      <c r="H13" s="29">
        <f t="shared" si="9"/>
        <v>1845375.2000000002</v>
      </c>
      <c r="I13" s="29">
        <f t="shared" si="9"/>
        <v>4613437.7</v>
      </c>
      <c r="J13" s="21"/>
    </row>
    <row r="14" spans="1:10" x14ac:dyDescent="0.2">
      <c r="A14" s="27" t="s">
        <v>77</v>
      </c>
      <c r="B14" s="30">
        <v>0.1</v>
      </c>
      <c r="C14" s="21"/>
      <c r="D14" s="21"/>
      <c r="E14" s="34"/>
      <c r="F14" s="34"/>
      <c r="G14" s="34"/>
      <c r="H14" s="34"/>
      <c r="I14" s="34"/>
      <c r="J14" s="21"/>
    </row>
    <row r="15" spans="1:10" x14ac:dyDescent="0.2">
      <c r="A15" s="27" t="s">
        <v>78</v>
      </c>
      <c r="B15" s="30">
        <v>0.5</v>
      </c>
      <c r="C15" s="21"/>
      <c r="D15" s="21" t="s">
        <v>79</v>
      </c>
      <c r="E15" s="40">
        <v>-600000</v>
      </c>
      <c r="F15" s="34"/>
      <c r="G15" s="34"/>
      <c r="H15" s="34"/>
      <c r="I15" s="34"/>
      <c r="J15" s="21"/>
    </row>
    <row r="16" spans="1:10" x14ac:dyDescent="0.2">
      <c r="A16" s="27" t="s">
        <v>80</v>
      </c>
      <c r="B16" s="30">
        <v>0.25</v>
      </c>
      <c r="C16" s="21"/>
      <c r="D16" s="21" t="s">
        <v>81</v>
      </c>
      <c r="E16" s="34"/>
      <c r="F16" s="31">
        <f t="shared" ref="F16:I16" si="10">F4/4</f>
        <v>-131250</v>
      </c>
      <c r="G16" s="31">
        <f t="shared" si="10"/>
        <v>-656250</v>
      </c>
      <c r="H16" s="31">
        <f t="shared" si="10"/>
        <v>-1312500</v>
      </c>
      <c r="I16" s="31">
        <f t="shared" si="10"/>
        <v>-3281250</v>
      </c>
      <c r="J16" s="21"/>
    </row>
    <row r="17" spans="1:10" x14ac:dyDescent="0.2">
      <c r="A17" s="32" t="s">
        <v>82</v>
      </c>
      <c r="B17" s="33"/>
      <c r="C17" s="21"/>
      <c r="D17" s="21" t="s">
        <v>83</v>
      </c>
      <c r="E17" s="41"/>
      <c r="F17" s="41"/>
      <c r="G17" s="41"/>
      <c r="H17" s="41"/>
      <c r="I17" s="41"/>
      <c r="J17" s="21"/>
    </row>
    <row r="18" spans="1:10" x14ac:dyDescent="0.2">
      <c r="A18" s="27" t="s">
        <v>84</v>
      </c>
      <c r="B18" s="30">
        <v>0</v>
      </c>
      <c r="C18" s="21"/>
      <c r="D18" s="21"/>
      <c r="E18" s="41"/>
      <c r="F18" s="41"/>
      <c r="G18" s="41"/>
      <c r="H18" s="41"/>
      <c r="I18" s="41"/>
      <c r="J18" s="21"/>
    </row>
    <row r="19" spans="1:10" x14ac:dyDescent="0.2">
      <c r="A19" s="27" t="s">
        <v>85</v>
      </c>
      <c r="B19" s="30">
        <v>0.03</v>
      </c>
      <c r="C19" s="21"/>
      <c r="D19" s="21"/>
      <c r="E19" s="41"/>
      <c r="F19" s="41"/>
      <c r="G19" s="41"/>
      <c r="H19" s="41"/>
      <c r="I19" s="41"/>
      <c r="J19" s="21"/>
    </row>
    <row r="20" spans="1:10" x14ac:dyDescent="0.2">
      <c r="A20" s="27" t="s">
        <v>86</v>
      </c>
      <c r="B20" s="30">
        <v>0.35</v>
      </c>
      <c r="C20" s="21"/>
      <c r="D20" s="42" t="s">
        <v>87</v>
      </c>
      <c r="E20" s="43">
        <f t="shared" ref="E20:I20" si="11">SUM(E13:E19)</f>
        <v>-694749.04988123511</v>
      </c>
      <c r="F20" s="43">
        <f t="shared" si="11"/>
        <v>53287.700000000012</v>
      </c>
      <c r="G20" s="43">
        <f t="shared" si="11"/>
        <v>266437.69999999995</v>
      </c>
      <c r="H20" s="43">
        <f t="shared" si="11"/>
        <v>532875.20000000019</v>
      </c>
      <c r="I20" s="43">
        <f t="shared" si="11"/>
        <v>1332187.7000000002</v>
      </c>
      <c r="J20" s="21"/>
    </row>
    <row r="21" spans="1:10" x14ac:dyDescent="0.2">
      <c r="A21" s="27" t="s">
        <v>88</v>
      </c>
      <c r="B21" s="30">
        <f>1-$B$22</f>
        <v>1</v>
      </c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7" t="s">
        <v>89</v>
      </c>
      <c r="B22" s="30">
        <f>$B$18/(1+$B$18)</f>
        <v>0</v>
      </c>
      <c r="C22" s="21"/>
      <c r="D22" s="21"/>
      <c r="E22" s="21"/>
      <c r="F22" s="21"/>
      <c r="G22" s="21"/>
    </row>
    <row r="23" spans="1:10" x14ac:dyDescent="0.2">
      <c r="A23" s="44" t="s">
        <v>90</v>
      </c>
      <c r="B23" s="45">
        <f>B21*B20+B22*B19*(1-SUM(B9,B10))</f>
        <v>0.35</v>
      </c>
      <c r="C23" s="21"/>
      <c r="D23" s="22"/>
      <c r="E23" s="29"/>
      <c r="F23" s="21"/>
      <c r="G23" s="21"/>
    </row>
    <row r="24" spans="1:10" x14ac:dyDescent="0.2">
      <c r="A24" s="21"/>
      <c r="B24" s="21"/>
      <c r="C24" s="21"/>
      <c r="D24" s="22"/>
      <c r="E24" s="23"/>
      <c r="F24" s="21"/>
      <c r="G24" s="21"/>
    </row>
    <row r="25" spans="1:10" x14ac:dyDescent="0.2">
      <c r="A25" s="21"/>
      <c r="B25" s="21"/>
      <c r="C25" s="21"/>
      <c r="D25" s="21"/>
      <c r="E25" s="21"/>
      <c r="F25" s="21"/>
      <c r="G25" s="21"/>
    </row>
    <row r="26" spans="1:10" x14ac:dyDescent="0.2">
      <c r="A26" s="21"/>
      <c r="B26" s="21"/>
      <c r="C26" s="21"/>
      <c r="D26" s="21"/>
      <c r="E26" s="21"/>
      <c r="F26" s="21"/>
      <c r="G26" s="21"/>
    </row>
    <row r="27" spans="1:10" x14ac:dyDescent="0.2">
      <c r="A27" s="21"/>
      <c r="B27" s="21"/>
      <c r="C27" s="21"/>
      <c r="D27" s="21"/>
      <c r="E27" s="21"/>
      <c r="F27" s="21"/>
      <c r="G27" s="21"/>
    </row>
    <row r="28" spans="1:10" x14ac:dyDescent="0.2">
      <c r="A28" s="21"/>
      <c r="B28" s="21"/>
      <c r="C28" s="46" t="s">
        <v>91</v>
      </c>
      <c r="D28" s="47">
        <v>0.35</v>
      </c>
      <c r="E28" s="48"/>
      <c r="F28" s="48"/>
      <c r="G28" s="48"/>
      <c r="H28" s="48"/>
      <c r="I28" s="48"/>
      <c r="J28" s="49"/>
    </row>
    <row r="29" spans="1:10" x14ac:dyDescent="0.2">
      <c r="A29" s="21"/>
      <c r="B29" s="21"/>
      <c r="C29" s="50"/>
      <c r="D29" s="51" t="s">
        <v>92</v>
      </c>
      <c r="E29" s="51" t="s">
        <v>93</v>
      </c>
      <c r="F29" s="51" t="s">
        <v>94</v>
      </c>
      <c r="G29" s="51" t="s">
        <v>95</v>
      </c>
      <c r="H29" s="51" t="s">
        <v>96</v>
      </c>
      <c r="I29" s="51" t="s">
        <v>97</v>
      </c>
      <c r="J29" s="52"/>
    </row>
    <row r="30" spans="1:10" x14ac:dyDescent="0.2">
      <c r="A30" s="21"/>
      <c r="B30" s="21"/>
      <c r="C30" s="53" t="s">
        <v>98</v>
      </c>
      <c r="D30" s="54">
        <v>-600000</v>
      </c>
      <c r="E30" s="55"/>
      <c r="F30" s="55"/>
      <c r="G30" s="55"/>
      <c r="H30" s="55"/>
      <c r="I30" s="55"/>
      <c r="J30" s="52"/>
    </row>
    <row r="31" spans="1:10" x14ac:dyDescent="0.2">
      <c r="A31" s="21"/>
      <c r="B31" s="21"/>
      <c r="C31" s="53" t="s">
        <v>99</v>
      </c>
      <c r="D31" s="55"/>
      <c r="E31" s="54">
        <v>-94750</v>
      </c>
      <c r="F31" s="54">
        <v>184538</v>
      </c>
      <c r="G31" s="54">
        <v>922688</v>
      </c>
      <c r="H31" s="54">
        <v>1845375</v>
      </c>
      <c r="I31" s="54">
        <v>4613438</v>
      </c>
      <c r="J31" s="52"/>
    </row>
    <row r="32" spans="1:10" x14ac:dyDescent="0.2">
      <c r="A32" s="21"/>
      <c r="B32" s="21"/>
      <c r="C32" s="53" t="s">
        <v>53</v>
      </c>
      <c r="D32" s="56">
        <v>-600000</v>
      </c>
      <c r="E32" s="56">
        <v>-94750</v>
      </c>
      <c r="F32" s="56">
        <v>184538</v>
      </c>
      <c r="G32" s="56">
        <v>922688</v>
      </c>
      <c r="H32" s="56">
        <v>1845375</v>
      </c>
      <c r="I32" s="56">
        <v>4613438</v>
      </c>
      <c r="J32" s="52"/>
    </row>
    <row r="33" spans="1:10" x14ac:dyDescent="0.2">
      <c r="A33" s="21"/>
      <c r="B33" s="21"/>
      <c r="C33" s="53" t="s">
        <v>100</v>
      </c>
      <c r="D33" s="57">
        <v>-600000</v>
      </c>
      <c r="E33" s="58">
        <v>-70185</v>
      </c>
      <c r="F33" s="59">
        <v>136694</v>
      </c>
      <c r="G33" s="59">
        <v>683472</v>
      </c>
      <c r="H33" s="59">
        <v>1366944</v>
      </c>
      <c r="I33" s="59">
        <v>3417361</v>
      </c>
      <c r="J33" s="60">
        <v>1390532</v>
      </c>
    </row>
    <row r="34" spans="1:10" x14ac:dyDescent="0.2">
      <c r="A34" s="21"/>
      <c r="B34" s="21"/>
      <c r="C34" s="61" t="s">
        <v>101</v>
      </c>
      <c r="D34" s="62"/>
      <c r="E34" s="62"/>
      <c r="F34" s="63">
        <v>-0.52</v>
      </c>
      <c r="G34" s="63">
        <v>0.19</v>
      </c>
      <c r="H34" s="63">
        <v>0.54</v>
      </c>
      <c r="I34" s="63">
        <v>0.79</v>
      </c>
      <c r="J34" s="64"/>
    </row>
    <row r="35" spans="1:10" x14ac:dyDescent="0.2">
      <c r="A35" s="21"/>
      <c r="B35" s="21"/>
      <c r="C35" s="65"/>
      <c r="D35" s="65"/>
      <c r="E35" s="65"/>
      <c r="F35" s="65"/>
      <c r="G35" s="65"/>
      <c r="H35" s="65"/>
      <c r="I35" s="65"/>
      <c r="J35" s="65"/>
    </row>
  </sheetData>
  <mergeCells count="1">
    <mergeCell ref="A1:B1"/>
  </mergeCells>
  <conditionalFormatting sqref="E23:E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 2021</vt:lpstr>
      <vt:lpstr>Year 2022</vt:lpstr>
      <vt:lpstr>Year 2023</vt:lpstr>
      <vt:lpstr>Year 2024</vt:lpstr>
      <vt:lpstr>Year 2025</vt:lpstr>
      <vt:lpstr>Assumptions</vt:lpstr>
      <vt:lpstr>Statements</vt:lpstr>
      <vt:lpstr>Financial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Jimit Shah</cp:lastModifiedBy>
  <dcterms:created xsi:type="dcterms:W3CDTF">2017-06-02T16:03:36Z</dcterms:created>
  <dcterms:modified xsi:type="dcterms:W3CDTF">2021-04-05T00:15:41Z</dcterms:modified>
</cp:coreProperties>
</file>