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85" windowWidth="24495" windowHeight="11250" activeTab="7"/>
  </bookViews>
  <sheets>
    <sheet name="数据区" sheetId="1" r:id="rId1"/>
    <sheet name="封面" sheetId="2" r:id="rId2"/>
    <sheet name="报价函" sheetId="3" r:id="rId3"/>
    <sheet name="报价函附表" sheetId="4" r:id="rId4"/>
    <sheet name="预算书" sheetId="5" r:id="rId5"/>
    <sheet name="报价说明" sheetId="6" r:id="rId6"/>
    <sheet name="报价汇总表" sheetId="7" r:id="rId7"/>
    <sheet name="清单报价表" sheetId="8" r:id="rId8"/>
  </sheets>
  <definedNames>
    <definedName name="_xlnm.Print_Area" localSheetId="2">报价函!$A$1:$J$16</definedName>
  </definedNames>
  <calcPr calcId="145621"/>
</workbook>
</file>

<file path=xl/calcChain.xml><?xml version="1.0" encoding="utf-8"?>
<calcChain xmlns="http://schemas.openxmlformats.org/spreadsheetml/2006/main">
  <c r="H125" i="8" l="1"/>
  <c r="H67" i="8" l="1"/>
  <c r="B2" i="7" l="1"/>
  <c r="C12" i="6"/>
  <c r="C10" i="6"/>
  <c r="B2" i="6"/>
  <c r="D14" i="5"/>
  <c r="D12" i="5"/>
  <c r="D9" i="5"/>
  <c r="B12" i="4"/>
  <c r="D3" i="4"/>
  <c r="B2" i="4"/>
  <c r="B10" i="4" s="1"/>
  <c r="C15" i="3"/>
  <c r="I14" i="3"/>
  <c r="F14" i="3"/>
  <c r="C14" i="3"/>
  <c r="C12" i="3"/>
  <c r="B6" i="3"/>
  <c r="B4" i="3"/>
  <c r="B2" i="3"/>
  <c r="B8" i="2"/>
  <c r="B6" i="2"/>
  <c r="A2" i="2"/>
  <c r="AA55" i="1"/>
  <c r="X55" i="1"/>
  <c r="AA47" i="1"/>
  <c r="X47" i="1"/>
  <c r="M39" i="1"/>
  <c r="V39" i="1" s="1"/>
  <c r="M38" i="1"/>
  <c r="V33" i="1"/>
  <c r="F72" i="8" s="1"/>
  <c r="M33" i="1"/>
  <c r="M32" i="1"/>
  <c r="M34" i="1" s="1"/>
  <c r="M35" i="1" s="1"/>
  <c r="AA30" i="1"/>
  <c r="X30" i="1"/>
  <c r="M20" i="1"/>
  <c r="O17" i="1"/>
  <c r="O16" i="1"/>
  <c r="M14" i="1"/>
  <c r="I14" i="1"/>
  <c r="J10" i="1" s="1"/>
  <c r="H14" i="1"/>
  <c r="F14" i="1"/>
  <c r="B14" i="1"/>
  <c r="A14" i="1"/>
  <c r="O13" i="1"/>
  <c r="O12" i="1"/>
  <c r="O11" i="1"/>
  <c r="O10" i="1"/>
  <c r="O7" i="1"/>
  <c r="J7" i="1"/>
  <c r="O6" i="1"/>
  <c r="V41" i="1" l="1"/>
  <c r="V40" i="1"/>
  <c r="F85" i="8" s="1"/>
  <c r="V52" i="1"/>
  <c r="F118" i="8" s="1"/>
  <c r="V51" i="1"/>
  <c r="F117" i="8" s="1"/>
  <c r="V50" i="1"/>
  <c r="F116" i="8" s="1"/>
  <c r="V49" i="1"/>
  <c r="V37" i="1"/>
  <c r="F76" i="8" s="1"/>
  <c r="V32" i="1"/>
  <c r="D14" i="1"/>
  <c r="V38" i="1"/>
  <c r="F83" i="8" s="1"/>
  <c r="V26" i="1"/>
  <c r="V25" i="1"/>
  <c r="V13" i="1"/>
  <c r="V12" i="1"/>
  <c r="F10" i="8" s="1"/>
  <c r="V15" i="1"/>
  <c r="V17" i="1"/>
  <c r="O38" i="1"/>
  <c r="O33" i="1"/>
  <c r="O35" i="1"/>
  <c r="O34" i="1"/>
  <c r="O29" i="1"/>
  <c r="O28" i="1"/>
  <c r="O27" i="1"/>
  <c r="O26" i="1"/>
  <c r="O25" i="1"/>
  <c r="O24" i="1"/>
  <c r="O19" i="1"/>
  <c r="O9" i="1"/>
  <c r="O8" i="1"/>
  <c r="O46" i="1"/>
  <c r="O45" i="1"/>
  <c r="O44" i="1"/>
  <c r="O43" i="1"/>
  <c r="O42" i="1"/>
  <c r="O41" i="1"/>
  <c r="O40" i="1"/>
  <c r="O39" i="1"/>
  <c r="O32" i="1"/>
  <c r="O18" i="1"/>
  <c r="O15" i="1"/>
  <c r="O14" i="1"/>
  <c r="O21" i="1"/>
  <c r="O20" i="1"/>
  <c r="O54" i="1"/>
  <c r="O53" i="1"/>
  <c r="O52" i="1"/>
  <c r="O51" i="1"/>
  <c r="O50" i="1"/>
  <c r="O49" i="1"/>
  <c r="O37" i="1"/>
  <c r="O36" i="1"/>
  <c r="V14" i="1"/>
  <c r="F84" i="8"/>
  <c r="V44" i="1"/>
  <c r="F95" i="8" s="1"/>
  <c r="M36" i="1"/>
  <c r="V36" i="1" s="1"/>
  <c r="F75" i="8" s="1"/>
  <c r="F115" i="8" l="1"/>
  <c r="V53" i="1"/>
  <c r="F12" i="8"/>
  <c r="F11" i="8"/>
  <c r="T19" i="1"/>
  <c r="C21" i="8" s="1"/>
  <c r="T17" i="1"/>
  <c r="C19" i="8" s="1"/>
  <c r="T18" i="1"/>
  <c r="C20" i="8" s="1"/>
  <c r="G14" i="1"/>
  <c r="P8" i="1" s="1"/>
  <c r="W8" i="1" s="1"/>
  <c r="E14" i="1"/>
  <c r="M6" i="1"/>
  <c r="V6" i="1" s="1"/>
  <c r="V45" i="1"/>
  <c r="F96" i="8" s="1"/>
  <c r="F86" i="8"/>
  <c r="P36" i="1"/>
  <c r="W36" i="1" s="1"/>
  <c r="F19" i="8"/>
  <c r="V18" i="1"/>
  <c r="P51" i="1"/>
  <c r="W51" i="1" s="1"/>
  <c r="P41" i="1"/>
  <c r="W41" i="1" s="1"/>
  <c r="P19" i="1"/>
  <c r="W19" i="1" s="1"/>
  <c r="P35" i="1"/>
  <c r="W35" i="1" s="1"/>
  <c r="F44" i="8"/>
  <c r="V28" i="1"/>
  <c r="V34" i="1"/>
  <c r="F71" i="8"/>
  <c r="V46" i="1"/>
  <c r="P37" i="1"/>
  <c r="W37" i="1" s="1"/>
  <c r="P21" i="1"/>
  <c r="W21" i="1" s="1"/>
  <c r="P42" i="1"/>
  <c r="W42" i="1" s="1"/>
  <c r="P24" i="1"/>
  <c r="W24" i="1" s="1"/>
  <c r="P33" i="1"/>
  <c r="W33" i="1" s="1"/>
  <c r="F17" i="8"/>
  <c r="V16" i="1"/>
  <c r="F18" i="8" s="1"/>
  <c r="F45" i="8"/>
  <c r="V27" i="1"/>
  <c r="F46" i="8" s="1"/>
  <c r="V24" i="1"/>
  <c r="F43" i="8" s="1"/>
  <c r="P49" i="1"/>
  <c r="W49" i="1" s="1"/>
  <c r="P25" i="1"/>
  <c r="W25" i="1" s="1"/>
  <c r="G6" i="8" l="1"/>
  <c r="F4" i="8"/>
  <c r="V10" i="1"/>
  <c r="F8" i="8" s="1"/>
  <c r="V9" i="1"/>
  <c r="F7" i="8" s="1"/>
  <c r="V8" i="1"/>
  <c r="F6" i="8" s="1"/>
  <c r="V7" i="1"/>
  <c r="F5" i="8" s="1"/>
  <c r="V11" i="1"/>
  <c r="F9" i="8" s="1"/>
  <c r="V20" i="1"/>
  <c r="G44" i="8"/>
  <c r="X25" i="1"/>
  <c r="G72" i="8"/>
  <c r="X33" i="1"/>
  <c r="X37" i="1"/>
  <c r="G76" i="8"/>
  <c r="G21" i="8"/>
  <c r="X51" i="1"/>
  <c r="G117" i="8"/>
  <c r="P26" i="1"/>
  <c r="W26" i="1" s="1"/>
  <c r="P15" i="1"/>
  <c r="W15" i="1" s="1"/>
  <c r="P39" i="1"/>
  <c r="W39" i="1" s="1"/>
  <c r="P28" i="1"/>
  <c r="W28" i="1" s="1"/>
  <c r="P32" i="1"/>
  <c r="W32" i="1" s="1"/>
  <c r="F97" i="8"/>
  <c r="P45" i="1"/>
  <c r="W45" i="1" s="1"/>
  <c r="F20" i="8"/>
  <c r="V19" i="1"/>
  <c r="F21" i="8" s="1"/>
  <c r="P9" i="1"/>
  <c r="W9" i="1" s="1"/>
  <c r="P54" i="1"/>
  <c r="W54" i="1" s="1"/>
  <c r="F119" i="8"/>
  <c r="V54" i="1"/>
  <c r="F120" i="8" s="1"/>
  <c r="G43" i="8"/>
  <c r="X24" i="1"/>
  <c r="X41" i="1"/>
  <c r="G86" i="8"/>
  <c r="P6" i="1"/>
  <c r="W6" i="1" s="1"/>
  <c r="P10" i="1"/>
  <c r="W10" i="1" s="1"/>
  <c r="P7" i="1"/>
  <c r="W7" i="1" s="1"/>
  <c r="P16" i="1"/>
  <c r="W16" i="1" s="1"/>
  <c r="P17" i="1"/>
  <c r="W17" i="1" s="1"/>
  <c r="P12" i="1"/>
  <c r="W12" i="1" s="1"/>
  <c r="P11" i="1"/>
  <c r="W11" i="1" s="1"/>
  <c r="P13" i="1"/>
  <c r="W13" i="1" s="1"/>
  <c r="P43" i="1"/>
  <c r="W43" i="1" s="1"/>
  <c r="X49" i="1"/>
  <c r="G115" i="8"/>
  <c r="G23" i="8"/>
  <c r="G74" i="8"/>
  <c r="P44" i="1"/>
  <c r="W44" i="1" s="1"/>
  <c r="P50" i="1"/>
  <c r="W50" i="1" s="1"/>
  <c r="P46" i="1"/>
  <c r="W46" i="1" s="1"/>
  <c r="P52" i="1"/>
  <c r="W52" i="1" s="1"/>
  <c r="F73" i="8"/>
  <c r="V35" i="1"/>
  <c r="X35" i="1" s="1"/>
  <c r="P27" i="1"/>
  <c r="W27" i="1" s="1"/>
  <c r="P20" i="1"/>
  <c r="W20" i="1" s="1"/>
  <c r="P18" i="1"/>
  <c r="W18" i="1" s="1"/>
  <c r="P34" i="1"/>
  <c r="W34" i="1" s="1"/>
  <c r="P40" i="1"/>
  <c r="W40" i="1" s="1"/>
  <c r="P38" i="1"/>
  <c r="W38" i="1" s="1"/>
  <c r="P14" i="1"/>
  <c r="W14" i="1" s="1"/>
  <c r="G87" i="8"/>
  <c r="F47" i="8"/>
  <c r="V29" i="1"/>
  <c r="F48" i="8" s="1"/>
  <c r="X36" i="1"/>
  <c r="G75" i="8"/>
  <c r="P29" i="1"/>
  <c r="W29" i="1" s="1"/>
  <c r="P53" i="1"/>
  <c r="W53" i="1" s="1"/>
  <c r="H74" i="8" l="1"/>
  <c r="X53" i="1"/>
  <c r="G119" i="8"/>
  <c r="X14" i="1"/>
  <c r="G12" i="8"/>
  <c r="X44" i="1"/>
  <c r="G95" i="8"/>
  <c r="G11" i="8"/>
  <c r="X13" i="1"/>
  <c r="G18" i="8"/>
  <c r="X16" i="1"/>
  <c r="X15" i="1"/>
  <c r="G17" i="8"/>
  <c r="H72" i="8"/>
  <c r="F22" i="8"/>
  <c r="V21" i="1"/>
  <c r="G48" i="8"/>
  <c r="X29" i="1"/>
  <c r="G83" i="8"/>
  <c r="X38" i="1"/>
  <c r="G22" i="8"/>
  <c r="X20" i="1"/>
  <c r="G118" i="8"/>
  <c r="X52" i="1"/>
  <c r="G9" i="8"/>
  <c r="X11" i="1"/>
  <c r="G5" i="8"/>
  <c r="X7" i="1"/>
  <c r="H86" i="8"/>
  <c r="X32" i="1"/>
  <c r="G71" i="8"/>
  <c r="G45" i="8"/>
  <c r="X26" i="1"/>
  <c r="G46" i="8"/>
  <c r="X27" i="1"/>
  <c r="H115" i="8"/>
  <c r="G47" i="8"/>
  <c r="X28" i="1"/>
  <c r="G85" i="8"/>
  <c r="X40" i="1"/>
  <c r="X46" i="1"/>
  <c r="G97" i="8"/>
  <c r="G10" i="8"/>
  <c r="X12" i="1"/>
  <c r="G8" i="8"/>
  <c r="X10" i="1"/>
  <c r="H43" i="8"/>
  <c r="X54" i="1"/>
  <c r="G120" i="8"/>
  <c r="G96" i="8"/>
  <c r="X45" i="1"/>
  <c r="H44" i="8"/>
  <c r="H75" i="8"/>
  <c r="X34" i="1"/>
  <c r="G73" i="8"/>
  <c r="F74" i="8"/>
  <c r="V43" i="1"/>
  <c r="X50" i="1"/>
  <c r="G116" i="8"/>
  <c r="X43" i="1"/>
  <c r="G88" i="8"/>
  <c r="G19" i="8"/>
  <c r="X17" i="1"/>
  <c r="G4" i="8"/>
  <c r="X6" i="1"/>
  <c r="G7" i="8"/>
  <c r="X9" i="1"/>
  <c r="X39" i="1"/>
  <c r="G84" i="8"/>
  <c r="H117" i="8"/>
  <c r="H76" i="8"/>
  <c r="X8" i="1"/>
  <c r="G20" i="8"/>
  <c r="X18" i="1"/>
  <c r="X19" i="1"/>
  <c r="H6" i="8" l="1"/>
  <c r="H116" i="8"/>
  <c r="H120" i="8"/>
  <c r="H97" i="8"/>
  <c r="H71" i="8"/>
  <c r="H21" i="8"/>
  <c r="H4" i="8"/>
  <c r="F88" i="8"/>
  <c r="V42" i="1"/>
  <c r="H96" i="8"/>
  <c r="H10" i="8"/>
  <c r="H85" i="8"/>
  <c r="H45" i="8"/>
  <c r="H9" i="8"/>
  <c r="H22" i="8"/>
  <c r="H48" i="8"/>
  <c r="H18" i="8"/>
  <c r="H95" i="8"/>
  <c r="H111" i="8" s="1"/>
  <c r="H119" i="8"/>
  <c r="H73" i="8"/>
  <c r="H20" i="8"/>
  <c r="H84" i="8"/>
  <c r="H88" i="8"/>
  <c r="H7" i="8"/>
  <c r="H19" i="8"/>
  <c r="H8" i="8"/>
  <c r="H47" i="8"/>
  <c r="H46" i="8"/>
  <c r="H5" i="8"/>
  <c r="H118" i="8"/>
  <c r="H83" i="8"/>
  <c r="F23" i="8"/>
  <c r="X21" i="1"/>
  <c r="H11" i="8"/>
  <c r="H17" i="8"/>
  <c r="H12" i="8"/>
  <c r="H23" i="8" l="1"/>
  <c r="H39" i="8" s="1"/>
  <c r="X22" i="1"/>
  <c r="A8" i="1" s="1"/>
  <c r="F87" i="8"/>
  <c r="X42" i="1"/>
  <c r="H13" i="8"/>
  <c r="H79" i="8"/>
  <c r="E6" i="7" l="1"/>
  <c r="G8" i="1"/>
  <c r="C8" i="1"/>
  <c r="F8" i="1"/>
  <c r="B8" i="1"/>
  <c r="D8" i="1"/>
  <c r="E8" i="1"/>
  <c r="H8" i="1"/>
  <c r="J8" i="1" s="1"/>
  <c r="Q35" i="1"/>
  <c r="Q25" i="1"/>
  <c r="Q51" i="1"/>
  <c r="Q37" i="1"/>
  <c r="Q33" i="1"/>
  <c r="Q41" i="1"/>
  <c r="Q49" i="1"/>
  <c r="Q24" i="1"/>
  <c r="Q36" i="1"/>
  <c r="Q12" i="1"/>
  <c r="Q26" i="1"/>
  <c r="Q20" i="1"/>
  <c r="Q53" i="1"/>
  <c r="Q18" i="1"/>
  <c r="Q43" i="1"/>
  <c r="Q17" i="1"/>
  <c r="Q28" i="1"/>
  <c r="Q7" i="1"/>
  <c r="Q13" i="1"/>
  <c r="Q14" i="1"/>
  <c r="Q8" i="1"/>
  <c r="Q54" i="1"/>
  <c r="Q32" i="1"/>
  <c r="Q11" i="1"/>
  <c r="Q6" i="1"/>
  <c r="Q45" i="1"/>
  <c r="Q40" i="1"/>
  <c r="Q29" i="1"/>
  <c r="Q44" i="1"/>
  <c r="Q34" i="1"/>
  <c r="Q39" i="1"/>
  <c r="Q9" i="1"/>
  <c r="Q10" i="1"/>
  <c r="Q27" i="1"/>
  <c r="Q52" i="1"/>
  <c r="Q15" i="1"/>
  <c r="Q50" i="1"/>
  <c r="Q46" i="1"/>
  <c r="Q19" i="1"/>
  <c r="Q16" i="1"/>
  <c r="Q38" i="1"/>
  <c r="Q42" i="1"/>
  <c r="H87" i="8"/>
  <c r="H91" i="8" s="1"/>
  <c r="Q21" i="1"/>
  <c r="A17" i="1" l="1"/>
  <c r="E9" i="7"/>
  <c r="F17" i="1"/>
  <c r="E5" i="7"/>
  <c r="E17" i="1"/>
  <c r="E8" i="7"/>
  <c r="C17" i="1"/>
  <c r="E4" i="7"/>
  <c r="D17" i="1"/>
  <c r="E10" i="7"/>
  <c r="G17" i="1"/>
  <c r="I8" i="1"/>
  <c r="L3" i="1"/>
  <c r="E7" i="7"/>
  <c r="B17" i="1"/>
  <c r="E11" i="7" l="1"/>
  <c r="H17" i="1"/>
  <c r="I11" i="1" s="1"/>
  <c r="H11" i="1" s="1"/>
  <c r="E28" i="7"/>
  <c r="D6" i="7" s="1"/>
  <c r="D10" i="7"/>
  <c r="D9" i="7"/>
  <c r="E10" i="5"/>
  <c r="E11" i="5" s="1"/>
  <c r="D4" i="4" s="1"/>
  <c r="G4" i="3" s="1"/>
  <c r="D5" i="3"/>
  <c r="D5" i="4"/>
  <c r="D8" i="7" l="1"/>
  <c r="D4" i="7"/>
  <c r="D7" i="7"/>
  <c r="F16" i="1"/>
  <c r="B16" i="1"/>
  <c r="E16" i="1"/>
  <c r="A16" i="1"/>
  <c r="G16" i="1"/>
  <c r="C16" i="1"/>
  <c r="D16" i="1"/>
  <c r="D5" i="7"/>
  <c r="D11" i="7"/>
  <c r="Z35" i="1" l="1"/>
  <c r="AA35" i="1" s="1"/>
  <c r="Z38" i="1"/>
  <c r="AA38" i="1" s="1"/>
  <c r="Z33" i="1"/>
  <c r="AA33" i="1" s="1"/>
  <c r="Z54" i="1"/>
  <c r="AA54" i="1" s="1"/>
  <c r="Z53" i="1"/>
  <c r="AA53" i="1" s="1"/>
  <c r="Z52" i="1"/>
  <c r="AA52" i="1" s="1"/>
  <c r="Z51" i="1"/>
  <c r="AA51" i="1" s="1"/>
  <c r="Z50" i="1"/>
  <c r="AA50" i="1" s="1"/>
  <c r="Z49" i="1"/>
  <c r="AA49" i="1" s="1"/>
  <c r="Z37" i="1"/>
  <c r="AA37" i="1" s="1"/>
  <c r="Z36" i="1"/>
  <c r="AA36" i="1" s="1"/>
  <c r="Z21" i="1"/>
  <c r="AA21" i="1" s="1"/>
  <c r="Z20" i="1"/>
  <c r="AA20" i="1" s="1"/>
  <c r="Z16" i="1"/>
  <c r="AA16" i="1" s="1"/>
  <c r="Z13" i="1"/>
  <c r="AA13" i="1" s="1"/>
  <c r="Z12" i="1"/>
  <c r="AA12" i="1" s="1"/>
  <c r="Z11" i="1"/>
  <c r="AA11" i="1" s="1"/>
  <c r="Z34" i="1"/>
  <c r="AA34" i="1" s="1"/>
  <c r="Z19" i="1"/>
  <c r="AA19" i="1" s="1"/>
  <c r="Z10" i="1"/>
  <c r="AA10" i="1" s="1"/>
  <c r="Z46" i="1"/>
  <c r="AA46" i="1" s="1"/>
  <c r="Z45" i="1"/>
  <c r="AA45" i="1" s="1"/>
  <c r="Z44" i="1"/>
  <c r="AA44" i="1" s="1"/>
  <c r="Z43" i="1"/>
  <c r="AA43" i="1" s="1"/>
  <c r="Z42" i="1"/>
  <c r="AA42" i="1" s="1"/>
  <c r="Z41" i="1"/>
  <c r="AA41" i="1" s="1"/>
  <c r="Z40" i="1"/>
  <c r="AA40" i="1" s="1"/>
  <c r="Z39" i="1"/>
  <c r="AA39" i="1" s="1"/>
  <c r="Z32" i="1"/>
  <c r="AA32" i="1" s="1"/>
  <c r="Z29" i="1"/>
  <c r="AA29" i="1" s="1"/>
  <c r="Z28" i="1"/>
  <c r="AA28" i="1" s="1"/>
  <c r="Z27" i="1"/>
  <c r="AA27" i="1" s="1"/>
  <c r="Z26" i="1"/>
  <c r="AA26" i="1" s="1"/>
  <c r="Z25" i="1"/>
  <c r="AA25" i="1" s="1"/>
  <c r="Z24" i="1"/>
  <c r="AA24" i="1" s="1"/>
  <c r="Z17" i="1"/>
  <c r="AA17" i="1" s="1"/>
  <c r="Z15" i="1"/>
  <c r="AA15" i="1" s="1"/>
  <c r="Z14" i="1"/>
  <c r="AA14" i="1" s="1"/>
  <c r="Z18" i="1"/>
  <c r="AA18" i="1" s="1"/>
  <c r="Z9" i="1"/>
  <c r="AA9" i="1" s="1"/>
  <c r="Z8" i="1"/>
  <c r="AA8" i="1" s="1"/>
  <c r="Z7" i="1"/>
  <c r="AA7" i="1" s="1"/>
  <c r="Z6" i="1"/>
  <c r="AA6" i="1" s="1"/>
  <c r="AA22" i="1" s="1"/>
  <c r="A11" i="1" s="1"/>
  <c r="D11" i="1" l="1"/>
  <c r="G11" i="1" s="1"/>
  <c r="C11" i="1"/>
  <c r="F11" i="1"/>
  <c r="B11" i="1"/>
  <c r="E11" i="1"/>
</calcChain>
</file>

<file path=xl/sharedStrings.xml><?xml version="1.0" encoding="utf-8"?>
<sst xmlns="http://schemas.openxmlformats.org/spreadsheetml/2006/main" count="539" uniqueCount="221">
  <si>
    <t>建设单位</t>
  </si>
  <si>
    <t>测试建设单位</t>
  </si>
  <si>
    <t>工程名称</t>
  </si>
  <si>
    <t>测试工程名称</t>
  </si>
  <si>
    <t>报价单位</t>
  </si>
  <si>
    <t>重庆华宇消防</t>
  </si>
  <si>
    <t>电话</t>
  </si>
  <si>
    <t>传真</t>
  </si>
  <si>
    <t>邮编</t>
  </si>
  <si>
    <t>用户数据输入栏</t>
  </si>
  <si>
    <t>总价</t>
  </si>
  <si>
    <t>正算结果数据区</t>
  </si>
  <si>
    <t>反算结果数据区</t>
  </si>
  <si>
    <t>正算结果显示区</t>
  </si>
  <si>
    <t>反算结果显示区</t>
  </si>
  <si>
    <t>项目区域</t>
  </si>
  <si>
    <t>输入新建面积</t>
  </si>
  <si>
    <t>输入改造面积</t>
  </si>
  <si>
    <t>施工层数</t>
  </si>
  <si>
    <t>使用性质</t>
  </si>
  <si>
    <t>是否开票</t>
  </si>
  <si>
    <t>正算数量系数</t>
  </si>
  <si>
    <t>正算主材单价</t>
  </si>
  <si>
    <t>正算主材综合单价</t>
  </si>
  <si>
    <t>正算人工单价</t>
  </si>
  <si>
    <t>反算综合单价系数</t>
  </si>
  <si>
    <t>名称</t>
  </si>
  <si>
    <t>规格</t>
  </si>
  <si>
    <t>单位</t>
  </si>
  <si>
    <t>数量</t>
  </si>
  <si>
    <t>综合单价</t>
  </si>
  <si>
    <t>合价</t>
  </si>
  <si>
    <t>主城</t>
  </si>
  <si>
    <t>酒店/宾馆</t>
  </si>
  <si>
    <t>开票</t>
  </si>
  <si>
    <t>不可更改</t>
  </si>
  <si>
    <t>后台可改</t>
  </si>
  <si>
    <t>不可改</t>
  </si>
  <si>
    <t>喷淋系统</t>
  </si>
  <si>
    <t>不可改（程序自动调整）</t>
  </si>
  <si>
    <t>正算数据汇总表</t>
  </si>
  <si>
    <t>镀锌钢管</t>
  </si>
  <si>
    <t>DN25</t>
  </si>
  <si>
    <t>米</t>
  </si>
  <si>
    <t>直接费</t>
  </si>
  <si>
    <t>间接费</t>
  </si>
  <si>
    <t>措施费</t>
  </si>
  <si>
    <t>设计费</t>
  </si>
  <si>
    <t>审图费</t>
  </si>
  <si>
    <t>管理费</t>
  </si>
  <si>
    <t>检测费</t>
  </si>
  <si>
    <t>税金</t>
  </si>
  <si>
    <t>DN32</t>
  </si>
  <si>
    <t>DN40</t>
  </si>
  <si>
    <t>反算数据汇总表</t>
  </si>
  <si>
    <t>DN50</t>
  </si>
  <si>
    <t>DN65</t>
  </si>
  <si>
    <t>DN80</t>
  </si>
  <si>
    <t>输入参数及计算数据区</t>
  </si>
  <si>
    <t>税率</t>
  </si>
  <si>
    <t>DN100</t>
  </si>
  <si>
    <t>面积使用值（新建）</t>
  </si>
  <si>
    <t>面积使用值（改造）</t>
  </si>
  <si>
    <t>面积防出错数据</t>
  </si>
  <si>
    <t>新建比例</t>
  </si>
  <si>
    <t>改造比例</t>
  </si>
  <si>
    <t>主材单价系数</t>
  </si>
  <si>
    <t>人工系数</t>
  </si>
  <si>
    <t>楼层系数</t>
  </si>
  <si>
    <t>DN150</t>
  </si>
  <si>
    <t>喷头</t>
  </si>
  <si>
    <t>68°，DN15</t>
  </si>
  <si>
    <t>个</t>
  </si>
  <si>
    <t>汇总表数据区</t>
  </si>
  <si>
    <t>末端试水</t>
  </si>
  <si>
    <t>截止阀</t>
  </si>
  <si>
    <t>无</t>
  </si>
  <si>
    <t>水流指示器</t>
  </si>
  <si>
    <t>信号蝶阀</t>
  </si>
  <si>
    <t>焊接法兰</t>
  </si>
  <si>
    <t>管道支架</t>
  </si>
  <si>
    <t>角钢</t>
  </si>
  <si>
    <t>KG</t>
  </si>
  <si>
    <t>金属结构刷漆</t>
  </si>
  <si>
    <t>油漆</t>
  </si>
  <si>
    <t>合计</t>
  </si>
  <si>
    <t>消火栓系统</t>
  </si>
  <si>
    <t>消火栓</t>
  </si>
  <si>
    <t>800*650*160</t>
  </si>
  <si>
    <t>套</t>
  </si>
  <si>
    <t>灭火器</t>
  </si>
  <si>
    <t>MF/ABC-4*2</t>
  </si>
  <si>
    <t>防锈油漆</t>
  </si>
  <si>
    <t>智能光电烟感</t>
  </si>
  <si>
    <t>消防端子箱</t>
  </si>
  <si>
    <t>输入输出模块</t>
  </si>
  <si>
    <t>输出模块</t>
  </si>
  <si>
    <t>短路隔离模块</t>
  </si>
  <si>
    <t>广播扬声器</t>
  </si>
  <si>
    <t>声光报警器</t>
  </si>
  <si>
    <t>消防模块箱</t>
  </si>
  <si>
    <t>消火栓按钮</t>
  </si>
  <si>
    <t>手动报警按钮</t>
  </si>
  <si>
    <t>电气配管</t>
  </si>
  <si>
    <t>电气配线</t>
  </si>
  <si>
    <t>2*1.5</t>
  </si>
  <si>
    <t>2*4</t>
  </si>
  <si>
    <t>2*2.5</t>
  </si>
  <si>
    <t>1*2.5</t>
  </si>
  <si>
    <t>疏散应急系统</t>
  </si>
  <si>
    <t>应急照明灯</t>
  </si>
  <si>
    <t>疏散指示标志（向左）</t>
  </si>
  <si>
    <t>疏散指示标志（向右）</t>
  </si>
  <si>
    <t>安全出口指示标志</t>
  </si>
  <si>
    <t>KBG20</t>
  </si>
  <si>
    <t>（消防部分）</t>
  </si>
  <si>
    <t>报  价  文  件</t>
  </si>
  <si>
    <t>报价单位：</t>
  </si>
  <si>
    <t>法人代表：</t>
  </si>
  <si>
    <r>
      <rPr>
        <u/>
        <sz val="12"/>
        <color rgb="FF000000"/>
        <rFont val="宋体"/>
        <family val="3"/>
        <charset val="134"/>
      </rPr>
      <t xml:space="preserve">                          </t>
    </r>
    <r>
      <rPr>
        <sz val="12"/>
        <color rgb="FF000000"/>
        <rFont val="宋体"/>
        <family val="3"/>
        <charset val="134"/>
      </rPr>
      <t>（签字/盖章）</t>
    </r>
  </si>
  <si>
    <t>报价时间：</t>
  </si>
  <si>
    <t>报价函</t>
  </si>
  <si>
    <t>致：</t>
  </si>
  <si>
    <t>1、我单位经考察现场和研究其他有关文件后，本工程建筑面积约</t>
  </si>
  <si>
    <t>㎡，我方愿以总价为人民币</t>
  </si>
  <si>
    <t>（小写）：</t>
  </si>
  <si>
    <t>元的总价，按技术规范、图纸的条件承包</t>
  </si>
  <si>
    <t>的施工、竣工和保修。</t>
  </si>
  <si>
    <t>2、如我方承包，我方将确保工程质量等级达到合格工程的标准。</t>
  </si>
  <si>
    <t>3、如我方承包，我方承诺按国家规定保修。</t>
  </si>
  <si>
    <t>4、除非另行达成协议并生效，双方的合同和本报价文件将约束我们双</t>
  </si>
  <si>
    <t>方履行职责。</t>
  </si>
  <si>
    <t>法定代表人（或委托代理人）：</t>
  </si>
  <si>
    <r>
      <rPr>
        <u/>
        <sz val="12"/>
        <color rgb="FF000000"/>
        <rFont val="宋体"/>
        <family val="3"/>
        <charset val="134"/>
      </rPr>
      <t xml:space="preserve">              </t>
    </r>
    <r>
      <rPr>
        <sz val="12"/>
        <color rgb="FF000000"/>
        <rFont val="宋体"/>
        <family val="3"/>
        <charset val="134"/>
      </rPr>
      <t>（签字/盖章）</t>
    </r>
  </si>
  <si>
    <t>电      话：</t>
  </si>
  <si>
    <t>传  真：</t>
  </si>
  <si>
    <t>邮  编：</t>
  </si>
  <si>
    <t>日      期：</t>
  </si>
  <si>
    <t>报价函附表</t>
  </si>
  <si>
    <t>报价人名称：</t>
  </si>
  <si>
    <t>序号</t>
  </si>
  <si>
    <t>工程项目名称</t>
  </si>
  <si>
    <t>投标报价（元）</t>
  </si>
  <si>
    <t>大写</t>
  </si>
  <si>
    <t>小写</t>
  </si>
  <si>
    <t>工期（日历天）</t>
  </si>
  <si>
    <t>工程整体竣工后十五个工作日内，通过所有相关部门验收，得消防管理部门验收或备案合格证明文件。</t>
  </si>
  <si>
    <t>保修承诺</t>
  </si>
  <si>
    <t>《建设工程质量管理条例》</t>
  </si>
  <si>
    <t>质量等级</t>
  </si>
  <si>
    <t>合格</t>
  </si>
  <si>
    <t>备注</t>
  </si>
  <si>
    <t>报价人：</t>
  </si>
  <si>
    <r>
      <t>法定代表人：</t>
    </r>
    <r>
      <rPr>
        <u/>
        <sz val="12"/>
        <color rgb="FF000000"/>
        <rFont val="宋体"/>
        <family val="3"/>
        <charset val="134"/>
      </rPr>
      <t xml:space="preserve">                     </t>
    </r>
    <r>
      <rPr>
        <sz val="12"/>
        <color rgb="FF000000"/>
        <rFont val="宋体"/>
        <family val="3"/>
        <charset val="134"/>
      </rPr>
      <t>（签字/盖章）</t>
    </r>
  </si>
  <si>
    <t>日期：</t>
  </si>
  <si>
    <t>工程预算书</t>
  </si>
  <si>
    <t>工程名称：</t>
  </si>
  <si>
    <t>预算总价：</t>
  </si>
  <si>
    <t>（小写）</t>
  </si>
  <si>
    <t>元</t>
  </si>
  <si>
    <t>（大写）</t>
  </si>
  <si>
    <t>编制单位：</t>
  </si>
  <si>
    <t>法定代表：</t>
  </si>
  <si>
    <r>
      <t xml:space="preserve"> </t>
    </r>
    <r>
      <rPr>
        <b/>
        <u/>
        <sz val="14"/>
        <color rgb="FF000000"/>
        <rFont val="宋体"/>
        <family val="3"/>
        <charset val="134"/>
      </rPr>
      <t xml:space="preserve">                 </t>
    </r>
    <r>
      <rPr>
        <b/>
        <sz val="14"/>
        <color rgb="FF000000"/>
        <rFont val="宋体"/>
        <family val="3"/>
        <charset val="134"/>
      </rPr>
      <t>（签字/盖章）</t>
    </r>
  </si>
  <si>
    <t>编制时间：</t>
  </si>
  <si>
    <t>清单报价说明</t>
  </si>
  <si>
    <t xml:space="preserve">       我公司依据贵单位提供的项目平面图（施工图）及对现场的勘察，对工程量</t>
  </si>
  <si>
    <t>进行了预估，本清单报价表所列材料及数量均为我公司统计，不代表实际工程量，</t>
  </si>
  <si>
    <t>设施设备我公司采用原建筑所使用的品牌，以便于对接。单位定价为结合我公司定价</t>
  </si>
  <si>
    <t>策略及本地市场行情价格综合得出。</t>
  </si>
  <si>
    <t xml:space="preserve">       具体详见清单报价表</t>
  </si>
  <si>
    <t xml:space="preserve">       特此说明</t>
  </si>
  <si>
    <r>
      <t xml:space="preserve">                         </t>
    </r>
    <r>
      <rPr>
        <sz val="12"/>
        <color rgb="FF000000"/>
        <rFont val="宋体"/>
        <family val="3"/>
        <charset val="134"/>
      </rPr>
      <t>（签字/盖章）</t>
    </r>
  </si>
  <si>
    <t>报价日期：</t>
  </si>
  <si>
    <t>项目报价汇总表</t>
  </si>
  <si>
    <t>第1页</t>
  </si>
  <si>
    <t>共1页</t>
  </si>
  <si>
    <t>项目名称</t>
  </si>
  <si>
    <t>费用说明</t>
  </si>
  <si>
    <t>费率（%）</t>
  </si>
  <si>
    <t>金额（元）</t>
  </si>
  <si>
    <t>现场勘察及消防施工图设计出图、配套送审图纸归档</t>
  </si>
  <si>
    <t>建设工程项目施工图审查费及资料费</t>
  </si>
  <si>
    <t>工程直接费</t>
  </si>
  <si>
    <t>工程建设施工人、材、机直接费</t>
  </si>
  <si>
    <t>规费</t>
  </si>
  <si>
    <t>技术措施费</t>
  </si>
  <si>
    <t>企业及项目管理费</t>
  </si>
  <si>
    <t>消防设施第三方检测费</t>
  </si>
  <si>
    <t>销项税</t>
  </si>
  <si>
    <t>清单报价表</t>
  </si>
  <si>
    <t>分项名称：喷淋系统工程</t>
  </si>
  <si>
    <t>共2页</t>
  </si>
  <si>
    <t>项目特征</t>
  </si>
  <si>
    <t>综合单价（元）</t>
  </si>
  <si>
    <t>合价（元）</t>
  </si>
  <si>
    <t>1、安装部位：室内；
2、材质：内外壁热浸镀锌钢管；
3、连接方式：螺纹连接；
4、工作内容：除锈刷油、防腐，管道及管件安装，压力试验，冲洗，管道标识；
5、标准：符合设计及验收标准。</t>
  </si>
  <si>
    <t>68°水喷淋头</t>
  </si>
  <si>
    <t>1、安装部位：室内上/下喷安装；
2、规格：DN15
3、连接方式：螺纹连接；
4、工作内容：水冲洗水压试验，管件安装，标识；
5、标准：符合设计及验收标准。</t>
  </si>
  <si>
    <t>本页合计</t>
  </si>
  <si>
    <t>第2页</t>
  </si>
  <si>
    <t>1、安装部位：室内；
2、工作内容：管件安装，压力试验，冲洗，管道标识；
3、标准：符合设计及验收标准。</t>
  </si>
  <si>
    <t>1、安装部位：室内；
2、材质：Q235；
3、连接方式：吊顶安装；
4、工作内容：除锈刷油、防腐；
5、标准：符合设计及验收标准。</t>
  </si>
  <si>
    <t>管道支架防锈漆一遍。</t>
  </si>
  <si>
    <t>分项名称：消火栓系统工程</t>
  </si>
  <si>
    <t>1、安装部位：室内；
2、安装方式：明装/安装；
3、连接方式：螺纹连接；
4、工作内容：除锈刷油、防腐，水冲洗水压试验，管道及管件安装，管道标识；
5、标准：符合设计及验收标准。</t>
  </si>
  <si>
    <t>灭火器、含灭火器箱</t>
  </si>
  <si>
    <t>L40、L50角钢支架</t>
  </si>
  <si>
    <t>角钢支架防锈油漆一遍</t>
  </si>
  <si>
    <t>分项名称：火灾自动报警系统工程</t>
  </si>
  <si>
    <t>共3页</t>
  </si>
  <si>
    <t>1.名称:
2.规格:详设计
3.安装形式:吸顶安装
[工程内容]
1.安装
2.校接线
3.编码
4.调试</t>
  </si>
  <si>
    <t>1.名称:电气配管
2.材质:钢管
3.规格:KBG20
4.配置形式及部位:暗敷
[工程内容]
1.电线管路敷设
2.砖墙开沟槽
3.接地</t>
  </si>
  <si>
    <t>1.名称:电气配线
2.导线型号、材质、规格:WDZCN-BYJ-2*1.5m㎡
3.敷设部位或线制:管内穿线
[工程内容]
1.配线</t>
  </si>
  <si>
    <t>第3页</t>
  </si>
  <si>
    <t>1.名称:电气配线
2.导线型号、材质、规格:WDZCN-BYJ-2*4m㎡
3.敷设部位或线制:管内穿线
[工程内容]
1.配线</t>
  </si>
  <si>
    <t>1.名称:电气配线
2.导线型号、材质、规格:WDZCN-BYJ-2*2.5m㎡
3.敷设部位或线制:管内穿线
[工程内容]
1.配线</t>
  </si>
  <si>
    <t>1.名称:电气配线
2.导线型号、材质、规格:WDZCN-BYJ-1*2.5m㎡
3.敷设部位或线制:管内穿线
[工程内容]
1.配线</t>
  </si>
  <si>
    <t>分项名称：应急疏散系统工程</t>
  </si>
  <si>
    <t>1.名称:
2.规格:详设计
3.安装形式:暗装
[工程内容]
1.安装
2.校接线
3.调试</t>
  </si>
  <si>
    <t>1.名称:电气配线
2.导线型号、材质、规格:NH-BYJ-1*2.5m㎡
3.敷设部位或线制:管内穿线
[工程内容]
4.配线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</si>
</sst>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7" formatCode="&quot;¥&quot;#,##0.00;&quot;¥&quot;\-#,##0.00"/>
    <numFmt numFmtId="44" formatCode="_ &quot;¥&quot;* #,##0.00_ ;_ &quot;¥&quot;* \-#,##0.00_ ;_ &quot;¥&quot;* &quot;-&quot;??_ ;_ @_ "/>
    <numFmt numFmtId="176" formatCode="0.00_);[Red]\(0.00\)"/>
    <numFmt numFmtId="177" formatCode="0.00_ "/>
    <numFmt numFmtId="178" formatCode="0_);[Red]\(0\)"/>
    <numFmt numFmtId="179" formatCode="yyyy&quot;年&quot;m&quot;月&quot;d&quot;日&quot;;@"/>
    <numFmt numFmtId="180" formatCode="0.00000_);[Red]\(0.00000\)"/>
    <numFmt numFmtId="181" formatCode="[DBNum1][$-804]yyyy&quot;年&quot;m&quot;月&quot;d&quot;日&quot;;@"/>
  </numFmts>
  <fonts count="29" x14ac:knownFonts="1">
    <font>
      <sz val="11"/>
      <color rgb="FF000000"/>
      <name val="等线"/>
    </font>
    <font>
      <sz val="8"/>
      <color rgb="FF000000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8"/>
      <color rgb="FFFFFFFF"/>
      <name val="宋体"/>
      <family val="3"/>
      <charset val="134"/>
    </font>
    <font>
      <sz val="8"/>
      <color rgb="FF000000"/>
      <name val="等线"/>
      <family val="3"/>
      <charset val="134"/>
    </font>
    <font>
      <sz val="8"/>
      <color rgb="FF44749F"/>
      <name val="宋体"/>
      <family val="3"/>
      <charset val="134"/>
    </font>
    <font>
      <sz val="8"/>
      <color rgb="FFFF0000"/>
      <name val="宋体"/>
      <family val="3"/>
      <charset val="134"/>
    </font>
    <font>
      <b/>
      <sz val="8"/>
      <color rgb="FF000000"/>
      <name val="等线"/>
      <family val="3"/>
      <charset val="134"/>
    </font>
    <font>
      <sz val="9"/>
      <color rgb="FF000000"/>
      <name val="华文中宋"/>
      <family val="3"/>
      <charset val="134"/>
    </font>
    <font>
      <sz val="20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u/>
      <sz val="12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u/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4"/>
      <color rgb="FF000000"/>
      <name val="宋体"/>
      <family val="3"/>
      <charset val="134"/>
    </font>
    <font>
      <u/>
      <sz val="14"/>
      <color rgb="FF000000"/>
      <name val="宋体"/>
      <family val="3"/>
      <charset val="134"/>
    </font>
    <font>
      <sz val="28"/>
      <color rgb="FF000000"/>
      <name val="宋体"/>
      <family val="3"/>
      <charset val="134"/>
    </font>
    <font>
      <b/>
      <sz val="12"/>
      <color rgb="FF000000"/>
      <name val="宋体"/>
      <family val="3"/>
      <charset val="134"/>
    </font>
    <font>
      <b/>
      <sz val="14"/>
      <color rgb="FF000000"/>
      <name val="宋体"/>
      <family val="3"/>
      <charset val="134"/>
    </font>
    <font>
      <b/>
      <sz val="36"/>
      <color rgb="FF000000"/>
      <name val="宋体"/>
      <family val="3"/>
      <charset val="134"/>
    </font>
    <font>
      <sz val="24"/>
      <color rgb="FF000000"/>
      <name val="宋体"/>
      <family val="3"/>
      <charset val="134"/>
    </font>
    <font>
      <b/>
      <sz val="20"/>
      <color rgb="FF000000"/>
      <name val="宋体"/>
      <family val="3"/>
      <charset val="134"/>
    </font>
    <font>
      <b/>
      <sz val="16"/>
      <color rgb="FF000000"/>
      <name val="宋体"/>
      <family val="3"/>
      <charset val="134"/>
    </font>
    <font>
      <b/>
      <u/>
      <sz val="14"/>
      <color rgb="FF000000"/>
      <name val="宋体"/>
      <family val="3"/>
      <charset val="134"/>
    </font>
    <font>
      <b/>
      <sz val="28"/>
      <color rgb="FF000000"/>
      <name val="宋体"/>
      <family val="3"/>
      <charset val="134"/>
    </font>
    <font>
      <b/>
      <u/>
      <sz val="12"/>
      <color rgb="FF000000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0070C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22396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8EAADB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5">
    <xf numFmtId="0" fontId="0" fillId="2" borderId="0" xfId="0" applyFill="1" applyAlignment="1">
      <alignment vertical="center"/>
    </xf>
    <xf numFmtId="176" fontId="1" fillId="3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6" fontId="1" fillId="3" borderId="2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6" fontId="1" fillId="4" borderId="2" xfId="0" applyNumberFormat="1" applyFont="1" applyFill="1" applyBorder="1" applyAlignment="1">
      <alignment horizontal="center" vertical="center" wrapText="1"/>
    </xf>
    <xf numFmtId="176" fontId="3" fillId="5" borderId="2" xfId="0" applyNumberFormat="1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77" fontId="1" fillId="4" borderId="2" xfId="0" applyNumberFormat="1" applyFont="1" applyFill="1" applyBorder="1" applyAlignment="1">
      <alignment horizontal="center" vertical="center" wrapText="1"/>
    </xf>
    <xf numFmtId="178" fontId="1" fillId="4" borderId="2" xfId="0" applyNumberFormat="1" applyFont="1" applyFill="1" applyBorder="1" applyAlignment="1">
      <alignment horizontal="center" vertical="center" wrapText="1"/>
    </xf>
    <xf numFmtId="176" fontId="4" fillId="6" borderId="2" xfId="0" applyNumberFormat="1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176" fontId="5" fillId="2" borderId="2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176" fontId="4" fillId="2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176" fontId="1" fillId="7" borderId="2" xfId="0" applyNumberFormat="1" applyFont="1" applyFill="1" applyBorder="1" applyAlignment="1">
      <alignment horizontal="center" vertical="center" wrapText="1"/>
    </xf>
    <xf numFmtId="177" fontId="1" fillId="7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76" fontId="1" fillId="2" borderId="0" xfId="0" applyNumberFormat="1" applyFont="1" applyFill="1" applyAlignment="1">
      <alignment horizontal="center" vertical="center" wrapText="1"/>
    </xf>
    <xf numFmtId="176" fontId="1" fillId="6" borderId="2" xfId="0" applyNumberFormat="1" applyFont="1" applyFill="1" applyBorder="1" applyAlignment="1">
      <alignment horizontal="center" vertical="center" wrapText="1"/>
    </xf>
    <xf numFmtId="177" fontId="1" fillId="6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178" fontId="4" fillId="2" borderId="2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6" fontId="7" fillId="8" borderId="2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177" fontId="1" fillId="2" borderId="2" xfId="0" applyNumberFormat="1" applyFont="1" applyFill="1" applyBorder="1" applyAlignment="1">
      <alignment horizontal="center" vertical="center" wrapText="1"/>
    </xf>
    <xf numFmtId="176" fontId="4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76" fontId="2" fillId="8" borderId="2" xfId="0" applyNumberFormat="1" applyFont="1" applyFill="1" applyBorder="1" applyAlignment="1">
      <alignment horizontal="center" vertical="center" wrapText="1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10" fontId="1" fillId="7" borderId="2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7" fontId="11" fillId="2" borderId="0" xfId="0" applyNumberFormat="1" applyFont="1" applyFill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7" fontId="13" fillId="2" borderId="2" xfId="0" applyNumberFormat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 wrapText="1"/>
    </xf>
    <xf numFmtId="0" fontId="10" fillId="2" borderId="0" xfId="0" applyFont="1" applyFill="1" applyAlignment="1"/>
    <xf numFmtId="179" fontId="10" fillId="2" borderId="0" xfId="0" applyNumberFormat="1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vertical="center"/>
    </xf>
    <xf numFmtId="0" fontId="14" fillId="2" borderId="0" xfId="0" applyFont="1" applyFill="1" applyAlignment="1"/>
    <xf numFmtId="0" fontId="10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right" vertical="center"/>
    </xf>
    <xf numFmtId="177" fontId="1" fillId="2" borderId="0" xfId="0" applyNumberFormat="1" applyFont="1" applyFill="1" applyAlignment="1">
      <alignment horizontal="center" vertical="center"/>
    </xf>
    <xf numFmtId="177" fontId="12" fillId="2" borderId="0" xfId="0" applyNumberFormat="1" applyFont="1" applyFill="1" applyAlignment="1">
      <alignment horizontal="center" vertical="center"/>
    </xf>
    <xf numFmtId="180" fontId="1" fillId="3" borderId="2" xfId="0" applyNumberFormat="1" applyFont="1" applyFill="1" applyBorder="1" applyAlignment="1">
      <alignment horizontal="center" vertical="center" wrapText="1"/>
    </xf>
    <xf numFmtId="10" fontId="1" fillId="2" borderId="2" xfId="0" applyNumberFormat="1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left" vertical="center" wrapText="1"/>
    </xf>
    <xf numFmtId="0" fontId="18" fillId="2" borderId="0" xfId="0" applyFont="1" applyFill="1" applyAlignment="1">
      <alignment horizontal="left" vertical="center"/>
    </xf>
    <xf numFmtId="0" fontId="19" fillId="2" borderId="0" xfId="0" applyFont="1" applyFill="1" applyAlignment="1">
      <alignment vertical="center"/>
    </xf>
    <xf numFmtId="0" fontId="10" fillId="2" borderId="0" xfId="0" applyFont="1" applyFill="1" applyAlignment="1">
      <alignment horizontal="right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left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8" fontId="1" fillId="2" borderId="2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2" xfId="0" applyFont="1" applyFill="1" applyBorder="1" applyAlignment="1" applyProtection="1">
      <alignment horizontal="left" vertical="center" wrapText="1"/>
      <protection hidden="1"/>
    </xf>
    <xf numFmtId="0" fontId="12" fillId="9" borderId="2" xfId="0" applyFont="1" applyFill="1" applyBorder="1" applyAlignment="1" applyProtection="1">
      <alignment horizontal="left" vertical="center" wrapText="1"/>
      <protection hidden="1"/>
    </xf>
    <xf numFmtId="0" fontId="12" fillId="2" borderId="2" xfId="0" applyFont="1" applyFill="1" applyBorder="1" applyAlignment="1" applyProtection="1">
      <alignment horizontal="left" vertical="center" wrapText="1"/>
      <protection hidden="1"/>
    </xf>
    <xf numFmtId="176" fontId="1" fillId="2" borderId="0" xfId="0" applyNumberFormat="1" applyFont="1" applyFill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10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76" fontId="1" fillId="2" borderId="8" xfId="0" applyNumberFormat="1" applyFont="1" applyFill="1" applyBorder="1" applyAlignment="1">
      <alignment horizontal="center" vertical="center" wrapText="1"/>
    </xf>
    <xf numFmtId="176" fontId="1" fillId="2" borderId="9" xfId="0" applyNumberFormat="1" applyFont="1" applyFill="1" applyBorder="1" applyAlignment="1">
      <alignment horizontal="center" vertical="center" wrapText="1"/>
    </xf>
    <xf numFmtId="0" fontId="12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right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77" fontId="1" fillId="2" borderId="6" xfId="0" applyNumberFormat="1" applyFont="1" applyFill="1" applyBorder="1" applyAlignment="1">
      <alignment horizontal="center" vertical="center"/>
    </xf>
    <xf numFmtId="177" fontId="1" fillId="2" borderId="8" xfId="0" applyNumberFormat="1" applyFont="1" applyFill="1" applyBorder="1" applyAlignment="1">
      <alignment horizontal="right" vertical="center"/>
    </xf>
    <xf numFmtId="177" fontId="1" fillId="2" borderId="8" xfId="0" applyNumberFormat="1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177" fontId="12" fillId="2" borderId="8" xfId="0" applyNumberFormat="1" applyFont="1" applyFill="1" applyBorder="1" applyAlignment="1">
      <alignment horizontal="center" vertical="center"/>
    </xf>
    <xf numFmtId="177" fontId="12" fillId="2" borderId="9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left" vertical="center" wrapText="1"/>
    </xf>
    <xf numFmtId="176" fontId="1" fillId="2" borderId="17" xfId="0" applyNumberFormat="1" applyFont="1" applyFill="1" applyBorder="1" applyAlignment="1">
      <alignment horizontal="left" vertical="center" wrapText="1"/>
    </xf>
    <xf numFmtId="176" fontId="2" fillId="3" borderId="10" xfId="0" applyNumberFormat="1" applyFont="1" applyFill="1" applyBorder="1" applyAlignment="1">
      <alignment horizontal="center" vertical="center" wrapText="1"/>
    </xf>
    <xf numFmtId="176" fontId="2" fillId="3" borderId="11" xfId="0" applyNumberFormat="1" applyFont="1" applyFill="1" applyBorder="1" applyAlignment="1">
      <alignment horizontal="center" vertical="center" wrapText="1"/>
    </xf>
    <xf numFmtId="176" fontId="2" fillId="3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7" borderId="10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0" fontId="2" fillId="3" borderId="16" xfId="0" applyFont="1" applyFill="1" applyBorder="1" applyAlignment="1">
      <alignment horizontal="center" vertical="center" wrapText="1"/>
    </xf>
    <xf numFmtId="181" fontId="11" fillId="2" borderId="0" xfId="0" applyNumberFormat="1" applyFont="1" applyFill="1" applyAlignment="1">
      <alignment horizontal="left" vertical="center"/>
    </xf>
    <xf numFmtId="0" fontId="21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22" fillId="2" borderId="0" xfId="0" applyFont="1" applyFill="1" applyAlignment="1">
      <alignment horizontal="center" vertical="center"/>
    </xf>
    <xf numFmtId="177" fontId="10" fillId="2" borderId="0" xfId="0" applyNumberFormat="1" applyFont="1" applyFill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7" fontId="11" fillId="2" borderId="0" xfId="0" applyNumberFormat="1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179" fontId="11" fillId="2" borderId="0" xfId="0" applyNumberFormat="1" applyFont="1" applyFill="1" applyAlignment="1">
      <alignment horizontal="left" vertical="center"/>
    </xf>
    <xf numFmtId="0" fontId="10" fillId="2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13" fillId="2" borderId="13" xfId="0" applyFont="1" applyFill="1" applyBorder="1" applyAlignment="1">
      <alignment horizontal="left" vertical="center"/>
    </xf>
    <xf numFmtId="0" fontId="12" fillId="2" borderId="2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left"/>
    </xf>
    <xf numFmtId="0" fontId="10" fillId="2" borderId="0" xfId="0" applyFont="1" applyFill="1" applyAlignment="1">
      <alignment horizontal="left"/>
    </xf>
    <xf numFmtId="181" fontId="24" fillId="2" borderId="0" xfId="0" applyNumberFormat="1" applyFont="1" applyFill="1" applyAlignment="1">
      <alignment horizontal="left" vertical="center"/>
    </xf>
    <xf numFmtId="0" fontId="25" fillId="2" borderId="0" xfId="0" applyFont="1" applyFill="1" applyAlignment="1">
      <alignment horizontal="center" vertical="center"/>
    </xf>
    <xf numFmtId="0" fontId="24" fillId="2" borderId="0" xfId="0" applyFont="1" applyFill="1" applyAlignment="1">
      <alignment horizontal="left" vertical="center"/>
    </xf>
    <xf numFmtId="44" fontId="24" fillId="2" borderId="0" xfId="0" applyNumberFormat="1" applyFont="1" applyFill="1" applyAlignment="1">
      <alignment horizontal="center" vertical="center"/>
    </xf>
    <xf numFmtId="177" fontId="24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176" fontId="1" fillId="2" borderId="0" xfId="0" applyNumberFormat="1" applyFont="1" applyFill="1" applyAlignment="1">
      <alignment horizontal="left" vertical="center" wrapText="1"/>
    </xf>
    <xf numFmtId="176" fontId="1" fillId="2" borderId="21" xfId="0" applyNumberFormat="1" applyFont="1" applyFill="1" applyBorder="1" applyAlignment="1">
      <alignment horizontal="center" vertical="center" wrapText="1"/>
    </xf>
    <xf numFmtId="176" fontId="1" fillId="2" borderId="22" xfId="0" applyNumberFormat="1" applyFont="1" applyFill="1" applyBorder="1" applyAlignment="1">
      <alignment horizontal="center" vertical="center" wrapText="1"/>
    </xf>
    <xf numFmtId="176" fontId="1" fillId="2" borderId="18" xfId="0" applyNumberFormat="1" applyFont="1" applyFill="1" applyBorder="1" applyAlignment="1">
      <alignment horizontal="center" vertical="center" wrapText="1"/>
    </xf>
    <xf numFmtId="176" fontId="1" fillId="2" borderId="19" xfId="0" applyNumberFormat="1" applyFont="1" applyFill="1" applyBorder="1" applyAlignment="1">
      <alignment horizontal="center" vertical="center" wrapText="1"/>
    </xf>
    <xf numFmtId="176" fontId="1" fillId="2" borderId="20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fmlaLink="$G$5" lockText="1" noThreeD="1"/>
</file>

<file path=xl/ctrlProps/ctrlProp2.xml><?xml version="1.0" encoding="utf-8"?>
<formControlPr xmlns="http://schemas.microsoft.com/office/spreadsheetml/2009/9/main" objectType="CheckBox" fmlaLink="$H$5" lockText="1" noThreeD="1"/>
</file>

<file path=xl/ctrlProps/ctrlProp3.xml><?xml version="1.0" encoding="utf-8"?>
<formControlPr xmlns="http://schemas.microsoft.com/office/spreadsheetml/2009/9/main" objectType="CheckBox" fmlaLink="$I$5" lockText="1" noThreeD="1"/>
</file>

<file path=xl/ctrlProps/ctrlProp4.xml><?xml version="1.0" encoding="utf-8"?>
<formControlPr xmlns="http://schemas.microsoft.com/office/spreadsheetml/2009/9/main" objectType="CheckBox" fmlaLink="$J$5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47625</xdr:colOff>
          <xdr:row>3</xdr:row>
          <xdr:rowOff>123825</xdr:rowOff>
        </xdr:from>
        <xdr:to>
          <xdr:col>6</xdr:col>
          <xdr:colOff>628650</xdr:colOff>
          <xdr:row>3</xdr:row>
          <xdr:rowOff>247650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喷淋系统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104775</xdr:colOff>
          <xdr:row>3</xdr:row>
          <xdr:rowOff>66675</xdr:rowOff>
        </xdr:from>
        <xdr:to>
          <xdr:col>7</xdr:col>
          <xdr:colOff>676275</xdr:colOff>
          <xdr:row>3</xdr:row>
          <xdr:rowOff>295275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消火栓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66675</xdr:colOff>
          <xdr:row>3</xdr:row>
          <xdr:rowOff>85725</xdr:rowOff>
        </xdr:from>
        <xdr:to>
          <xdr:col>8</xdr:col>
          <xdr:colOff>695325</xdr:colOff>
          <xdr:row>3</xdr:row>
          <xdr:rowOff>295275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报警系统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47625</xdr:colOff>
          <xdr:row>3</xdr:row>
          <xdr:rowOff>123825</xdr:rowOff>
        </xdr:from>
        <xdr:to>
          <xdr:col>9</xdr:col>
          <xdr:colOff>723900</xdr:colOff>
          <xdr:row>3</xdr:row>
          <xdr:rowOff>266700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疏散应急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239"/>
  <sheetViews>
    <sheetView workbookViewId="0">
      <selection activeCell="K10" sqref="K10"/>
    </sheetView>
  </sheetViews>
  <sheetFormatPr defaultRowHeight="14.25" x14ac:dyDescent="0.2"/>
  <cols>
    <col min="1" max="6" width="7.75" style="2" customWidth="1"/>
    <col min="7" max="10" width="11.125" style="22" customWidth="1"/>
    <col min="11" max="12" width="8.5" style="2" customWidth="1"/>
    <col min="13" max="16" width="7.625" style="2" customWidth="1"/>
    <col min="17" max="17" width="12.875" style="2" customWidth="1"/>
    <col min="18" max="18" width="7.625" style="2" customWidth="1"/>
    <col min="19" max="24" width="9.625" style="2" customWidth="1"/>
    <col min="25" max="25" width="8.625" style="2" customWidth="1"/>
  </cols>
  <sheetData>
    <row r="1" spans="1:27" ht="23.45" customHeight="1" x14ac:dyDescent="0.2">
      <c r="A1" s="108" t="s">
        <v>0</v>
      </c>
      <c r="B1" s="108"/>
      <c r="C1" s="108" t="s">
        <v>1</v>
      </c>
      <c r="D1" s="108"/>
      <c r="E1" s="108"/>
      <c r="F1" s="108"/>
      <c r="G1" s="32" t="s">
        <v>2</v>
      </c>
      <c r="H1" s="109" t="s">
        <v>3</v>
      </c>
      <c r="I1" s="109"/>
      <c r="J1" s="109"/>
      <c r="K1" s="110"/>
    </row>
    <row r="2" spans="1:27" ht="23.45" customHeight="1" x14ac:dyDescent="0.2">
      <c r="A2" s="108" t="s">
        <v>4</v>
      </c>
      <c r="B2" s="108"/>
      <c r="C2" s="108" t="s">
        <v>5</v>
      </c>
      <c r="D2" s="108"/>
      <c r="E2" s="108"/>
      <c r="F2" s="108"/>
      <c r="G2" s="32" t="s">
        <v>6</v>
      </c>
      <c r="H2" s="32">
        <v>123456789</v>
      </c>
      <c r="I2" s="32" t="s">
        <v>7</v>
      </c>
      <c r="J2" s="32">
        <v>123456789</v>
      </c>
      <c r="K2" s="31" t="s">
        <v>8</v>
      </c>
      <c r="L2" s="31">
        <v>400000</v>
      </c>
    </row>
    <row r="3" spans="1:27" ht="32.450000000000003" customHeight="1" x14ac:dyDescent="0.2">
      <c r="A3" s="119" t="s">
        <v>9</v>
      </c>
      <c r="B3" s="120"/>
      <c r="C3" s="120"/>
      <c r="D3" s="120"/>
      <c r="E3" s="120"/>
      <c r="F3" s="120"/>
      <c r="G3" s="120"/>
      <c r="H3" s="120"/>
      <c r="I3" s="120"/>
      <c r="J3" s="121"/>
      <c r="K3" s="31" t="s">
        <v>10</v>
      </c>
      <c r="L3" s="31">
        <f>IF(J11=0,J8,J11)</f>
        <v>81517.202495537887</v>
      </c>
      <c r="M3" s="114" t="s">
        <v>11</v>
      </c>
      <c r="N3" s="115"/>
      <c r="O3" s="115"/>
      <c r="P3" s="115"/>
      <c r="Q3" s="5" t="s">
        <v>12</v>
      </c>
      <c r="S3" s="115" t="s">
        <v>13</v>
      </c>
      <c r="T3" s="115"/>
      <c r="U3" s="115"/>
      <c r="V3" s="115"/>
      <c r="W3" s="115"/>
      <c r="X3" s="115"/>
      <c r="Y3" s="4"/>
      <c r="Z3" s="115" t="s">
        <v>14</v>
      </c>
      <c r="AA3" s="115"/>
    </row>
    <row r="4" spans="1:27" ht="32.450000000000003" customHeight="1" x14ac:dyDescent="0.2">
      <c r="A4" s="6" t="s">
        <v>15</v>
      </c>
      <c r="B4" s="6" t="s">
        <v>16</v>
      </c>
      <c r="C4" s="6" t="s">
        <v>17</v>
      </c>
      <c r="D4" s="6" t="s">
        <v>18</v>
      </c>
      <c r="E4" s="6" t="s">
        <v>19</v>
      </c>
      <c r="F4" s="6" t="s">
        <v>20</v>
      </c>
      <c r="G4" s="6"/>
      <c r="H4" s="6"/>
      <c r="I4" s="6"/>
      <c r="J4" s="6"/>
      <c r="M4" s="7" t="s">
        <v>21</v>
      </c>
      <c r="N4" s="7" t="s">
        <v>22</v>
      </c>
      <c r="O4" s="7" t="s">
        <v>23</v>
      </c>
      <c r="P4" s="7" t="s">
        <v>24</v>
      </c>
      <c r="Q4" s="7" t="s">
        <v>25</v>
      </c>
      <c r="S4" s="7" t="s">
        <v>26</v>
      </c>
      <c r="T4" s="8" t="s">
        <v>27</v>
      </c>
      <c r="U4" s="8" t="s">
        <v>28</v>
      </c>
      <c r="V4" s="7" t="s">
        <v>29</v>
      </c>
      <c r="W4" s="7" t="s">
        <v>30</v>
      </c>
      <c r="X4" s="7" t="s">
        <v>31</v>
      </c>
      <c r="Z4" s="7" t="s">
        <v>30</v>
      </c>
      <c r="AA4" s="7" t="s">
        <v>31</v>
      </c>
    </row>
    <row r="5" spans="1:27" ht="32.450000000000003" customHeight="1" x14ac:dyDescent="0.2">
      <c r="A5" s="6" t="s">
        <v>32</v>
      </c>
      <c r="B5" s="6">
        <v>1500</v>
      </c>
      <c r="C5" s="9">
        <v>0</v>
      </c>
      <c r="D5" s="10">
        <v>10</v>
      </c>
      <c r="E5" s="6" t="s">
        <v>33</v>
      </c>
      <c r="F5" s="6" t="s">
        <v>34</v>
      </c>
      <c r="G5" s="10" t="b">
        <v>1</v>
      </c>
      <c r="H5" s="10" t="b">
        <v>0</v>
      </c>
      <c r="I5" s="10" t="b">
        <v>0</v>
      </c>
      <c r="J5" s="10" t="b">
        <v>0</v>
      </c>
      <c r="M5" s="37" t="s">
        <v>35</v>
      </c>
      <c r="N5" s="37" t="s">
        <v>36</v>
      </c>
      <c r="O5" s="37" t="s">
        <v>37</v>
      </c>
      <c r="P5" s="37" t="s">
        <v>37</v>
      </c>
      <c r="Q5" s="37" t="s">
        <v>38</v>
      </c>
      <c r="S5" s="37"/>
      <c r="T5" s="37" t="s">
        <v>39</v>
      </c>
      <c r="U5" s="37" t="s">
        <v>39</v>
      </c>
      <c r="V5" s="37" t="s">
        <v>39</v>
      </c>
      <c r="W5" s="37" t="s">
        <v>39</v>
      </c>
      <c r="X5" s="37" t="s">
        <v>39</v>
      </c>
      <c r="Z5" s="37" t="s">
        <v>39</v>
      </c>
      <c r="AA5" s="37" t="s">
        <v>39</v>
      </c>
    </row>
    <row r="6" spans="1:27" ht="32.450000000000003" customHeight="1" x14ac:dyDescent="0.2">
      <c r="A6" s="116" t="s">
        <v>40</v>
      </c>
      <c r="B6" s="117"/>
      <c r="C6" s="117"/>
      <c r="D6" s="117"/>
      <c r="E6" s="117"/>
      <c r="F6" s="117"/>
      <c r="G6" s="117"/>
      <c r="H6" s="117"/>
      <c r="I6" s="117"/>
      <c r="J6" s="118"/>
      <c r="M6" s="11">
        <f>D14*1.5+E14*1.1</f>
        <v>1.7199999997333333</v>
      </c>
      <c r="N6" s="12">
        <v>64</v>
      </c>
      <c r="O6" s="13">
        <f t="shared" ref="O6:O13" si="0">N6/6*F$14</f>
        <v>16</v>
      </c>
      <c r="P6" s="14">
        <f t="shared" ref="P6:P21" si="1">O6*G$14*0.55</f>
        <v>14.695999998826666</v>
      </c>
      <c r="Q6" s="15">
        <f t="shared" ref="Q6:Q21" si="2">X6/A$8</f>
        <v>0.19635263378682347</v>
      </c>
      <c r="S6" s="16" t="s">
        <v>41</v>
      </c>
      <c r="T6" s="16" t="s">
        <v>42</v>
      </c>
      <c r="U6" s="16" t="s">
        <v>43</v>
      </c>
      <c r="V6" s="17">
        <f>V14*M6</f>
        <v>327.82719225412961</v>
      </c>
      <c r="W6" s="14">
        <f t="shared" ref="W6:W21" si="3">P6+O6</f>
        <v>30.695999998826665</v>
      </c>
      <c r="X6" s="14">
        <f t="shared" ref="X6:X21" si="4">W6*V6</f>
        <v>10062.983493048112</v>
      </c>
      <c r="Z6" s="15">
        <f t="shared" ref="Z6:Z21" si="5">A$16*Q6/V6</f>
        <v>0</v>
      </c>
      <c r="AA6" s="15">
        <f t="shared" ref="AA6:AA21" si="6">Z6*V6</f>
        <v>0</v>
      </c>
    </row>
    <row r="7" spans="1:27" ht="32.450000000000003" customHeight="1" x14ac:dyDescent="0.2">
      <c r="A7" s="18" t="s">
        <v>44</v>
      </c>
      <c r="B7" s="18" t="s">
        <v>45</v>
      </c>
      <c r="C7" s="18" t="s">
        <v>46</v>
      </c>
      <c r="D7" s="18" t="s">
        <v>47</v>
      </c>
      <c r="E7" s="18" t="s">
        <v>48</v>
      </c>
      <c r="F7" s="18" t="s">
        <v>49</v>
      </c>
      <c r="G7" s="18" t="s">
        <v>50</v>
      </c>
      <c r="H7" s="18" t="s">
        <v>10</v>
      </c>
      <c r="I7" s="18" t="s">
        <v>51</v>
      </c>
      <c r="J7" s="18" t="str">
        <f>IF(I14=0,"不含税总价","含税总价")</f>
        <v>含税总价</v>
      </c>
      <c r="M7" s="11">
        <v>0.33200000000000002</v>
      </c>
      <c r="N7" s="12">
        <v>85</v>
      </c>
      <c r="O7" s="13">
        <f t="shared" si="0"/>
        <v>21.25</v>
      </c>
      <c r="P7" s="14">
        <f t="shared" si="1"/>
        <v>19.518124998441667</v>
      </c>
      <c r="Q7" s="15">
        <f t="shared" si="2"/>
        <v>8.6579239460377475E-2</v>
      </c>
      <c r="S7" s="16" t="s">
        <v>41</v>
      </c>
      <c r="T7" s="16" t="s">
        <v>52</v>
      </c>
      <c r="U7" s="16" t="s">
        <v>43</v>
      </c>
      <c r="V7" s="17">
        <f>V$6*M7</f>
        <v>108.83862782837103</v>
      </c>
      <c r="W7" s="14">
        <f t="shared" si="3"/>
        <v>40.768124998441664</v>
      </c>
      <c r="X7" s="14">
        <f t="shared" si="4"/>
        <v>4437.1467839659017</v>
      </c>
      <c r="Z7" s="15">
        <f t="shared" si="5"/>
        <v>0</v>
      </c>
      <c r="AA7" s="15">
        <f t="shared" si="6"/>
        <v>0</v>
      </c>
    </row>
    <row r="8" spans="1:27" ht="32.450000000000003" customHeight="1" x14ac:dyDescent="0.2">
      <c r="A8" s="19">
        <f>X22+X30+X47+X55</f>
        <v>51249.546792294685</v>
      </c>
      <c r="B8" s="19">
        <f>A8*0.1206</f>
        <v>6180.6953431507391</v>
      </c>
      <c r="C8" s="19">
        <f>A8*0.03162</f>
        <v>1620.510669572358</v>
      </c>
      <c r="D8" s="19">
        <f>A8*0.0414</f>
        <v>2121.7312372010001</v>
      </c>
      <c r="E8" s="19">
        <f>IF(A8*0.0237&lt;6000,6000,A8*0.0237)</f>
        <v>6000</v>
      </c>
      <c r="F8" s="19">
        <f>A8*0.1149</f>
        <v>5888.5729264346592</v>
      </c>
      <c r="G8" s="19">
        <f>A8*0.0204</f>
        <v>1045.4907545628116</v>
      </c>
      <c r="H8" s="19">
        <f>SUM(A8:G8)</f>
        <v>74106.547723216252</v>
      </c>
      <c r="I8" s="19">
        <f>J8-H8</f>
        <v>7410.6547723216354</v>
      </c>
      <c r="J8" s="20">
        <f>H8*(1+I14)</f>
        <v>81517.202495537887</v>
      </c>
      <c r="M8" s="11">
        <v>0.56299999999999994</v>
      </c>
      <c r="N8" s="12">
        <v>98</v>
      </c>
      <c r="O8" s="13">
        <f t="shared" si="0"/>
        <v>24.5</v>
      </c>
      <c r="P8" s="14">
        <f t="shared" si="1"/>
        <v>22.503249998203334</v>
      </c>
      <c r="Q8" s="15">
        <f t="shared" si="2"/>
        <v>0.16927437838365933</v>
      </c>
      <c r="S8" s="16" t="s">
        <v>41</v>
      </c>
      <c r="T8" s="16" t="s">
        <v>53</v>
      </c>
      <c r="U8" s="16" t="s">
        <v>43</v>
      </c>
      <c r="V8" s="17">
        <f>V$6*M8</f>
        <v>184.56670923907495</v>
      </c>
      <c r="W8" s="14">
        <f t="shared" si="3"/>
        <v>47.00324999820333</v>
      </c>
      <c r="X8" s="14">
        <f t="shared" si="4"/>
        <v>8675.2351757099441</v>
      </c>
      <c r="Z8" s="15">
        <f t="shared" si="5"/>
        <v>0</v>
      </c>
      <c r="AA8" s="15">
        <f t="shared" si="6"/>
        <v>0</v>
      </c>
    </row>
    <row r="9" spans="1:27" ht="32.450000000000003" customHeight="1" x14ac:dyDescent="0.2">
      <c r="A9" s="125" t="s">
        <v>54</v>
      </c>
      <c r="B9" s="126"/>
      <c r="C9" s="126"/>
      <c r="D9" s="126"/>
      <c r="E9" s="126"/>
      <c r="F9" s="126"/>
      <c r="G9" s="126"/>
      <c r="H9" s="126"/>
      <c r="I9" s="126"/>
      <c r="J9" s="126"/>
      <c r="M9" s="11">
        <v>0.185</v>
      </c>
      <c r="N9" s="12">
        <v>135</v>
      </c>
      <c r="O9" s="13">
        <f t="shared" si="0"/>
        <v>33.75</v>
      </c>
      <c r="P9" s="14">
        <f t="shared" si="1"/>
        <v>30.999374997524999</v>
      </c>
      <c r="Q9" s="15">
        <f t="shared" si="2"/>
        <v>7.6623547325404939E-2</v>
      </c>
      <c r="S9" s="16" t="s">
        <v>41</v>
      </c>
      <c r="T9" s="16" t="s">
        <v>55</v>
      </c>
      <c r="U9" s="16" t="s">
        <v>43</v>
      </c>
      <c r="V9" s="17">
        <f>V$6*M9</f>
        <v>60.648030567013976</v>
      </c>
      <c r="W9" s="14">
        <f t="shared" si="3"/>
        <v>64.749374997524995</v>
      </c>
      <c r="X9" s="14">
        <f t="shared" si="4"/>
        <v>3926.9220740449464</v>
      </c>
      <c r="Z9" s="15">
        <f t="shared" si="5"/>
        <v>0</v>
      </c>
      <c r="AA9" s="15">
        <f t="shared" si="6"/>
        <v>0</v>
      </c>
    </row>
    <row r="10" spans="1:27" ht="32.450000000000003" customHeight="1" x14ac:dyDescent="0.2">
      <c r="A10" s="21" t="s">
        <v>44</v>
      </c>
      <c r="B10" s="21" t="s">
        <v>45</v>
      </c>
      <c r="C10" s="21" t="s">
        <v>46</v>
      </c>
      <c r="D10" s="21" t="s">
        <v>47</v>
      </c>
      <c r="E10" s="21" t="s">
        <v>48</v>
      </c>
      <c r="F10" s="21" t="s">
        <v>49</v>
      </c>
      <c r="G10" s="21" t="s">
        <v>50</v>
      </c>
      <c r="H10" s="3" t="s">
        <v>10</v>
      </c>
      <c r="I10" s="3" t="s">
        <v>51</v>
      </c>
      <c r="J10" s="21" t="str">
        <f>IF(I14=0,"不含税总价","含税总价")</f>
        <v>含税总价</v>
      </c>
      <c r="M10" s="11">
        <v>0.17599999999999999</v>
      </c>
      <c r="N10" s="12">
        <v>178</v>
      </c>
      <c r="O10" s="13">
        <f t="shared" si="0"/>
        <v>44.5</v>
      </c>
      <c r="P10" s="14">
        <f t="shared" si="1"/>
        <v>40.873249996736668</v>
      </c>
      <c r="Q10" s="15">
        <f t="shared" si="2"/>
        <v>9.6114614238650087E-2</v>
      </c>
      <c r="S10" s="16" t="s">
        <v>41</v>
      </c>
      <c r="T10" s="16" t="s">
        <v>56</v>
      </c>
      <c r="U10" s="16" t="s">
        <v>43</v>
      </c>
      <c r="V10" s="17">
        <f>V$6*M10</f>
        <v>57.697585836726809</v>
      </c>
      <c r="W10" s="14">
        <f t="shared" si="3"/>
        <v>85.373249996736661</v>
      </c>
      <c r="X10" s="14">
        <f t="shared" si="4"/>
        <v>4925.8304198470505</v>
      </c>
      <c r="Z10" s="15">
        <f t="shared" si="5"/>
        <v>0</v>
      </c>
      <c r="AA10" s="15">
        <f t="shared" si="6"/>
        <v>0</v>
      </c>
    </row>
    <row r="11" spans="1:27" ht="32.450000000000003" customHeight="1" x14ac:dyDescent="0.2">
      <c r="A11" s="3">
        <f>AA22+AA30+AA47+AA55</f>
        <v>0</v>
      </c>
      <c r="B11" s="3">
        <f>A11*0.1206</f>
        <v>0</v>
      </c>
      <c r="C11" s="3">
        <f>A11*0.03162</f>
        <v>0</v>
      </c>
      <c r="D11" s="3">
        <f>A11*0.0414</f>
        <v>0</v>
      </c>
      <c r="E11" s="3">
        <f>IF(A11*0.0237&lt;6000,6000,A11*0.0237)</f>
        <v>6000</v>
      </c>
      <c r="F11" s="3">
        <f>A11*0.1149</f>
        <v>0</v>
      </c>
      <c r="G11" s="3">
        <f>H11-SUM(A11:F11)</f>
        <v>-6000</v>
      </c>
      <c r="H11" s="3">
        <f>J11-I11</f>
        <v>0</v>
      </c>
      <c r="I11" s="3">
        <f>J11*H17</f>
        <v>0</v>
      </c>
      <c r="J11" s="21">
        <v>0</v>
      </c>
      <c r="M11" s="11">
        <v>0.11</v>
      </c>
      <c r="N11" s="12">
        <v>210</v>
      </c>
      <c r="O11" s="13">
        <f t="shared" si="0"/>
        <v>52.5</v>
      </c>
      <c r="P11" s="14">
        <f t="shared" si="1"/>
        <v>48.221249996150007</v>
      </c>
      <c r="Q11" s="15">
        <f t="shared" si="2"/>
        <v>7.0871028757431606E-2</v>
      </c>
      <c r="S11" s="16" t="s">
        <v>41</v>
      </c>
      <c r="T11" s="16" t="s">
        <v>57</v>
      </c>
      <c r="U11" s="16" t="s">
        <v>43</v>
      </c>
      <c r="V11" s="17">
        <f>V$6*M11</f>
        <v>36.060991147954255</v>
      </c>
      <c r="W11" s="14">
        <f t="shared" si="3"/>
        <v>100.72124999615001</v>
      </c>
      <c r="X11" s="14">
        <f t="shared" si="4"/>
        <v>3632.1081045220531</v>
      </c>
      <c r="Z11" s="15">
        <f t="shared" si="5"/>
        <v>0</v>
      </c>
      <c r="AA11" s="15">
        <f t="shared" si="6"/>
        <v>0</v>
      </c>
    </row>
    <row r="12" spans="1:27" ht="32.450000000000003" customHeight="1" x14ac:dyDescent="0.2">
      <c r="A12" s="122" t="s">
        <v>58</v>
      </c>
      <c r="B12" s="123"/>
      <c r="C12" s="123"/>
      <c r="D12" s="123"/>
      <c r="E12" s="123"/>
      <c r="F12" s="123"/>
      <c r="G12" s="123"/>
      <c r="H12" s="124"/>
      <c r="I12" s="42" t="s">
        <v>59</v>
      </c>
      <c r="M12" s="11">
        <v>1.43E-2</v>
      </c>
      <c r="N12" s="12">
        <v>285</v>
      </c>
      <c r="O12" s="13">
        <f t="shared" si="0"/>
        <v>71.25</v>
      </c>
      <c r="P12" s="14">
        <f t="shared" si="1"/>
        <v>65.443124994775005</v>
      </c>
      <c r="Q12" s="15">
        <f t="shared" si="2"/>
        <v>7.2695781121800192E-3</v>
      </c>
      <c r="S12" s="16" t="s">
        <v>41</v>
      </c>
      <c r="T12" s="16" t="s">
        <v>60</v>
      </c>
      <c r="U12" s="16" t="s">
        <v>43</v>
      </c>
      <c r="V12" s="17">
        <f>A$14/M$14*M12</f>
        <v>2.7255400272299872</v>
      </c>
      <c r="W12" s="14">
        <f t="shared" si="3"/>
        <v>136.69312499477502</v>
      </c>
      <c r="X12" s="14">
        <f t="shared" si="4"/>
        <v>372.56258362041115</v>
      </c>
      <c r="Z12" s="15">
        <f t="shared" si="5"/>
        <v>0</v>
      </c>
      <c r="AA12" s="15">
        <f t="shared" si="6"/>
        <v>0</v>
      </c>
    </row>
    <row r="13" spans="1:27" ht="32.450000000000003" customHeight="1" x14ac:dyDescent="0.2">
      <c r="A13" s="12" t="s">
        <v>61</v>
      </c>
      <c r="B13" s="12" t="s">
        <v>62</v>
      </c>
      <c r="C13" s="12" t="s">
        <v>63</v>
      </c>
      <c r="D13" s="23" t="s">
        <v>64</v>
      </c>
      <c r="E13" s="12" t="s">
        <v>65</v>
      </c>
      <c r="F13" s="12" t="s">
        <v>66</v>
      </c>
      <c r="G13" s="12" t="s">
        <v>67</v>
      </c>
      <c r="H13" s="12" t="s">
        <v>68</v>
      </c>
      <c r="I13" s="41">
        <v>0.1</v>
      </c>
      <c r="M13" s="11">
        <v>8.0000000000000002E-3</v>
      </c>
      <c r="N13" s="12">
        <v>512</v>
      </c>
      <c r="O13" s="13">
        <f t="shared" si="0"/>
        <v>128</v>
      </c>
      <c r="P13" s="14">
        <f t="shared" si="1"/>
        <v>117.56799999061333</v>
      </c>
      <c r="Q13" s="15">
        <f t="shared" si="2"/>
        <v>7.3061445092600548E-3</v>
      </c>
      <c r="S13" s="16" t="s">
        <v>41</v>
      </c>
      <c r="T13" s="16" t="s">
        <v>69</v>
      </c>
      <c r="U13" s="16" t="s">
        <v>43</v>
      </c>
      <c r="V13" s="17">
        <f>A$14/M$14*M13</f>
        <v>1.5247776376111817</v>
      </c>
      <c r="W13" s="14">
        <f t="shared" si="3"/>
        <v>245.56799999061332</v>
      </c>
      <c r="X13" s="14">
        <f t="shared" si="4"/>
        <v>374.43659489859004</v>
      </c>
      <c r="Z13" s="15">
        <f t="shared" si="5"/>
        <v>0</v>
      </c>
      <c r="AA13" s="15">
        <f t="shared" si="6"/>
        <v>0</v>
      </c>
    </row>
    <row r="14" spans="1:27" s="25" customFormat="1" ht="32.450000000000003" customHeight="1" x14ac:dyDescent="0.2">
      <c r="A14" s="23">
        <f>B5+C14</f>
        <v>1500.0000010000001</v>
      </c>
      <c r="B14" s="23">
        <f>C5+C14</f>
        <v>9.9999999999999995E-7</v>
      </c>
      <c r="C14" s="24">
        <v>9.9999999999999995E-7</v>
      </c>
      <c r="D14" s="23">
        <f>A14/(A14+B14)</f>
        <v>0.99999999933333328</v>
      </c>
      <c r="E14" s="24">
        <f>1-D14+0.2</f>
        <v>0.20000000066666673</v>
      </c>
      <c r="F14" s="12">
        <f>IF(AND(A5="主城"),1.5,IF(AND(A5="区县"),1.75))</f>
        <v>1.5</v>
      </c>
      <c r="G14" s="24">
        <f>D14*1.2+E14+H14</f>
        <v>1.6699999998666666</v>
      </c>
      <c r="H14" s="12">
        <f>D5*0.027</f>
        <v>0.27</v>
      </c>
      <c r="I14" s="41">
        <f>IF(F5="开票",I13,0)</f>
        <v>0.1</v>
      </c>
      <c r="M14" s="11">
        <f>IF(AND(E5="酒店/宾馆"),7.87,IF(AND(E5="商场/超市"),9.31,IF(AND(E5="医疗/养老"),8.24,IF(AND(E5="学习/办公"),8.65,IF(AND(E5="娱乐/休闲"),7.72,IF(AND(E5="厂房/仓库"),9.01,0))))))</f>
        <v>7.87</v>
      </c>
      <c r="N14" s="12">
        <v>7.5</v>
      </c>
      <c r="O14" s="26">
        <f>N14*F14</f>
        <v>11.25</v>
      </c>
      <c r="P14" s="14">
        <f t="shared" si="1"/>
        <v>10.333124999175</v>
      </c>
      <c r="Q14" s="15">
        <f t="shared" si="2"/>
        <v>8.0267700960909877E-2</v>
      </c>
      <c r="S14" s="16" t="s">
        <v>70</v>
      </c>
      <c r="T14" s="16" t="s">
        <v>71</v>
      </c>
      <c r="U14" s="16" t="s">
        <v>72</v>
      </c>
      <c r="V14" s="27">
        <f>(A14+B14)/M14</f>
        <v>190.59720482846254</v>
      </c>
      <c r="W14" s="14">
        <f t="shared" si="3"/>
        <v>21.583124999174998</v>
      </c>
      <c r="X14" s="14">
        <f t="shared" si="4"/>
        <v>4113.6832963060679</v>
      </c>
      <c r="Y14" s="2"/>
      <c r="Z14" s="15">
        <f t="shared" si="5"/>
        <v>0</v>
      </c>
      <c r="AA14" s="15">
        <f t="shared" si="6"/>
        <v>0</v>
      </c>
    </row>
    <row r="15" spans="1:27" s="25" customFormat="1" ht="32.450000000000003" customHeight="1" x14ac:dyDescent="0.2">
      <c r="A15" s="111" t="s">
        <v>73</v>
      </c>
      <c r="B15" s="112"/>
      <c r="C15" s="112"/>
      <c r="D15" s="112"/>
      <c r="E15" s="112"/>
      <c r="F15" s="112"/>
      <c r="G15" s="112"/>
      <c r="H15" s="113"/>
      <c r="M15" s="11">
        <v>2000</v>
      </c>
      <c r="N15" s="12">
        <v>114</v>
      </c>
      <c r="O15" s="26">
        <f t="shared" ref="O15:O21" si="7">N15*F$14</f>
        <v>171</v>
      </c>
      <c r="P15" s="14">
        <f t="shared" si="1"/>
        <v>157.06349998746001</v>
      </c>
      <c r="Q15" s="15">
        <f t="shared" si="2"/>
        <v>6.4012956312968605E-2</v>
      </c>
      <c r="S15" s="16" t="s">
        <v>74</v>
      </c>
      <c r="T15" s="16" t="s">
        <v>42</v>
      </c>
      <c r="U15" s="16" t="s">
        <v>72</v>
      </c>
      <c r="V15" s="27">
        <f>IF((A14+B14)/M15&lt;D5,D5,(A14+B14)/M15)</f>
        <v>10</v>
      </c>
      <c r="W15" s="14">
        <f t="shared" si="3"/>
        <v>328.06349998745998</v>
      </c>
      <c r="X15" s="14">
        <f t="shared" si="4"/>
        <v>3280.6349998746</v>
      </c>
      <c r="Y15" s="2"/>
      <c r="Z15" s="15">
        <f t="shared" si="5"/>
        <v>0</v>
      </c>
      <c r="AA15" s="15">
        <f t="shared" si="6"/>
        <v>0</v>
      </c>
    </row>
    <row r="16" spans="1:27" s="25" customFormat="1" ht="32.450000000000003" customHeight="1" x14ac:dyDescent="0.2">
      <c r="A16" s="1">
        <f>H11*A17</f>
        <v>0</v>
      </c>
      <c r="B16" s="1">
        <f>H11*B17</f>
        <v>0</v>
      </c>
      <c r="C16" s="1">
        <f>H11*C17</f>
        <v>0</v>
      </c>
      <c r="D16" s="1">
        <f>H11*D17</f>
        <v>0</v>
      </c>
      <c r="E16" s="1">
        <f>H11*E17</f>
        <v>0</v>
      </c>
      <c r="F16" s="1">
        <f>H11*F17</f>
        <v>0</v>
      </c>
      <c r="G16" s="1">
        <f>H$11*G17</f>
        <v>0</v>
      </c>
      <c r="H16" s="3"/>
      <c r="M16" s="11"/>
      <c r="N16" s="12">
        <v>25</v>
      </c>
      <c r="O16" s="26">
        <f t="shared" si="7"/>
        <v>37.5</v>
      </c>
      <c r="P16" s="14">
        <f t="shared" si="1"/>
        <v>34.443749997250002</v>
      </c>
      <c r="Q16" s="15">
        <f t="shared" si="2"/>
        <v>1.4037929016001887E-2</v>
      </c>
      <c r="S16" s="16" t="s">
        <v>75</v>
      </c>
      <c r="T16" s="16" t="s">
        <v>42</v>
      </c>
      <c r="U16" s="16" t="s">
        <v>72</v>
      </c>
      <c r="V16" s="27">
        <f>V15</f>
        <v>10</v>
      </c>
      <c r="W16" s="14">
        <f t="shared" si="3"/>
        <v>71.943749997249995</v>
      </c>
      <c r="X16" s="14">
        <f t="shared" si="4"/>
        <v>719.43749997249995</v>
      </c>
      <c r="Y16" s="2"/>
      <c r="Z16" s="15">
        <f t="shared" si="5"/>
        <v>0</v>
      </c>
      <c r="AA16" s="15">
        <f t="shared" si="6"/>
        <v>0</v>
      </c>
    </row>
    <row r="17" spans="1:27" s="25" customFormat="1" ht="32.450000000000003" customHeight="1" x14ac:dyDescent="0.2">
      <c r="A17" s="76">
        <f>A8/H8</f>
        <v>0.69156570325889188</v>
      </c>
      <c r="B17" s="76">
        <f>B8/H8</f>
        <v>8.3402823813022373E-2</v>
      </c>
      <c r="C17" s="76">
        <f>C8/H8</f>
        <v>2.1867307537046164E-2</v>
      </c>
      <c r="D17" s="76">
        <f>D8/H8</f>
        <v>2.8630820114918128E-2</v>
      </c>
      <c r="E17" s="76">
        <f>E8/H8</f>
        <v>8.0964505625193334E-2</v>
      </c>
      <c r="F17" s="76">
        <f>F8/H8</f>
        <v>7.9460899304446678E-2</v>
      </c>
      <c r="G17" s="76">
        <f>G8/H8</f>
        <v>1.4107940346481397E-2</v>
      </c>
      <c r="H17" s="76">
        <f>I8/J8</f>
        <v>9.0909090909091023E-2</v>
      </c>
      <c r="M17" s="11" t="s">
        <v>76</v>
      </c>
      <c r="N17" s="12">
        <v>231</v>
      </c>
      <c r="O17" s="26">
        <f t="shared" si="7"/>
        <v>346.5</v>
      </c>
      <c r="P17" s="14">
        <f t="shared" si="1"/>
        <v>318.26024997458995</v>
      </c>
      <c r="Q17" s="15">
        <f t="shared" si="2"/>
        <v>9.7282848145748297E-3</v>
      </c>
      <c r="S17" s="16" t="s">
        <v>77</v>
      </c>
      <c r="T17" s="16" t="str">
        <f>IF(AND(V13&gt;2),"DN150",IF(AND(V12&gt;2),"DN100","无"))</f>
        <v>DN100</v>
      </c>
      <c r="U17" s="16" t="s">
        <v>72</v>
      </c>
      <c r="V17" s="27">
        <f>ABS(ABS(A14/M15-V15)-V15)</f>
        <v>0.75000000050000004</v>
      </c>
      <c r="W17" s="14">
        <f t="shared" si="3"/>
        <v>664.7602499745899</v>
      </c>
      <c r="X17" s="14">
        <f t="shared" si="4"/>
        <v>498.57018781332255</v>
      </c>
      <c r="Y17" s="2"/>
      <c r="Z17" s="15">
        <f t="shared" si="5"/>
        <v>0</v>
      </c>
      <c r="AA17" s="15">
        <f t="shared" si="6"/>
        <v>0</v>
      </c>
    </row>
    <row r="18" spans="1:27" s="25" customFormat="1" ht="32.450000000000003" customHeight="1" x14ac:dyDescent="0.2">
      <c r="M18" s="11" t="s">
        <v>76</v>
      </c>
      <c r="N18" s="12">
        <v>355</v>
      </c>
      <c r="O18" s="26">
        <f t="shared" si="7"/>
        <v>532.5</v>
      </c>
      <c r="P18" s="14">
        <f t="shared" si="1"/>
        <v>489.10124996094999</v>
      </c>
      <c r="Q18" s="15">
        <f t="shared" si="2"/>
        <v>1.495039441200894E-2</v>
      </c>
      <c r="S18" s="16" t="s">
        <v>78</v>
      </c>
      <c r="T18" s="16" t="str">
        <f>IF(AND(V13&gt;2),"DN150",IF(AND(V12&gt;2),"DN100","无"))</f>
        <v>DN100</v>
      </c>
      <c r="U18" s="16" t="s">
        <v>72</v>
      </c>
      <c r="V18" s="27">
        <f>V17</f>
        <v>0.75000000050000004</v>
      </c>
      <c r="W18" s="14">
        <f t="shared" si="3"/>
        <v>1021.60124996095</v>
      </c>
      <c r="X18" s="14">
        <f t="shared" si="4"/>
        <v>766.20093798151311</v>
      </c>
      <c r="Y18" s="2"/>
      <c r="Z18" s="15">
        <f t="shared" si="5"/>
        <v>0</v>
      </c>
      <c r="AA18" s="15">
        <f t="shared" si="6"/>
        <v>0</v>
      </c>
    </row>
    <row r="19" spans="1:27" s="25" customFormat="1" ht="32.450000000000003" customHeight="1" x14ac:dyDescent="0.2">
      <c r="M19" s="11" t="s">
        <v>76</v>
      </c>
      <c r="N19" s="12">
        <v>68</v>
      </c>
      <c r="O19" s="26">
        <f t="shared" si="7"/>
        <v>102</v>
      </c>
      <c r="P19" s="14">
        <f t="shared" si="1"/>
        <v>93.686999992520001</v>
      </c>
      <c r="Q19" s="15">
        <f t="shared" si="2"/>
        <v>5.727475042347086E-3</v>
      </c>
      <c r="S19" s="16" t="s">
        <v>79</v>
      </c>
      <c r="T19" s="16" t="str">
        <f>IF(AND(V13&gt;2),"DN150",IF(AND(V12&gt;2),"DN100","无"))</f>
        <v>DN100</v>
      </c>
      <c r="U19" s="16" t="s">
        <v>72</v>
      </c>
      <c r="V19" s="27">
        <f>V18*2</f>
        <v>1.5000000010000001</v>
      </c>
      <c r="W19" s="14">
        <f t="shared" si="3"/>
        <v>195.68699999251999</v>
      </c>
      <c r="X19" s="14">
        <f t="shared" si="4"/>
        <v>293.53050018446697</v>
      </c>
      <c r="Y19" s="2"/>
      <c r="Z19" s="15">
        <f t="shared" si="5"/>
        <v>0</v>
      </c>
      <c r="AA19" s="15">
        <f t="shared" si="6"/>
        <v>0</v>
      </c>
    </row>
    <row r="20" spans="1:27" s="25" customFormat="1" ht="32.450000000000003" customHeight="1" x14ac:dyDescent="0.2">
      <c r="M20" s="11">
        <f>1.5*1.8</f>
        <v>2.7</v>
      </c>
      <c r="N20" s="12">
        <v>5.38</v>
      </c>
      <c r="O20" s="26">
        <f t="shared" si="7"/>
        <v>8.07</v>
      </c>
      <c r="P20" s="14">
        <f t="shared" si="1"/>
        <v>7.4122949994081999</v>
      </c>
      <c r="Q20" s="15">
        <f t="shared" si="2"/>
        <v>8.7259876267945652E-2</v>
      </c>
      <c r="S20" s="16" t="s">
        <v>80</v>
      </c>
      <c r="T20" s="16" t="s">
        <v>81</v>
      </c>
      <c r="U20" s="16" t="s">
        <v>82</v>
      </c>
      <c r="V20" s="17">
        <f>SUM(V6:V13)/M20</f>
        <v>288.8479461252266</v>
      </c>
      <c r="W20" s="14">
        <f t="shared" si="3"/>
        <v>15.4822949994082</v>
      </c>
      <c r="X20" s="14">
        <f t="shared" si="4"/>
        <v>4472.029111883925</v>
      </c>
      <c r="Y20" s="2"/>
      <c r="Z20" s="15">
        <f t="shared" si="5"/>
        <v>0</v>
      </c>
      <c r="AA20" s="15">
        <f t="shared" si="6"/>
        <v>0</v>
      </c>
    </row>
    <row r="21" spans="1:27" s="25" customFormat="1" ht="32.450000000000003" customHeight="1" x14ac:dyDescent="0.2">
      <c r="M21" s="11" t="s">
        <v>76</v>
      </c>
      <c r="N21" s="12">
        <v>0.84</v>
      </c>
      <c r="O21" s="26">
        <f t="shared" si="7"/>
        <v>1.26</v>
      </c>
      <c r="P21" s="14">
        <f t="shared" si="1"/>
        <v>1.1573099999076</v>
      </c>
      <c r="Q21" s="15">
        <f t="shared" si="2"/>
        <v>1.3624218599456197E-2</v>
      </c>
      <c r="S21" s="16" t="s">
        <v>83</v>
      </c>
      <c r="T21" s="16" t="s">
        <v>84</v>
      </c>
      <c r="U21" s="16" t="s">
        <v>82</v>
      </c>
      <c r="V21" s="17">
        <f>V20</f>
        <v>288.8479461252266</v>
      </c>
      <c r="W21" s="14">
        <f t="shared" si="3"/>
        <v>2.4173099999075998</v>
      </c>
      <c r="X21" s="14">
        <f t="shared" si="4"/>
        <v>698.23502862128191</v>
      </c>
      <c r="Y21" s="2"/>
      <c r="Z21" s="15">
        <f t="shared" si="5"/>
        <v>0</v>
      </c>
      <c r="AA21" s="15">
        <f t="shared" si="6"/>
        <v>0</v>
      </c>
    </row>
    <row r="22" spans="1:27" s="25" customFormat="1" ht="32.450000000000003" customHeight="1" x14ac:dyDescent="0.2">
      <c r="M22" s="11"/>
      <c r="N22" s="12"/>
      <c r="O22" s="26"/>
      <c r="P22" s="14"/>
      <c r="Q22" s="28"/>
      <c r="S22" s="16"/>
      <c r="T22" s="16"/>
      <c r="U22" s="16"/>
      <c r="V22" s="17"/>
      <c r="W22" s="28" t="s">
        <v>85</v>
      </c>
      <c r="X22" s="28">
        <f>IF(G5=TRUE,SUM(X6:X21),0)</f>
        <v>51249.546792294685</v>
      </c>
      <c r="Y22" s="2"/>
      <c r="Z22" s="28"/>
      <c r="AA22" s="28">
        <f>IF(G5=TRUE,SUM(AA6:AA21),0)</f>
        <v>0</v>
      </c>
    </row>
    <row r="23" spans="1:27" s="25" customFormat="1" ht="32.450000000000003" customHeight="1" x14ac:dyDescent="0.2">
      <c r="M23" s="29"/>
      <c r="N23" s="29"/>
      <c r="O23" s="29"/>
      <c r="P23" s="29"/>
      <c r="Q23" s="15"/>
      <c r="S23" s="29" t="s">
        <v>86</v>
      </c>
      <c r="T23" s="29"/>
      <c r="U23" s="29"/>
      <c r="V23" s="29"/>
      <c r="W23" s="29"/>
      <c r="X23" s="29"/>
      <c r="Y23" s="2"/>
      <c r="Z23" s="15"/>
      <c r="AA23" s="15"/>
    </row>
    <row r="24" spans="1:27" s="25" customFormat="1" ht="32.450000000000003" customHeight="1" x14ac:dyDescent="0.2">
      <c r="M24" s="11">
        <v>3.4</v>
      </c>
      <c r="N24" s="12">
        <v>178</v>
      </c>
      <c r="O24" s="13">
        <f>N24/6*F$14</f>
        <v>44.5</v>
      </c>
      <c r="P24" s="14">
        <f t="shared" ref="P24:P29" si="8">O24*G$14*0.55</f>
        <v>40.873249996736668</v>
      </c>
      <c r="Q24" s="15">
        <f t="shared" ref="Q24:Q29" si="9">X24/A$8</f>
        <v>2.8509243798026895E-2</v>
      </c>
      <c r="S24" s="16" t="s">
        <v>41</v>
      </c>
      <c r="T24" s="16" t="s">
        <v>56</v>
      </c>
      <c r="U24" s="16" t="s">
        <v>43</v>
      </c>
      <c r="V24" s="17">
        <f>V26*M24</f>
        <v>17.114093982550337</v>
      </c>
      <c r="W24" s="14">
        <f t="shared" ref="W24:W29" si="10">P24+O24</f>
        <v>85.373249996736661</v>
      </c>
      <c r="X24" s="14">
        <f t="shared" ref="X24:X29" si="11">W24*V24</f>
        <v>1461.0858240399164</v>
      </c>
      <c r="Y24" s="2"/>
      <c r="Z24" s="15">
        <f t="shared" ref="Z24:Z29" si="12">A$16*Q24/V24</f>
        <v>0</v>
      </c>
      <c r="AA24" s="15">
        <f t="shared" ref="AA24:AA29" si="13">Z24*V24</f>
        <v>0</v>
      </c>
    </row>
    <row r="25" spans="1:27" s="25" customFormat="1" ht="32.450000000000003" customHeight="1" x14ac:dyDescent="0.2">
      <c r="M25" s="11">
        <v>10.8</v>
      </c>
      <c r="N25" s="12">
        <v>285</v>
      </c>
      <c r="O25" s="13">
        <f>N25/6*F$14</f>
        <v>71.25</v>
      </c>
      <c r="P25" s="14">
        <f t="shared" si="8"/>
        <v>65.443124994775005</v>
      </c>
      <c r="Q25" s="15">
        <f t="shared" si="9"/>
        <v>0.14499579040288474</v>
      </c>
      <c r="S25" s="16" t="s">
        <v>41</v>
      </c>
      <c r="T25" s="16" t="s">
        <v>60</v>
      </c>
      <c r="U25" s="16" t="s">
        <v>43</v>
      </c>
      <c r="V25" s="17">
        <f>A14/M26*M25</f>
        <v>54.362416143624166</v>
      </c>
      <c r="W25" s="14">
        <f t="shared" si="10"/>
        <v>136.69312499477502</v>
      </c>
      <c r="X25" s="14">
        <f t="shared" si="11"/>
        <v>7430.9685449383933</v>
      </c>
      <c r="Y25" s="2"/>
      <c r="Z25" s="15">
        <f t="shared" si="12"/>
        <v>0</v>
      </c>
      <c r="AA25" s="15">
        <f t="shared" si="13"/>
        <v>0</v>
      </c>
    </row>
    <row r="26" spans="1:27" s="25" customFormat="1" ht="32.450000000000003" customHeight="1" x14ac:dyDescent="0.2">
      <c r="M26" s="11">
        <v>298</v>
      </c>
      <c r="N26" s="12">
        <v>430</v>
      </c>
      <c r="O26" s="26">
        <f>N26*F$14</f>
        <v>645</v>
      </c>
      <c r="P26" s="14">
        <f t="shared" si="8"/>
        <v>592.43249995270003</v>
      </c>
      <c r="Q26" s="15">
        <f t="shared" si="9"/>
        <v>0.12153643258246762</v>
      </c>
      <c r="S26" s="16" t="s">
        <v>87</v>
      </c>
      <c r="T26" s="16" t="s">
        <v>88</v>
      </c>
      <c r="U26" s="16" t="s">
        <v>89</v>
      </c>
      <c r="V26" s="27">
        <f>A14/M26+B14/M26</f>
        <v>5.0335570536912755</v>
      </c>
      <c r="W26" s="14">
        <f t="shared" si="10"/>
        <v>1237.4324999527</v>
      </c>
      <c r="X26" s="14">
        <f t="shared" si="11"/>
        <v>6228.6870886037423</v>
      </c>
      <c r="Y26" s="2"/>
      <c r="Z26" s="15">
        <f t="shared" si="12"/>
        <v>0</v>
      </c>
      <c r="AA26" s="15">
        <f t="shared" si="13"/>
        <v>0</v>
      </c>
    </row>
    <row r="27" spans="1:27" s="25" customFormat="1" ht="32.450000000000003" customHeight="1" x14ac:dyDescent="0.2">
      <c r="M27" s="11">
        <v>298</v>
      </c>
      <c r="N27" s="12">
        <v>118</v>
      </c>
      <c r="O27" s="26">
        <f>N27*F$14</f>
        <v>177</v>
      </c>
      <c r="P27" s="14">
        <f t="shared" si="8"/>
        <v>162.57449998702</v>
      </c>
      <c r="Q27" s="15">
        <f t="shared" si="9"/>
        <v>3.3351858243560878E-2</v>
      </c>
      <c r="S27" s="16" t="s">
        <v>90</v>
      </c>
      <c r="T27" s="16" t="s">
        <v>91</v>
      </c>
      <c r="U27" s="16" t="s">
        <v>89</v>
      </c>
      <c r="V27" s="27">
        <f>V26</f>
        <v>5.0335570536912755</v>
      </c>
      <c r="W27" s="14">
        <f t="shared" si="10"/>
        <v>339.57449998701998</v>
      </c>
      <c r="X27" s="14">
        <f t="shared" si="11"/>
        <v>1709.2676196633524</v>
      </c>
      <c r="Y27" s="2"/>
      <c r="Z27" s="15">
        <f t="shared" si="12"/>
        <v>0</v>
      </c>
      <c r="AA27" s="15">
        <f t="shared" si="13"/>
        <v>0</v>
      </c>
    </row>
    <row r="28" spans="1:27" s="25" customFormat="1" ht="32.450000000000003" customHeight="1" x14ac:dyDescent="0.2">
      <c r="M28" s="11">
        <v>2.7</v>
      </c>
      <c r="N28" s="12">
        <v>13.66</v>
      </c>
      <c r="O28" s="26">
        <f>N28*F$14</f>
        <v>20.490000000000002</v>
      </c>
      <c r="P28" s="14">
        <f t="shared" si="8"/>
        <v>18.820064998497404</v>
      </c>
      <c r="Q28" s="15">
        <f t="shared" si="9"/>
        <v>0.14802696558167272</v>
      </c>
      <c r="S28" s="16" t="s">
        <v>80</v>
      </c>
      <c r="T28" s="16" t="s">
        <v>81</v>
      </c>
      <c r="U28" s="16" t="s">
        <v>82</v>
      </c>
      <c r="V28" s="17">
        <f>(V25+V24)*M28</f>
        <v>192.98657734067118</v>
      </c>
      <c r="W28" s="14">
        <f t="shared" si="10"/>
        <v>39.31006499849741</v>
      </c>
      <c r="X28" s="14">
        <f t="shared" si="11"/>
        <v>7586.3148990993313</v>
      </c>
      <c r="Y28" s="2"/>
      <c r="Z28" s="15">
        <f t="shared" si="12"/>
        <v>0</v>
      </c>
      <c r="AA28" s="15">
        <f t="shared" si="13"/>
        <v>0</v>
      </c>
    </row>
    <row r="29" spans="1:27" s="25" customFormat="1" ht="32.450000000000003" customHeight="1" x14ac:dyDescent="0.2">
      <c r="M29" s="11" t="s">
        <v>76</v>
      </c>
      <c r="N29" s="12">
        <v>0.84</v>
      </c>
      <c r="O29" s="26">
        <f>N29*F$14</f>
        <v>1.26</v>
      </c>
      <c r="P29" s="14">
        <f t="shared" si="8"/>
        <v>1.1573099999076</v>
      </c>
      <c r="Q29" s="15">
        <f t="shared" si="9"/>
        <v>9.1026830957983192E-3</v>
      </c>
      <c r="S29" s="16" t="s">
        <v>83</v>
      </c>
      <c r="T29" s="16" t="s">
        <v>92</v>
      </c>
      <c r="U29" s="16" t="s">
        <v>82</v>
      </c>
      <c r="V29" s="17">
        <f>V28</f>
        <v>192.98657734067118</v>
      </c>
      <c r="W29" s="14">
        <f t="shared" si="10"/>
        <v>2.4173099999075998</v>
      </c>
      <c r="X29" s="14">
        <f t="shared" si="11"/>
        <v>466.50838325354584</v>
      </c>
      <c r="Y29" s="2"/>
      <c r="Z29" s="15">
        <f t="shared" si="12"/>
        <v>0</v>
      </c>
      <c r="AA29" s="15">
        <f t="shared" si="13"/>
        <v>0</v>
      </c>
    </row>
    <row r="30" spans="1:27" s="25" customFormat="1" ht="32.450000000000003" customHeight="1" x14ac:dyDescent="0.2">
      <c r="M30" s="16"/>
      <c r="N30" s="30"/>
      <c r="O30" s="26"/>
      <c r="P30" s="14"/>
      <c r="Q30" s="15"/>
      <c r="S30" s="16"/>
      <c r="T30" s="16"/>
      <c r="U30" s="16"/>
      <c r="V30" s="17"/>
      <c r="W30" s="28" t="s">
        <v>85</v>
      </c>
      <c r="X30" s="28">
        <f>IF(H5=TRUE,SUM(X24:X29),0)</f>
        <v>0</v>
      </c>
      <c r="Y30" s="2"/>
      <c r="Z30" s="15"/>
      <c r="AA30" s="15">
        <f>IF(H5=TRUE,SUM(AA24:AA29),0)</f>
        <v>0</v>
      </c>
    </row>
    <row r="31" spans="1:27" s="25" customFormat="1" ht="32.450000000000003" customHeight="1" x14ac:dyDescent="0.2">
      <c r="M31" s="29"/>
      <c r="N31" s="29"/>
      <c r="O31" s="29"/>
      <c r="P31" s="29"/>
      <c r="Q31" s="15"/>
      <c r="S31" s="29" t="s">
        <v>86</v>
      </c>
      <c r="T31" s="29"/>
      <c r="U31" s="29"/>
      <c r="V31" s="29"/>
      <c r="W31" s="29"/>
      <c r="X31" s="29"/>
      <c r="Y31" s="2"/>
      <c r="Z31" s="15"/>
      <c r="AA31" s="15"/>
    </row>
    <row r="32" spans="1:27" s="25" customFormat="1" ht="32.450000000000003" customHeight="1" x14ac:dyDescent="0.2">
      <c r="M32" s="11">
        <f>IF(AND(E5="酒店/宾馆"),27.17,IF(AND(E5="商场/超市"),33.43,IF(AND(E5="医疗/养老"),30.48,IF(AND(E5="学习/办公"),32.25,IF(AND(E5="娱乐/休闲"),29.76,IF(AND(E5="厂房/仓库"),38.25,0))))))</f>
        <v>27.17</v>
      </c>
      <c r="N32" s="12">
        <v>55</v>
      </c>
      <c r="O32" s="26">
        <f t="shared" ref="O32:O46" si="14">N32*F$14</f>
        <v>82.5</v>
      </c>
      <c r="P32" s="14">
        <f t="shared" ref="P32:P46" si="15">O32*G$14*0.55</f>
        <v>75.776249993949989</v>
      </c>
      <c r="Q32" s="15">
        <f t="shared" ref="Q32:Q46" si="16">X32/A$8</f>
        <v>0.17050116236500965</v>
      </c>
      <c r="S32" s="16" t="s">
        <v>93</v>
      </c>
      <c r="T32" s="16"/>
      <c r="U32" s="16" t="s">
        <v>72</v>
      </c>
      <c r="V32" s="27">
        <f>(A14+B14)/M32</f>
        <v>55.207950018402656</v>
      </c>
      <c r="W32" s="14">
        <f t="shared" ref="W32:W46" si="17">P32+O32</f>
        <v>158.27624999394999</v>
      </c>
      <c r="X32" s="14">
        <f t="shared" ref="X32:X46" si="18">W32*V32</f>
        <v>8738.1072987661955</v>
      </c>
      <c r="Y32" s="2"/>
      <c r="Z32" s="15">
        <f t="shared" ref="Z32:Z46" si="19">A$16*Q32/V32</f>
        <v>0</v>
      </c>
      <c r="AA32" s="15">
        <f t="shared" ref="AA32:AA46" si="20">Z32*V32</f>
        <v>0</v>
      </c>
    </row>
    <row r="33" spans="13:27" s="25" customFormat="1" ht="32.450000000000003" customHeight="1" x14ac:dyDescent="0.2">
      <c r="M33" s="11">
        <f>D5</f>
        <v>10</v>
      </c>
      <c r="N33" s="12">
        <v>322</v>
      </c>
      <c r="O33" s="26">
        <f t="shared" si="14"/>
        <v>483</v>
      </c>
      <c r="P33" s="14">
        <f t="shared" si="15"/>
        <v>443.63549996457999</v>
      </c>
      <c r="Q33" s="15">
        <f t="shared" si="16"/>
        <v>0.18080852572610431</v>
      </c>
      <c r="S33" s="16" t="s">
        <v>94</v>
      </c>
      <c r="T33" s="16"/>
      <c r="U33" s="16" t="s">
        <v>72</v>
      </c>
      <c r="V33" s="27">
        <f>M33</f>
        <v>10</v>
      </c>
      <c r="W33" s="14">
        <f t="shared" si="17"/>
        <v>926.63549996458005</v>
      </c>
      <c r="X33" s="14">
        <f t="shared" si="18"/>
        <v>9266.3549996458005</v>
      </c>
      <c r="Y33" s="2"/>
      <c r="Z33" s="15">
        <f t="shared" si="19"/>
        <v>0</v>
      </c>
      <c r="AA33" s="15">
        <f t="shared" si="20"/>
        <v>0</v>
      </c>
    </row>
    <row r="34" spans="13:27" s="25" customFormat="1" ht="32.450000000000003" customHeight="1" x14ac:dyDescent="0.2">
      <c r="M34" s="11">
        <f>M32*0.06</f>
        <v>1.6302000000000001</v>
      </c>
      <c r="N34" s="12">
        <v>66</v>
      </c>
      <c r="O34" s="26">
        <f t="shared" si="14"/>
        <v>99</v>
      </c>
      <c r="P34" s="14">
        <f t="shared" si="15"/>
        <v>90.931499992740015</v>
      </c>
      <c r="Q34" s="15">
        <f t="shared" si="16"/>
        <v>1.2276083690280694E-2</v>
      </c>
      <c r="S34" s="16" t="s">
        <v>95</v>
      </c>
      <c r="T34" s="16"/>
      <c r="U34" s="16" t="s">
        <v>72</v>
      </c>
      <c r="V34" s="27">
        <f>V32*0.06</f>
        <v>3.3124770011041593</v>
      </c>
      <c r="W34" s="14">
        <f t="shared" si="17"/>
        <v>189.93149999274002</v>
      </c>
      <c r="X34" s="14">
        <f t="shared" si="18"/>
        <v>629.14372551116605</v>
      </c>
      <c r="Y34" s="2"/>
      <c r="Z34" s="15">
        <f t="shared" si="19"/>
        <v>0</v>
      </c>
      <c r="AA34" s="15">
        <f t="shared" si="20"/>
        <v>0</v>
      </c>
    </row>
    <row r="35" spans="13:27" s="25" customFormat="1" ht="32.450000000000003" customHeight="1" x14ac:dyDescent="0.2">
      <c r="M35" s="11">
        <f>M34*0.43</f>
        <v>0.700986</v>
      </c>
      <c r="N35" s="12">
        <v>66</v>
      </c>
      <c r="O35" s="26">
        <f t="shared" si="14"/>
        <v>99</v>
      </c>
      <c r="P35" s="14">
        <f t="shared" si="15"/>
        <v>90.931499992740015</v>
      </c>
      <c r="Q35" s="15">
        <f t="shared" si="16"/>
        <v>5.2787159868206996E-3</v>
      </c>
      <c r="S35" s="16" t="s">
        <v>96</v>
      </c>
      <c r="T35" s="16"/>
      <c r="U35" s="16" t="s">
        <v>72</v>
      </c>
      <c r="V35" s="27">
        <f>V34*0.43</f>
        <v>1.4243651104747885</v>
      </c>
      <c r="W35" s="14">
        <f t="shared" si="17"/>
        <v>189.93149999274002</v>
      </c>
      <c r="X35" s="14">
        <f t="shared" si="18"/>
        <v>270.53180196980145</v>
      </c>
      <c r="Y35" s="2"/>
      <c r="Z35" s="15">
        <f t="shared" si="19"/>
        <v>0</v>
      </c>
      <c r="AA35" s="15">
        <f t="shared" si="20"/>
        <v>0</v>
      </c>
    </row>
    <row r="36" spans="13:27" s="25" customFormat="1" ht="32.450000000000003" customHeight="1" x14ac:dyDescent="0.2">
      <c r="M36" s="11">
        <f>M33</f>
        <v>10</v>
      </c>
      <c r="N36" s="12">
        <v>66</v>
      </c>
      <c r="O36" s="26">
        <f t="shared" si="14"/>
        <v>99</v>
      </c>
      <c r="P36" s="14">
        <f t="shared" si="15"/>
        <v>90.931499992740015</v>
      </c>
      <c r="Q36" s="15">
        <f t="shared" si="16"/>
        <v>3.7060132602244986E-2</v>
      </c>
      <c r="S36" s="16" t="s">
        <v>97</v>
      </c>
      <c r="T36" s="16"/>
      <c r="U36" s="16" t="s">
        <v>72</v>
      </c>
      <c r="V36" s="27">
        <f>M36</f>
        <v>10</v>
      </c>
      <c r="W36" s="14">
        <f t="shared" si="17"/>
        <v>189.93149999274002</v>
      </c>
      <c r="X36" s="14">
        <f t="shared" si="18"/>
        <v>1899.3149999274001</v>
      </c>
      <c r="Y36" s="2"/>
      <c r="Z36" s="15">
        <f t="shared" si="19"/>
        <v>0</v>
      </c>
      <c r="AA36" s="15">
        <f t="shared" si="20"/>
        <v>0</v>
      </c>
    </row>
    <row r="37" spans="13:27" s="25" customFormat="1" ht="32.450000000000003" customHeight="1" x14ac:dyDescent="0.2">
      <c r="M37" s="11">
        <v>150</v>
      </c>
      <c r="N37" s="12">
        <v>75</v>
      </c>
      <c r="O37" s="26">
        <f t="shared" si="14"/>
        <v>112.5</v>
      </c>
      <c r="P37" s="14">
        <f t="shared" si="15"/>
        <v>103.33124999175</v>
      </c>
      <c r="Q37" s="15">
        <f t="shared" si="16"/>
        <v>4.2113787104157377E-2</v>
      </c>
      <c r="S37" s="16" t="s">
        <v>98</v>
      </c>
      <c r="T37" s="16"/>
      <c r="U37" s="16" t="s">
        <v>72</v>
      </c>
      <c r="V37" s="27">
        <f>(A14+B14)/M37</f>
        <v>10.000000013333334</v>
      </c>
      <c r="W37" s="14">
        <f t="shared" si="17"/>
        <v>215.83124999174998</v>
      </c>
      <c r="X37" s="14">
        <f t="shared" si="18"/>
        <v>2158.3125027952501</v>
      </c>
      <c r="Y37" s="2"/>
      <c r="Z37" s="15">
        <f t="shared" si="19"/>
        <v>0</v>
      </c>
      <c r="AA37" s="15">
        <f t="shared" si="20"/>
        <v>0</v>
      </c>
    </row>
    <row r="38" spans="13:27" s="25" customFormat="1" ht="32.450000000000003" customHeight="1" x14ac:dyDescent="0.2">
      <c r="M38" s="11">
        <f>M40</f>
        <v>298</v>
      </c>
      <c r="N38" s="12">
        <v>75</v>
      </c>
      <c r="O38" s="26">
        <f t="shared" si="14"/>
        <v>112.5</v>
      </c>
      <c r="P38" s="14">
        <f t="shared" si="15"/>
        <v>103.33124999175</v>
      </c>
      <c r="Q38" s="15">
        <f t="shared" si="16"/>
        <v>2.1198214985314118E-2</v>
      </c>
      <c r="S38" s="16" t="s">
        <v>99</v>
      </c>
      <c r="T38" s="16"/>
      <c r="U38" s="16" t="s">
        <v>72</v>
      </c>
      <c r="V38" s="27">
        <f>(A14+B14)/M38</f>
        <v>5.0335570536912755</v>
      </c>
      <c r="W38" s="14">
        <f t="shared" si="17"/>
        <v>215.83124999174998</v>
      </c>
      <c r="X38" s="14">
        <f t="shared" si="18"/>
        <v>1086.3989108029782</v>
      </c>
      <c r="Y38" s="2"/>
      <c r="Z38" s="15">
        <f t="shared" si="19"/>
        <v>0</v>
      </c>
      <c r="AA38" s="15">
        <f t="shared" si="20"/>
        <v>0</v>
      </c>
    </row>
    <row r="39" spans="13:27" s="25" customFormat="1" ht="32.450000000000003" customHeight="1" x14ac:dyDescent="0.2">
      <c r="M39" s="11">
        <f>D5</f>
        <v>10</v>
      </c>
      <c r="N39" s="12">
        <v>231</v>
      </c>
      <c r="O39" s="26">
        <f t="shared" si="14"/>
        <v>346.5</v>
      </c>
      <c r="P39" s="14">
        <f t="shared" si="15"/>
        <v>318.26024997458995</v>
      </c>
      <c r="Q39" s="15">
        <f t="shared" si="16"/>
        <v>0.12971046410785741</v>
      </c>
      <c r="S39" s="16" t="s">
        <v>100</v>
      </c>
      <c r="T39" s="16"/>
      <c r="U39" s="16" t="s">
        <v>72</v>
      </c>
      <c r="V39" s="27">
        <f>M39</f>
        <v>10</v>
      </c>
      <c r="W39" s="14">
        <f t="shared" si="17"/>
        <v>664.7602499745899</v>
      </c>
      <c r="X39" s="14">
        <f t="shared" si="18"/>
        <v>6647.602499745899</v>
      </c>
      <c r="Y39" s="2"/>
      <c r="Z39" s="15">
        <f t="shared" si="19"/>
        <v>0</v>
      </c>
      <c r="AA39" s="15">
        <f t="shared" si="20"/>
        <v>0</v>
      </c>
    </row>
    <row r="40" spans="13:27" s="25" customFormat="1" ht="32.450000000000003" customHeight="1" x14ac:dyDescent="0.2">
      <c r="M40" s="11">
        <v>298</v>
      </c>
      <c r="N40" s="12">
        <v>66</v>
      </c>
      <c r="O40" s="26">
        <f t="shared" si="14"/>
        <v>99</v>
      </c>
      <c r="P40" s="14">
        <f t="shared" si="15"/>
        <v>90.931499992740015</v>
      </c>
      <c r="Q40" s="15">
        <f t="shared" si="16"/>
        <v>1.8654429187076424E-2</v>
      </c>
      <c r="S40" s="16" t="s">
        <v>101</v>
      </c>
      <c r="T40" s="16"/>
      <c r="U40" s="16" t="s">
        <v>72</v>
      </c>
      <c r="V40" s="27">
        <f>(A14+B14)/M40</f>
        <v>5.0335570536912755</v>
      </c>
      <c r="W40" s="14">
        <f t="shared" si="17"/>
        <v>189.93149999274002</v>
      </c>
      <c r="X40" s="14">
        <f t="shared" si="18"/>
        <v>956.03104150662091</v>
      </c>
      <c r="Y40" s="2"/>
      <c r="Z40" s="15">
        <f t="shared" si="19"/>
        <v>0</v>
      </c>
      <c r="AA40" s="15">
        <f t="shared" si="20"/>
        <v>0</v>
      </c>
    </row>
    <row r="41" spans="13:27" s="25" customFormat="1" ht="32.450000000000003" customHeight="1" x14ac:dyDescent="0.2">
      <c r="M41" s="11">
        <v>567</v>
      </c>
      <c r="N41" s="12">
        <v>66</v>
      </c>
      <c r="O41" s="26">
        <f t="shared" si="14"/>
        <v>99</v>
      </c>
      <c r="P41" s="14">
        <f t="shared" si="15"/>
        <v>90.931499992740015</v>
      </c>
      <c r="Q41" s="15">
        <f t="shared" si="16"/>
        <v>9.8042678972641538E-3</v>
      </c>
      <c r="S41" s="16" t="s">
        <v>102</v>
      </c>
      <c r="T41" s="16"/>
      <c r="U41" s="16" t="s">
        <v>72</v>
      </c>
      <c r="V41" s="27">
        <f>(A14+B14)/M41</f>
        <v>2.6455026490299827</v>
      </c>
      <c r="W41" s="14">
        <f t="shared" si="17"/>
        <v>189.93149999274002</v>
      </c>
      <c r="X41" s="14">
        <f t="shared" si="18"/>
        <v>502.46428636503185</v>
      </c>
      <c r="Y41" s="2"/>
      <c r="Z41" s="15">
        <f t="shared" si="19"/>
        <v>0</v>
      </c>
      <c r="AA41" s="15">
        <f t="shared" si="20"/>
        <v>0</v>
      </c>
    </row>
    <row r="42" spans="13:27" s="25" customFormat="1" ht="32.450000000000003" customHeight="1" x14ac:dyDescent="0.2">
      <c r="M42" s="11" t="s">
        <v>76</v>
      </c>
      <c r="N42" s="12">
        <v>2.2999999999999998</v>
      </c>
      <c r="O42" s="26">
        <f t="shared" si="14"/>
        <v>3.4499999999999997</v>
      </c>
      <c r="P42" s="14">
        <f t="shared" si="15"/>
        <v>3.1688249997469997</v>
      </c>
      <c r="Q42" s="15">
        <f t="shared" si="16"/>
        <v>0.23202544271259035</v>
      </c>
      <c r="S42" s="16" t="s">
        <v>103</v>
      </c>
      <c r="T42" s="16"/>
      <c r="U42" s="16" t="s">
        <v>43</v>
      </c>
      <c r="V42" s="17">
        <f>SUM(V43:V45)+V46/2</f>
        <v>1796.572470756716</v>
      </c>
      <c r="W42" s="14">
        <f t="shared" si="17"/>
        <v>6.6188249997469999</v>
      </c>
      <c r="X42" s="14">
        <f t="shared" si="18"/>
        <v>11891.198783301788</v>
      </c>
      <c r="Y42" s="2"/>
      <c r="Z42" s="15">
        <f t="shared" si="19"/>
        <v>0</v>
      </c>
      <c r="AA42" s="15">
        <f t="shared" si="20"/>
        <v>0</v>
      </c>
    </row>
    <row r="43" spans="13:27" s="25" customFormat="1" ht="32.450000000000003" customHeight="1" x14ac:dyDescent="0.2">
      <c r="M43" s="11">
        <v>8</v>
      </c>
      <c r="N43" s="12">
        <v>1.75</v>
      </c>
      <c r="O43" s="26">
        <f t="shared" si="14"/>
        <v>2.625</v>
      </c>
      <c r="P43" s="14">
        <f t="shared" si="15"/>
        <v>2.4110624998075001</v>
      </c>
      <c r="Q43" s="15">
        <f t="shared" si="16"/>
        <v>7.6744455328585426E-2</v>
      </c>
      <c r="S43" s="16" t="s">
        <v>104</v>
      </c>
      <c r="T43" s="16" t="s">
        <v>105</v>
      </c>
      <c r="U43" s="16" t="s">
        <v>43</v>
      </c>
      <c r="V43" s="17">
        <f>(V41+V40+V39+V36+V35+V34+V33+V32)*M43</f>
        <v>780.99081466162284</v>
      </c>
      <c r="W43" s="14">
        <f t="shared" si="17"/>
        <v>5.0360624998074996</v>
      </c>
      <c r="X43" s="14">
        <f t="shared" si="18"/>
        <v>3933.1185544115078</v>
      </c>
      <c r="Y43" s="2"/>
      <c r="Z43" s="15">
        <f t="shared" si="19"/>
        <v>0</v>
      </c>
      <c r="AA43" s="15">
        <f t="shared" si="20"/>
        <v>0</v>
      </c>
    </row>
    <row r="44" spans="13:27" s="25" customFormat="1" ht="32.450000000000003" customHeight="1" x14ac:dyDescent="0.2">
      <c r="M44" s="11">
        <v>16</v>
      </c>
      <c r="N44" s="12">
        <v>5.5</v>
      </c>
      <c r="O44" s="26">
        <f t="shared" si="14"/>
        <v>8.25</v>
      </c>
      <c r="P44" s="14">
        <f t="shared" si="15"/>
        <v>7.5776249993950007</v>
      </c>
      <c r="Q44" s="15">
        <f t="shared" si="16"/>
        <v>4.9413510136326652E-2</v>
      </c>
      <c r="S44" s="16" t="s">
        <v>104</v>
      </c>
      <c r="T44" s="16" t="s">
        <v>106</v>
      </c>
      <c r="U44" s="16" t="s">
        <v>43</v>
      </c>
      <c r="V44" s="17">
        <f>M33*M44</f>
        <v>160</v>
      </c>
      <c r="W44" s="14">
        <f t="shared" si="17"/>
        <v>15.827624999395001</v>
      </c>
      <c r="X44" s="14">
        <f t="shared" si="18"/>
        <v>2532.4199999032003</v>
      </c>
      <c r="Y44" s="2"/>
      <c r="Z44" s="15">
        <f t="shared" si="19"/>
        <v>0</v>
      </c>
      <c r="AA44" s="15">
        <f t="shared" si="20"/>
        <v>0</v>
      </c>
    </row>
    <row r="45" spans="13:27" s="25" customFormat="1" ht="32.450000000000003" customHeight="1" x14ac:dyDescent="0.2">
      <c r="M45" s="11">
        <v>31.5</v>
      </c>
      <c r="N45" s="12">
        <v>3.5</v>
      </c>
      <c r="O45" s="26">
        <f t="shared" si="14"/>
        <v>5.25</v>
      </c>
      <c r="P45" s="14">
        <f t="shared" si="15"/>
        <v>4.8221249996150002</v>
      </c>
      <c r="Q45" s="15">
        <f t="shared" si="16"/>
        <v>0.14060760289123081</v>
      </c>
      <c r="S45" s="16" t="s">
        <v>104</v>
      </c>
      <c r="T45" s="16" t="s">
        <v>107</v>
      </c>
      <c r="U45" s="16" t="s">
        <v>43</v>
      </c>
      <c r="V45" s="17">
        <f>(V41+V40+V39+V38)*M45</f>
        <v>715.44742782699484</v>
      </c>
      <c r="W45" s="14">
        <f t="shared" si="17"/>
        <v>10.072124999614999</v>
      </c>
      <c r="X45" s="14">
        <f t="shared" si="18"/>
        <v>7206.0759237265229</v>
      </c>
      <c r="Y45" s="2"/>
      <c r="Z45" s="15">
        <f t="shared" si="19"/>
        <v>0</v>
      </c>
      <c r="AA45" s="15">
        <f t="shared" si="20"/>
        <v>0</v>
      </c>
    </row>
    <row r="46" spans="13:27" s="25" customFormat="1" ht="32.450000000000003" customHeight="1" x14ac:dyDescent="0.2">
      <c r="M46" s="11">
        <v>8</v>
      </c>
      <c r="N46" s="12">
        <v>2.25</v>
      </c>
      <c r="O46" s="26">
        <f t="shared" si="14"/>
        <v>3.375</v>
      </c>
      <c r="P46" s="14">
        <f t="shared" si="15"/>
        <v>3.0999374997525</v>
      </c>
      <c r="Q46" s="15">
        <f t="shared" si="16"/>
        <v>3.5409498284515874E-2</v>
      </c>
      <c r="S46" s="16" t="s">
        <v>104</v>
      </c>
      <c r="T46" s="16" t="s">
        <v>108</v>
      </c>
      <c r="U46" s="16" t="s">
        <v>43</v>
      </c>
      <c r="V46" s="17">
        <f>(V39+V37+V38+V33)*M46</f>
        <v>280.26845653619688</v>
      </c>
      <c r="W46" s="14">
        <f t="shared" si="17"/>
        <v>6.4749374997524995</v>
      </c>
      <c r="X46" s="14">
        <f t="shared" si="18"/>
        <v>1814.7207392239748</v>
      </c>
      <c r="Y46" s="2"/>
      <c r="Z46" s="15">
        <f t="shared" si="19"/>
        <v>0</v>
      </c>
      <c r="AA46" s="15">
        <f t="shared" si="20"/>
        <v>0</v>
      </c>
    </row>
    <row r="47" spans="13:27" s="25" customFormat="1" ht="32.450000000000003" customHeight="1" x14ac:dyDescent="0.2">
      <c r="M47" s="16"/>
      <c r="N47" s="30"/>
      <c r="O47" s="26"/>
      <c r="P47" s="14"/>
      <c r="Q47" s="15"/>
      <c r="S47" s="16"/>
      <c r="T47" s="16"/>
      <c r="U47" s="16"/>
      <c r="V47" s="17"/>
      <c r="W47" s="28" t="s">
        <v>85</v>
      </c>
      <c r="X47" s="28">
        <f>IF(I5=TRUE,SUM(X32:X46),0)</f>
        <v>0</v>
      </c>
      <c r="Y47" s="2"/>
      <c r="Z47" s="15"/>
      <c r="AA47" s="15">
        <f>IF(I5=TRUE,SUM(AA32:AA46),0)</f>
        <v>0</v>
      </c>
    </row>
    <row r="48" spans="13:27" s="25" customFormat="1" ht="32.450000000000003" customHeight="1" x14ac:dyDescent="0.2">
      <c r="M48" s="29"/>
      <c r="N48" s="29"/>
      <c r="O48" s="29"/>
      <c r="P48" s="29"/>
      <c r="Q48" s="15"/>
      <c r="S48" s="29" t="s">
        <v>109</v>
      </c>
      <c r="T48" s="29"/>
      <c r="U48" s="29"/>
      <c r="V48" s="29"/>
      <c r="W48" s="29"/>
      <c r="X48" s="29"/>
      <c r="Y48" s="2"/>
      <c r="Z48" s="15"/>
      <c r="AA48" s="15"/>
    </row>
    <row r="49" spans="5:27" s="25" customFormat="1" ht="32.450000000000003" customHeight="1" x14ac:dyDescent="0.2">
      <c r="M49" s="11">
        <v>86</v>
      </c>
      <c r="N49" s="12">
        <v>65</v>
      </c>
      <c r="O49" s="26">
        <f t="shared" ref="O49:O54" si="21">N49*F$14</f>
        <v>97.5</v>
      </c>
      <c r="P49" s="14">
        <f t="shared" ref="P49:P54" si="22">O49*G$14*0.55</f>
        <v>89.553749992850001</v>
      </c>
      <c r="Q49" s="15">
        <f t="shared" ref="Q49:Q54" si="23">X49/A$8</f>
        <v>6.3660375855121631E-2</v>
      </c>
      <c r="S49" s="16" t="s">
        <v>110</v>
      </c>
      <c r="T49" s="16"/>
      <c r="U49" s="16" t="s">
        <v>72</v>
      </c>
      <c r="V49" s="27">
        <f>(A14+B14)/M49</f>
        <v>17.441860488372097</v>
      </c>
      <c r="W49" s="14">
        <f t="shared" ref="W49:W54" si="24">P49+O49</f>
        <v>187.05374999284999</v>
      </c>
      <c r="X49" s="14">
        <f t="shared" ref="X49:X54" si="25">W49*V49</f>
        <v>3262.5654112021225</v>
      </c>
      <c r="Y49" s="2"/>
      <c r="Z49" s="15">
        <f t="shared" ref="Z49:Z54" si="26">A$16*Q49/V49</f>
        <v>0</v>
      </c>
      <c r="AA49" s="15">
        <f t="shared" ref="AA49:AA54" si="27">Z49*V49</f>
        <v>0</v>
      </c>
    </row>
    <row r="50" spans="5:27" s="25" customFormat="1" ht="32.450000000000003" customHeight="1" x14ac:dyDescent="0.2">
      <c r="M50" s="11">
        <v>136</v>
      </c>
      <c r="N50" s="12">
        <v>65</v>
      </c>
      <c r="O50" s="26">
        <f t="shared" si="21"/>
        <v>97.5</v>
      </c>
      <c r="P50" s="14">
        <f t="shared" si="22"/>
        <v>89.553749992850001</v>
      </c>
      <c r="Q50" s="15">
        <f t="shared" si="23"/>
        <v>4.0255825908385737E-2</v>
      </c>
      <c r="S50" s="16" t="s">
        <v>111</v>
      </c>
      <c r="T50" s="16"/>
      <c r="U50" s="16" t="s">
        <v>72</v>
      </c>
      <c r="V50" s="27">
        <f>(A14+B14)/M50</f>
        <v>11.029411779411767</v>
      </c>
      <c r="W50" s="14">
        <f t="shared" si="24"/>
        <v>187.05374999284999</v>
      </c>
      <c r="X50" s="14">
        <f t="shared" si="25"/>
        <v>2063.0928335542835</v>
      </c>
      <c r="Y50" s="2"/>
      <c r="Z50" s="15">
        <f t="shared" si="26"/>
        <v>0</v>
      </c>
      <c r="AA50" s="15">
        <f t="shared" si="27"/>
        <v>0</v>
      </c>
    </row>
    <row r="51" spans="5:27" s="25" customFormat="1" ht="32.450000000000003" customHeight="1" x14ac:dyDescent="0.2">
      <c r="M51" s="11">
        <v>150</v>
      </c>
      <c r="N51" s="12">
        <v>65</v>
      </c>
      <c r="O51" s="26">
        <f t="shared" si="21"/>
        <v>97.5</v>
      </c>
      <c r="P51" s="14">
        <f t="shared" si="22"/>
        <v>89.553749992850001</v>
      </c>
      <c r="Q51" s="15">
        <f t="shared" si="23"/>
        <v>3.6498615490269726E-2</v>
      </c>
      <c r="S51" s="16" t="s">
        <v>112</v>
      </c>
      <c r="T51" s="16"/>
      <c r="U51" s="16" t="s">
        <v>72</v>
      </c>
      <c r="V51" s="27">
        <f>(A14+B14)/M51</f>
        <v>10.000000013333334</v>
      </c>
      <c r="W51" s="14">
        <f t="shared" si="24"/>
        <v>187.05374999284999</v>
      </c>
      <c r="X51" s="14">
        <f t="shared" si="25"/>
        <v>1870.53750242255</v>
      </c>
      <c r="Y51" s="2"/>
      <c r="Z51" s="15">
        <f t="shared" si="26"/>
        <v>0</v>
      </c>
      <c r="AA51" s="15">
        <f t="shared" si="27"/>
        <v>0</v>
      </c>
    </row>
    <row r="52" spans="5:27" s="25" customFormat="1" ht="32.450000000000003" customHeight="1" x14ac:dyDescent="0.2">
      <c r="M52" s="11">
        <v>625</v>
      </c>
      <c r="N52" s="12">
        <v>65</v>
      </c>
      <c r="O52" s="26">
        <f t="shared" si="21"/>
        <v>97.5</v>
      </c>
      <c r="P52" s="14">
        <f t="shared" si="22"/>
        <v>89.553749992850001</v>
      </c>
      <c r="Q52" s="15">
        <f t="shared" si="23"/>
        <v>8.7596677176647354E-3</v>
      </c>
      <c r="S52" s="16" t="s">
        <v>113</v>
      </c>
      <c r="T52" s="16"/>
      <c r="U52" s="16" t="s">
        <v>72</v>
      </c>
      <c r="V52" s="27">
        <f>(A14+B14)/M52</f>
        <v>2.4000000032000002</v>
      </c>
      <c r="W52" s="14">
        <f t="shared" si="24"/>
        <v>187.05374999284999</v>
      </c>
      <c r="X52" s="14">
        <f t="shared" si="25"/>
        <v>448.92900058141203</v>
      </c>
      <c r="Y52" s="2"/>
      <c r="Z52" s="15">
        <f t="shared" si="26"/>
        <v>0</v>
      </c>
      <c r="AA52" s="15">
        <f t="shared" si="27"/>
        <v>0</v>
      </c>
    </row>
    <row r="53" spans="5:27" s="25" customFormat="1" ht="32.450000000000003" customHeight="1" x14ac:dyDescent="0.2">
      <c r="M53" s="11">
        <v>12.12</v>
      </c>
      <c r="N53" s="12">
        <v>2.25</v>
      </c>
      <c r="O53" s="26">
        <f t="shared" si="21"/>
        <v>3.375</v>
      </c>
      <c r="P53" s="14">
        <f t="shared" si="22"/>
        <v>3.0999374997525</v>
      </c>
      <c r="Q53" s="15">
        <f t="shared" si="23"/>
        <v>6.2584433925711044E-2</v>
      </c>
      <c r="S53" s="16" t="s">
        <v>104</v>
      </c>
      <c r="T53" s="16" t="s">
        <v>108</v>
      </c>
      <c r="U53" s="16" t="s">
        <v>72</v>
      </c>
      <c r="V53" s="17">
        <f>SUM(V49:V52)*M53</f>
        <v>495.35982008592435</v>
      </c>
      <c r="W53" s="14">
        <f t="shared" si="24"/>
        <v>6.4749374997524995</v>
      </c>
      <c r="X53" s="14">
        <f t="shared" si="25"/>
        <v>3207.4238749450033</v>
      </c>
      <c r="Y53" s="2"/>
      <c r="Z53" s="15">
        <f t="shared" si="26"/>
        <v>0</v>
      </c>
      <c r="AA53" s="15">
        <f t="shared" si="27"/>
        <v>0</v>
      </c>
    </row>
    <row r="54" spans="5:27" s="25" customFormat="1" ht="32.450000000000003" customHeight="1" x14ac:dyDescent="0.2">
      <c r="M54" s="11"/>
      <c r="N54" s="12">
        <v>2.2999999999999998</v>
      </c>
      <c r="O54" s="26">
        <f t="shared" si="21"/>
        <v>3.4499999999999997</v>
      </c>
      <c r="P54" s="14">
        <f t="shared" si="22"/>
        <v>3.1688249997469997</v>
      </c>
      <c r="Q54" s="15">
        <f t="shared" si="23"/>
        <v>3.1987599562030095E-2</v>
      </c>
      <c r="S54" s="16" t="s">
        <v>103</v>
      </c>
      <c r="T54" s="16" t="s">
        <v>114</v>
      </c>
      <c r="U54" s="16" t="s">
        <v>72</v>
      </c>
      <c r="V54" s="17">
        <f>V53/2</f>
        <v>247.67991004296218</v>
      </c>
      <c r="W54" s="14">
        <f t="shared" si="24"/>
        <v>6.6188249997469999</v>
      </c>
      <c r="X54" s="14">
        <f t="shared" si="25"/>
        <v>1639.3499805274462</v>
      </c>
      <c r="Y54" s="2"/>
      <c r="Z54" s="15">
        <f t="shared" si="26"/>
        <v>0</v>
      </c>
      <c r="AA54" s="15">
        <f t="shared" si="27"/>
        <v>0</v>
      </c>
    </row>
    <row r="55" spans="5:27" s="25" customFormat="1" ht="32.450000000000003" customHeight="1" x14ac:dyDescent="0.2">
      <c r="M55" s="31"/>
      <c r="N55" s="31"/>
      <c r="O55" s="32"/>
      <c r="P55" s="32"/>
      <c r="Q55" s="31"/>
      <c r="S55" s="31"/>
      <c r="T55" s="31"/>
      <c r="U55" s="31"/>
      <c r="V55" s="17"/>
      <c r="W55" s="33" t="s">
        <v>85</v>
      </c>
      <c r="X55" s="33">
        <f>IF(J5=TRUE,SUM(X49:X54),0)</f>
        <v>0</v>
      </c>
      <c r="Y55" s="2"/>
      <c r="Z55" s="31"/>
      <c r="AA55" s="34">
        <f>IF(J5=TRUE,SUM(AA49:AA54),0)</f>
        <v>0</v>
      </c>
    </row>
    <row r="56" spans="5:27" s="25" customFormat="1" ht="21" customHeight="1" x14ac:dyDescent="0.2"/>
    <row r="57" spans="5:27" s="25" customFormat="1" ht="21" customHeight="1" x14ac:dyDescent="0.2"/>
    <row r="58" spans="5:27" s="25" customFormat="1" ht="21" customHeight="1" x14ac:dyDescent="0.2"/>
    <row r="59" spans="5:27" s="25" customFormat="1" ht="21" customHeight="1" x14ac:dyDescent="0.2"/>
    <row r="60" spans="5:27" s="25" customFormat="1" ht="21" customHeight="1" x14ac:dyDescent="0.2"/>
    <row r="61" spans="5:27" s="25" customFormat="1" ht="21" customHeight="1" x14ac:dyDescent="0.2"/>
    <row r="62" spans="5:27" s="25" customFormat="1" ht="21" customHeight="1" x14ac:dyDescent="0.2"/>
    <row r="63" spans="5:27" ht="21" customHeight="1" x14ac:dyDescent="0.2"/>
    <row r="64" spans="5:27" ht="21" customHeight="1" x14ac:dyDescent="0.2">
      <c r="E64" s="35"/>
    </row>
    <row r="65" spans="5:5" ht="21" customHeight="1" x14ac:dyDescent="0.2">
      <c r="E65" s="36"/>
    </row>
    <row r="66" spans="5:5" ht="21" customHeight="1" x14ac:dyDescent="0.2">
      <c r="E66" s="36"/>
    </row>
    <row r="67" spans="5:5" ht="21" customHeight="1" x14ac:dyDescent="0.2"/>
    <row r="68" spans="5:5" ht="21" customHeight="1" x14ac:dyDescent="0.2"/>
    <row r="69" spans="5:5" ht="21" customHeight="1" x14ac:dyDescent="0.2"/>
    <row r="70" spans="5:5" ht="21" customHeight="1" x14ac:dyDescent="0.2"/>
    <row r="71" spans="5:5" ht="21" customHeight="1" x14ac:dyDescent="0.2"/>
    <row r="72" spans="5:5" ht="21" customHeight="1" x14ac:dyDescent="0.2"/>
    <row r="73" spans="5:5" ht="21" customHeight="1" x14ac:dyDescent="0.2"/>
    <row r="74" spans="5:5" ht="21" customHeight="1" x14ac:dyDescent="0.2"/>
    <row r="75" spans="5:5" ht="21" customHeight="1" x14ac:dyDescent="0.2"/>
    <row r="76" spans="5:5" ht="21" customHeight="1" x14ac:dyDescent="0.2"/>
    <row r="77" spans="5:5" ht="21" customHeight="1" x14ac:dyDescent="0.2"/>
    <row r="78" spans="5:5" ht="21" customHeight="1" x14ac:dyDescent="0.2"/>
    <row r="79" spans="5:5" ht="21" customHeight="1" x14ac:dyDescent="0.2"/>
    <row r="80" spans="5:5" ht="21" customHeight="1" x14ac:dyDescent="0.2"/>
    <row r="81" ht="21" customHeight="1" x14ac:dyDescent="0.2"/>
    <row r="82" ht="21" customHeight="1" x14ac:dyDescent="0.2"/>
    <row r="83" ht="21" customHeight="1" x14ac:dyDescent="0.2"/>
    <row r="84" ht="21" customHeight="1" x14ac:dyDescent="0.2"/>
    <row r="85" ht="21" customHeight="1" x14ac:dyDescent="0.2"/>
    <row r="86" ht="21" customHeight="1" x14ac:dyDescent="0.2"/>
    <row r="87" ht="21" customHeight="1" x14ac:dyDescent="0.2"/>
    <row r="88" ht="21" customHeight="1" x14ac:dyDescent="0.2"/>
    <row r="89" ht="21" customHeight="1" x14ac:dyDescent="0.2"/>
    <row r="90" ht="21" customHeight="1" x14ac:dyDescent="0.2"/>
    <row r="91" ht="21" customHeight="1" x14ac:dyDescent="0.2"/>
    <row r="92" ht="21" customHeight="1" x14ac:dyDescent="0.2"/>
    <row r="93" ht="21" customHeight="1" x14ac:dyDescent="0.2"/>
    <row r="94" ht="21" customHeight="1" x14ac:dyDescent="0.2"/>
    <row r="95" ht="21" customHeight="1" x14ac:dyDescent="0.2"/>
    <row r="96" ht="21" customHeight="1" x14ac:dyDescent="0.2"/>
    <row r="97" ht="21" customHeight="1" x14ac:dyDescent="0.2"/>
    <row r="98" ht="21" customHeight="1" x14ac:dyDescent="0.2"/>
    <row r="99" ht="21" customHeight="1" x14ac:dyDescent="0.2"/>
    <row r="100" ht="21" customHeight="1" x14ac:dyDescent="0.2"/>
    <row r="101" ht="21" customHeight="1" x14ac:dyDescent="0.2"/>
    <row r="102" ht="21" customHeight="1" x14ac:dyDescent="0.2"/>
    <row r="103" ht="21" customHeight="1" x14ac:dyDescent="0.2"/>
    <row r="104" ht="21" customHeight="1" x14ac:dyDescent="0.2"/>
    <row r="105" ht="21" customHeight="1" x14ac:dyDescent="0.2"/>
    <row r="106" ht="21" customHeight="1" x14ac:dyDescent="0.2"/>
    <row r="107" ht="21" customHeight="1" x14ac:dyDescent="0.2"/>
    <row r="108" ht="21" customHeight="1" x14ac:dyDescent="0.2"/>
    <row r="109" ht="21" customHeight="1" x14ac:dyDescent="0.2"/>
    <row r="110" ht="21" customHeight="1" x14ac:dyDescent="0.2"/>
    <row r="111" ht="21" customHeight="1" x14ac:dyDescent="0.2"/>
    <row r="112" ht="21" customHeight="1" x14ac:dyDescent="0.2"/>
    <row r="113" ht="21" customHeight="1" x14ac:dyDescent="0.2"/>
    <row r="114" ht="21" customHeight="1" x14ac:dyDescent="0.2"/>
    <row r="115" ht="21" customHeight="1" x14ac:dyDescent="0.2"/>
    <row r="116" ht="21" customHeight="1" x14ac:dyDescent="0.2"/>
    <row r="117" ht="21" customHeight="1" x14ac:dyDescent="0.2"/>
    <row r="118" ht="21" customHeight="1" x14ac:dyDescent="0.2"/>
    <row r="119" ht="21" customHeight="1" x14ac:dyDescent="0.2"/>
    <row r="120" ht="21" customHeight="1" x14ac:dyDescent="0.2"/>
    <row r="121" ht="21" customHeight="1" x14ac:dyDescent="0.2"/>
    <row r="122" ht="21" customHeight="1" x14ac:dyDescent="0.2"/>
    <row r="123" ht="21" customHeight="1" x14ac:dyDescent="0.2"/>
    <row r="124" ht="21" customHeight="1" x14ac:dyDescent="0.2"/>
    <row r="125" ht="21" customHeight="1" x14ac:dyDescent="0.2"/>
    <row r="126" ht="21" customHeight="1" x14ac:dyDescent="0.2"/>
    <row r="127" ht="21" customHeight="1" x14ac:dyDescent="0.2"/>
    <row r="128" ht="21" customHeight="1" x14ac:dyDescent="0.2"/>
    <row r="129" ht="21" customHeight="1" x14ac:dyDescent="0.2"/>
    <row r="130" ht="21" customHeight="1" x14ac:dyDescent="0.2"/>
    <row r="131" ht="21" customHeight="1" x14ac:dyDescent="0.2"/>
    <row r="132" ht="21" customHeight="1" x14ac:dyDescent="0.2"/>
    <row r="133" ht="21" customHeight="1" x14ac:dyDescent="0.2"/>
    <row r="134" ht="21" customHeight="1" x14ac:dyDescent="0.2"/>
    <row r="135" ht="21" customHeight="1" x14ac:dyDescent="0.2"/>
    <row r="136" ht="21" customHeight="1" x14ac:dyDescent="0.2"/>
    <row r="137" ht="21" customHeight="1" x14ac:dyDescent="0.2"/>
    <row r="138" ht="21" customHeight="1" x14ac:dyDescent="0.2"/>
    <row r="139" ht="21" customHeight="1" x14ac:dyDescent="0.2"/>
    <row r="140" ht="21" customHeight="1" x14ac:dyDescent="0.2"/>
    <row r="141" ht="21" customHeight="1" x14ac:dyDescent="0.2"/>
    <row r="142" ht="21" customHeight="1" x14ac:dyDescent="0.2"/>
    <row r="143" ht="21" customHeight="1" x14ac:dyDescent="0.2"/>
    <row r="144" ht="21" customHeight="1" x14ac:dyDescent="0.2"/>
    <row r="145" ht="21" customHeight="1" x14ac:dyDescent="0.2"/>
    <row r="146" ht="21" customHeight="1" x14ac:dyDescent="0.2"/>
    <row r="147" ht="21" customHeight="1" x14ac:dyDescent="0.2"/>
    <row r="148" ht="21" customHeight="1" x14ac:dyDescent="0.2"/>
    <row r="149" ht="21" customHeight="1" x14ac:dyDescent="0.2"/>
    <row r="150" ht="21" customHeight="1" x14ac:dyDescent="0.2"/>
    <row r="151" ht="21" customHeight="1" x14ac:dyDescent="0.2"/>
    <row r="152" ht="21" customHeight="1" x14ac:dyDescent="0.2"/>
    <row r="153" ht="21" customHeight="1" x14ac:dyDescent="0.2"/>
    <row r="154" ht="21" customHeight="1" x14ac:dyDescent="0.2"/>
    <row r="155" ht="21" customHeight="1" x14ac:dyDescent="0.2"/>
    <row r="156" ht="21" customHeight="1" x14ac:dyDescent="0.2"/>
    <row r="157" ht="21" customHeight="1" x14ac:dyDescent="0.2"/>
    <row r="158" ht="21" customHeight="1" x14ac:dyDescent="0.2"/>
    <row r="159" ht="21" customHeight="1" x14ac:dyDescent="0.2"/>
    <row r="160" ht="21" customHeight="1" x14ac:dyDescent="0.2"/>
    <row r="161" ht="21" customHeight="1" x14ac:dyDescent="0.2"/>
    <row r="162" ht="21" customHeight="1" x14ac:dyDescent="0.2"/>
    <row r="163" ht="21" customHeight="1" x14ac:dyDescent="0.2"/>
    <row r="164" ht="21" customHeight="1" x14ac:dyDescent="0.2"/>
    <row r="165" ht="21" customHeight="1" x14ac:dyDescent="0.2"/>
    <row r="166" ht="21" customHeight="1" x14ac:dyDescent="0.2"/>
    <row r="167" ht="21" customHeight="1" x14ac:dyDescent="0.2"/>
    <row r="168" ht="21" customHeight="1" x14ac:dyDescent="0.2"/>
    <row r="169" ht="21" customHeight="1" x14ac:dyDescent="0.2"/>
    <row r="170" ht="21" customHeight="1" x14ac:dyDescent="0.2"/>
    <row r="171" ht="21" customHeight="1" x14ac:dyDescent="0.2"/>
    <row r="172" ht="21" customHeight="1" x14ac:dyDescent="0.2"/>
    <row r="173" ht="21" customHeight="1" x14ac:dyDescent="0.2"/>
    <row r="174" ht="21" customHeight="1" x14ac:dyDescent="0.2"/>
    <row r="175" ht="21" customHeight="1" x14ac:dyDescent="0.2"/>
    <row r="176" ht="21" customHeight="1" x14ac:dyDescent="0.2"/>
    <row r="177" ht="21" customHeight="1" x14ac:dyDescent="0.2"/>
    <row r="178" ht="21" customHeight="1" x14ac:dyDescent="0.2"/>
    <row r="179" ht="21" customHeight="1" x14ac:dyDescent="0.2"/>
    <row r="180" ht="21" customHeight="1" x14ac:dyDescent="0.2"/>
    <row r="181" ht="21" customHeight="1" x14ac:dyDescent="0.2"/>
    <row r="182" ht="21" customHeight="1" x14ac:dyDescent="0.2"/>
    <row r="183" ht="21" customHeight="1" x14ac:dyDescent="0.2"/>
    <row r="184" ht="21" customHeight="1" x14ac:dyDescent="0.2"/>
    <row r="185" ht="21" customHeight="1" x14ac:dyDescent="0.2"/>
    <row r="186" ht="21" customHeight="1" x14ac:dyDescent="0.2"/>
    <row r="187" ht="21" customHeight="1" x14ac:dyDescent="0.2"/>
    <row r="188" ht="21" customHeight="1" x14ac:dyDescent="0.2"/>
    <row r="189" ht="21" customHeight="1" x14ac:dyDescent="0.2"/>
    <row r="190" ht="21" customHeight="1" x14ac:dyDescent="0.2"/>
    <row r="191" ht="21" customHeight="1" x14ac:dyDescent="0.2"/>
    <row r="192" ht="21" customHeight="1" x14ac:dyDescent="0.2"/>
    <row r="193" ht="21" customHeight="1" x14ac:dyDescent="0.2"/>
    <row r="194" ht="21" customHeight="1" x14ac:dyDescent="0.2"/>
    <row r="195" ht="21" customHeight="1" x14ac:dyDescent="0.2"/>
    <row r="196" ht="21" customHeight="1" x14ac:dyDescent="0.2"/>
    <row r="197" ht="21" customHeight="1" x14ac:dyDescent="0.2"/>
    <row r="198" ht="21" customHeight="1" x14ac:dyDescent="0.2"/>
    <row r="199" ht="21" customHeight="1" x14ac:dyDescent="0.2"/>
    <row r="200" ht="21" customHeight="1" x14ac:dyDescent="0.2"/>
    <row r="201" ht="21" customHeight="1" x14ac:dyDescent="0.2"/>
    <row r="202" ht="21" customHeight="1" x14ac:dyDescent="0.2"/>
    <row r="203" ht="21" customHeight="1" x14ac:dyDescent="0.2"/>
    <row r="204" ht="21" customHeight="1" x14ac:dyDescent="0.2"/>
    <row r="205" ht="21" customHeight="1" x14ac:dyDescent="0.2"/>
    <row r="206" ht="21" customHeight="1" x14ac:dyDescent="0.2"/>
    <row r="207" ht="21" customHeight="1" x14ac:dyDescent="0.2"/>
    <row r="208" ht="21" customHeight="1" x14ac:dyDescent="0.2"/>
    <row r="209" ht="21" customHeight="1" x14ac:dyDescent="0.2"/>
    <row r="210" ht="21" customHeight="1" x14ac:dyDescent="0.2"/>
    <row r="211" ht="21" customHeight="1" x14ac:dyDescent="0.2"/>
    <row r="212" ht="21" customHeight="1" x14ac:dyDescent="0.2"/>
    <row r="213" ht="21" customHeight="1" x14ac:dyDescent="0.2"/>
    <row r="214" ht="21" customHeight="1" x14ac:dyDescent="0.2"/>
    <row r="215" ht="21" customHeight="1" x14ac:dyDescent="0.2"/>
    <row r="216" ht="21" customHeight="1" x14ac:dyDescent="0.2"/>
    <row r="217" ht="21" customHeight="1" x14ac:dyDescent="0.2"/>
    <row r="218" ht="21" customHeight="1" x14ac:dyDescent="0.2"/>
    <row r="219" ht="21" customHeight="1" x14ac:dyDescent="0.2"/>
    <row r="220" ht="21" customHeight="1" x14ac:dyDescent="0.2"/>
    <row r="221" ht="21" customHeight="1" x14ac:dyDescent="0.2"/>
    <row r="222" ht="21" customHeight="1" x14ac:dyDescent="0.2"/>
    <row r="223" ht="21" customHeight="1" x14ac:dyDescent="0.2"/>
    <row r="224" ht="21" customHeight="1" x14ac:dyDescent="0.2"/>
    <row r="225" ht="21" customHeight="1" x14ac:dyDescent="0.2"/>
    <row r="226" ht="21" customHeight="1" x14ac:dyDescent="0.2"/>
    <row r="227" ht="21" customHeight="1" x14ac:dyDescent="0.2"/>
    <row r="228" ht="21" customHeight="1" x14ac:dyDescent="0.2"/>
    <row r="229" ht="21" customHeight="1" x14ac:dyDescent="0.2"/>
    <row r="230" ht="21" customHeight="1" x14ac:dyDescent="0.2"/>
    <row r="231" ht="21" customHeight="1" x14ac:dyDescent="0.2"/>
    <row r="232" ht="21" customHeight="1" x14ac:dyDescent="0.2"/>
    <row r="233" ht="21" customHeight="1" x14ac:dyDescent="0.2"/>
    <row r="234" ht="21" customHeight="1" x14ac:dyDescent="0.2"/>
    <row r="235" ht="21" customHeight="1" x14ac:dyDescent="0.2"/>
    <row r="236" ht="21" customHeight="1" x14ac:dyDescent="0.2"/>
    <row r="237" ht="21" customHeight="1" x14ac:dyDescent="0.2"/>
    <row r="238" ht="21" customHeight="1" x14ac:dyDescent="0.2"/>
    <row r="239" ht="21" customHeight="1" x14ac:dyDescent="0.2"/>
  </sheetData>
  <sheetProtection formatCells="0" formatColumns="0" formatRows="0" insertColumns="0" insertRows="0" insertHyperlinks="0" deleteColumns="0" deleteRows="0" sort="0" autoFilter="0" pivotTables="0"/>
  <mergeCells count="13">
    <mergeCell ref="A15:H15"/>
    <mergeCell ref="M3:P3"/>
    <mergeCell ref="S3:X3"/>
    <mergeCell ref="Z3:AA3"/>
    <mergeCell ref="A6:J6"/>
    <mergeCell ref="A3:J3"/>
    <mergeCell ref="A12:H12"/>
    <mergeCell ref="A9:J9"/>
    <mergeCell ref="A1:B1"/>
    <mergeCell ref="A2:B2"/>
    <mergeCell ref="C1:F1"/>
    <mergeCell ref="C2:F2"/>
    <mergeCell ref="H1:K1"/>
  </mergeCells>
  <phoneticPr fontId="28" type="noConversion"/>
  <dataValidations count="3">
    <dataValidation type="list" allowBlank="1" showInputMessage="1" showErrorMessage="1" sqref="A5">
      <formula1>"主城,区县"</formula1>
    </dataValidation>
    <dataValidation type="list" allowBlank="1" showInputMessage="1" showErrorMessage="1" sqref="E5">
      <formula1>"酒店/宾馆,商场/超市,医疗/养老,学习/办公,娱乐/休闲,厂房/仓库"</formula1>
    </dataValidation>
    <dataValidation type="list" allowBlank="1" showInputMessage="1" showErrorMessage="1" sqref="F5">
      <formula1>"开票,不开票"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6</xdr:col>
                    <xdr:colOff>47625</xdr:colOff>
                    <xdr:row>3</xdr:row>
                    <xdr:rowOff>123825</xdr:rowOff>
                  </from>
                  <to>
                    <xdr:col>6</xdr:col>
                    <xdr:colOff>628650</xdr:colOff>
                    <xdr:row>3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7</xdr:col>
                    <xdr:colOff>104775</xdr:colOff>
                    <xdr:row>3</xdr:row>
                    <xdr:rowOff>66675</xdr:rowOff>
                  </from>
                  <to>
                    <xdr:col>7</xdr:col>
                    <xdr:colOff>676275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8</xdr:col>
                    <xdr:colOff>66675</xdr:colOff>
                    <xdr:row>3</xdr:row>
                    <xdr:rowOff>85725</xdr:rowOff>
                  </from>
                  <to>
                    <xdr:col>8</xdr:col>
                    <xdr:colOff>695325</xdr:colOff>
                    <xdr:row>3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defaultSize="0" autoFill="0" autoLine="0" autoPict="0">
                <anchor moveWithCells="1">
                  <from>
                    <xdr:col>9</xdr:col>
                    <xdr:colOff>47625</xdr:colOff>
                    <xdr:row>3</xdr:row>
                    <xdr:rowOff>123825</xdr:rowOff>
                  </from>
                  <to>
                    <xdr:col>9</xdr:col>
                    <xdr:colOff>723900</xdr:colOff>
                    <xdr:row>3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showGridLines="0" view="pageLayout" zoomScale="25" zoomScaleNormal="40" workbookViewId="0">
      <selection activeCell="I4" sqref="I4"/>
    </sheetView>
  </sheetViews>
  <sheetFormatPr defaultRowHeight="14.25" x14ac:dyDescent="0.2"/>
  <cols>
    <col min="1" max="1" width="31.625" style="39" customWidth="1"/>
    <col min="2" max="3" width="20.75" style="39" customWidth="1"/>
    <col min="4" max="4" width="12.375" style="39" customWidth="1"/>
    <col min="5" max="5" width="8.625" style="39" customWidth="1"/>
    <col min="6" max="10" width="11.875" style="39" customWidth="1"/>
    <col min="11" max="11" width="8.625" style="39" customWidth="1"/>
  </cols>
  <sheetData>
    <row r="1" spans="1:10" ht="59.45" customHeight="1" x14ac:dyDescent="0.2">
      <c r="A1" s="97"/>
      <c r="B1" s="97"/>
      <c r="C1" s="97"/>
      <c r="D1" s="97"/>
      <c r="E1" s="38"/>
      <c r="F1" s="38"/>
      <c r="G1" s="38"/>
      <c r="H1" s="38"/>
      <c r="I1" s="38"/>
      <c r="J1" s="38"/>
    </row>
    <row r="2" spans="1:10" ht="51.6" customHeight="1" x14ac:dyDescent="0.2">
      <c r="A2" s="128" t="str">
        <f>数据区!H1</f>
        <v>测试工程名称</v>
      </c>
      <c r="B2" s="128"/>
      <c r="C2" s="128"/>
      <c r="D2" s="128"/>
      <c r="E2" s="40"/>
      <c r="F2" s="38"/>
      <c r="G2" s="38"/>
      <c r="H2" s="38"/>
    </row>
    <row r="3" spans="1:10" ht="51.6" customHeight="1" x14ac:dyDescent="0.2">
      <c r="A3" s="128" t="s">
        <v>115</v>
      </c>
      <c r="B3" s="128"/>
      <c r="C3" s="128"/>
      <c r="D3" s="128"/>
    </row>
    <row r="4" spans="1:10" ht="409.6" customHeight="1" x14ac:dyDescent="0.2">
      <c r="A4" s="129" t="s">
        <v>116</v>
      </c>
      <c r="B4" s="129"/>
      <c r="C4" s="129"/>
      <c r="D4" s="129"/>
    </row>
    <row r="5" spans="1:10" ht="81.95" customHeight="1" x14ac:dyDescent="0.2">
      <c r="A5" s="98"/>
      <c r="B5" s="98"/>
      <c r="C5" s="98"/>
      <c r="D5" s="98"/>
    </row>
    <row r="6" spans="1:10" ht="42" customHeight="1" x14ac:dyDescent="0.2">
      <c r="A6" s="99" t="s">
        <v>117</v>
      </c>
      <c r="B6" s="130" t="str">
        <f>数据区!C2</f>
        <v>重庆华宇消防</v>
      </c>
      <c r="C6" s="130"/>
      <c r="D6" s="130"/>
    </row>
    <row r="7" spans="1:10" ht="42" customHeight="1" x14ac:dyDescent="0.2">
      <c r="A7" s="99" t="s">
        <v>118</v>
      </c>
      <c r="B7" s="131" t="s">
        <v>119</v>
      </c>
      <c r="C7" s="131"/>
      <c r="D7" s="131"/>
    </row>
    <row r="8" spans="1:10" ht="42" customHeight="1" x14ac:dyDescent="0.2">
      <c r="A8" s="99" t="s">
        <v>120</v>
      </c>
      <c r="B8" s="127">
        <f ca="1">TODAY()</f>
        <v>43620</v>
      </c>
      <c r="C8" s="127"/>
      <c r="D8" s="127"/>
    </row>
    <row r="9" spans="1:10" x14ac:dyDescent="0.2">
      <c r="A9" s="66"/>
      <c r="B9" s="66"/>
      <c r="C9" s="66"/>
      <c r="D9" s="66"/>
    </row>
  </sheetData>
  <sheetProtection formatCells="0" formatColumns="0" formatRows="0" insertColumns="0" insertRows="0" insertHyperlinks="0" deleteColumns="0" deleteRows="0" sort="0" autoFilter="0" pivotTables="0"/>
  <mergeCells count="6">
    <mergeCell ref="B8:D8"/>
    <mergeCell ref="A2:D2"/>
    <mergeCell ref="A4:D4"/>
    <mergeCell ref="B6:D6"/>
    <mergeCell ref="B7:D7"/>
    <mergeCell ref="A3:D3"/>
  </mergeCells>
  <phoneticPr fontId="2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showGridLines="0" view="pageLayout" zoomScale="25" workbookViewId="0">
      <selection activeCell="M15" sqref="M15"/>
    </sheetView>
  </sheetViews>
  <sheetFormatPr defaultColWidth="8.625" defaultRowHeight="14.25" x14ac:dyDescent="0.2"/>
  <cols>
    <col min="1" max="1" width="4.5" style="44" customWidth="1"/>
    <col min="2" max="2" width="7.375" style="44" customWidth="1"/>
    <col min="3" max="3" width="4.5" style="44" customWidth="1"/>
    <col min="4" max="4" width="12.5" style="44" customWidth="1"/>
    <col min="5" max="5" width="7.875" style="44" customWidth="1"/>
    <col min="6" max="6" width="5.5" style="44" customWidth="1"/>
    <col min="7" max="7" width="12.875" style="44" customWidth="1"/>
    <col min="8" max="8" width="8.625" style="44"/>
    <col min="9" max="9" width="5.75" style="44" customWidth="1"/>
    <col min="10" max="10" width="9.875" style="44" customWidth="1"/>
    <col min="11" max="11" width="8.625" style="44"/>
  </cols>
  <sheetData>
    <row r="1" spans="1:11" ht="69.95" customHeight="1" x14ac:dyDescent="0.2">
      <c r="A1" s="132" t="s">
        <v>121</v>
      </c>
      <c r="B1" s="132"/>
      <c r="C1" s="132"/>
      <c r="D1" s="132"/>
      <c r="E1" s="132"/>
      <c r="F1" s="132"/>
      <c r="G1" s="132"/>
      <c r="H1" s="132"/>
      <c r="I1" s="132"/>
      <c r="J1" s="132"/>
      <c r="K1" s="43"/>
    </row>
    <row r="2" spans="1:11" ht="34.5" customHeight="1" x14ac:dyDescent="0.2">
      <c r="A2" s="45" t="s">
        <v>122</v>
      </c>
      <c r="B2" s="130" t="str">
        <f>数据区!C1</f>
        <v>测试建设单位</v>
      </c>
      <c r="C2" s="130"/>
      <c r="D2" s="130"/>
      <c r="E2" s="130"/>
      <c r="F2" s="130"/>
      <c r="G2" s="130"/>
    </row>
    <row r="3" spans="1:11" ht="34.5" customHeight="1" x14ac:dyDescent="0.2">
      <c r="B3" s="131" t="s">
        <v>123</v>
      </c>
      <c r="C3" s="131"/>
      <c r="D3" s="131"/>
      <c r="E3" s="131"/>
      <c r="F3" s="131"/>
      <c r="G3" s="131"/>
      <c r="H3" s="131"/>
      <c r="I3" s="131"/>
      <c r="J3" s="131"/>
      <c r="K3" s="46"/>
    </row>
    <row r="4" spans="1:11" ht="34.5" customHeight="1" x14ac:dyDescent="0.2">
      <c r="B4" s="133">
        <f>数据区!B5+数据区!C5</f>
        <v>1500</v>
      </c>
      <c r="C4" s="133"/>
      <c r="D4" s="134" t="s">
        <v>124</v>
      </c>
      <c r="E4" s="134"/>
      <c r="F4" s="134"/>
      <c r="G4" s="135" t="str">
        <f>报价函附表!D4</f>
        <v>捌万壹仟伍佰壹拾柒元贰角整</v>
      </c>
      <c r="H4" s="130"/>
      <c r="I4" s="130"/>
      <c r="J4" s="130"/>
    </row>
    <row r="5" spans="1:11" ht="34.5" customHeight="1" x14ac:dyDescent="0.2">
      <c r="B5" s="134" t="s">
        <v>125</v>
      </c>
      <c r="C5" s="134"/>
      <c r="D5" s="47">
        <f>数据区!L3</f>
        <v>81517.202495537887</v>
      </c>
      <c r="E5" s="131" t="s">
        <v>126</v>
      </c>
      <c r="F5" s="131"/>
      <c r="G5" s="131"/>
      <c r="H5" s="131"/>
      <c r="I5" s="131"/>
      <c r="J5" s="131"/>
    </row>
    <row r="6" spans="1:11" ht="34.5" customHeight="1" x14ac:dyDescent="0.2">
      <c r="B6" s="136" t="str">
        <f>数据区!H1</f>
        <v>测试工程名称</v>
      </c>
      <c r="C6" s="136"/>
      <c r="D6" s="136"/>
      <c r="E6" s="136"/>
      <c r="F6" s="131" t="s">
        <v>127</v>
      </c>
      <c r="G6" s="131"/>
      <c r="H6" s="131"/>
      <c r="I6" s="131"/>
      <c r="J6" s="131"/>
    </row>
    <row r="7" spans="1:11" ht="34.5" customHeight="1" x14ac:dyDescent="0.2">
      <c r="B7" s="131" t="s">
        <v>128</v>
      </c>
      <c r="C7" s="131"/>
      <c r="D7" s="131"/>
      <c r="E7" s="131"/>
      <c r="F7" s="131"/>
      <c r="G7" s="131"/>
      <c r="H7" s="131"/>
      <c r="I7" s="131"/>
      <c r="J7" s="131"/>
    </row>
    <row r="8" spans="1:11" ht="34.5" customHeight="1" x14ac:dyDescent="0.2">
      <c r="B8" s="131" t="s">
        <v>129</v>
      </c>
      <c r="C8" s="131"/>
      <c r="D8" s="131"/>
      <c r="E8" s="131"/>
      <c r="F8" s="131"/>
      <c r="G8" s="131"/>
      <c r="H8" s="131"/>
      <c r="I8" s="131"/>
      <c r="J8" s="131"/>
    </row>
    <row r="9" spans="1:11" ht="34.5" customHeight="1" x14ac:dyDescent="0.2">
      <c r="B9" s="131" t="s">
        <v>130</v>
      </c>
      <c r="C9" s="131"/>
      <c r="D9" s="131"/>
      <c r="E9" s="131"/>
      <c r="F9" s="131"/>
      <c r="G9" s="131"/>
      <c r="H9" s="131"/>
      <c r="I9" s="131"/>
      <c r="J9" s="131"/>
    </row>
    <row r="10" spans="1:11" ht="33.950000000000003" customHeight="1" x14ac:dyDescent="0.2">
      <c r="B10" s="131" t="s">
        <v>131</v>
      </c>
      <c r="C10" s="131"/>
      <c r="D10" s="131"/>
      <c r="E10" s="131"/>
      <c r="F10" s="131"/>
      <c r="G10" s="131"/>
      <c r="H10" s="131"/>
      <c r="I10" s="131"/>
      <c r="J10" s="131"/>
    </row>
    <row r="11" spans="1:11" ht="48" customHeight="1" x14ac:dyDescent="0.2">
      <c r="B11" s="48"/>
      <c r="C11" s="48"/>
      <c r="D11" s="48"/>
      <c r="E11" s="48"/>
      <c r="F11" s="48"/>
      <c r="G11" s="48"/>
      <c r="H11" s="48"/>
      <c r="I11" s="48"/>
      <c r="J11" s="48"/>
    </row>
    <row r="12" spans="1:11" ht="34.5" customHeight="1" x14ac:dyDescent="0.2">
      <c r="A12" s="131" t="s">
        <v>117</v>
      </c>
      <c r="B12" s="131"/>
      <c r="C12" s="130" t="str">
        <f>封面!B6</f>
        <v>重庆华宇消防</v>
      </c>
      <c r="D12" s="130"/>
      <c r="E12" s="130"/>
      <c r="F12" s="130"/>
      <c r="G12" s="130"/>
      <c r="H12" s="130"/>
      <c r="I12" s="130"/>
      <c r="J12" s="130"/>
    </row>
    <row r="13" spans="1:11" ht="34.5" customHeight="1" x14ac:dyDescent="0.2">
      <c r="A13" s="138" t="s">
        <v>132</v>
      </c>
      <c r="B13" s="138"/>
      <c r="C13" s="138"/>
      <c r="D13" s="138"/>
      <c r="E13" s="131" t="s">
        <v>133</v>
      </c>
      <c r="F13" s="131"/>
      <c r="G13" s="131"/>
      <c r="H13" s="131"/>
      <c r="I13" s="131"/>
      <c r="J13" s="131"/>
    </row>
    <row r="14" spans="1:11" ht="34.5" customHeight="1" x14ac:dyDescent="0.2">
      <c r="A14" s="131" t="s">
        <v>134</v>
      </c>
      <c r="B14" s="131"/>
      <c r="C14" s="131">
        <f>数据区!H2</f>
        <v>123456789</v>
      </c>
      <c r="D14" s="131"/>
      <c r="E14" s="46" t="s">
        <v>135</v>
      </c>
      <c r="F14" s="131">
        <f>C14</f>
        <v>123456789</v>
      </c>
      <c r="G14" s="131"/>
      <c r="H14" s="81" t="s">
        <v>136</v>
      </c>
      <c r="I14" s="131">
        <f>数据区!L2</f>
        <v>400000</v>
      </c>
      <c r="J14" s="131"/>
    </row>
    <row r="15" spans="1:11" ht="34.5" customHeight="1" x14ac:dyDescent="0.2">
      <c r="A15" s="131" t="s">
        <v>137</v>
      </c>
      <c r="B15" s="131"/>
      <c r="C15" s="137">
        <f ca="1">TODAY()</f>
        <v>43620</v>
      </c>
      <c r="D15" s="137"/>
      <c r="E15" s="137"/>
      <c r="F15" s="137"/>
      <c r="G15" s="46"/>
      <c r="H15" s="46"/>
      <c r="I15" s="46"/>
      <c r="J15" s="46"/>
    </row>
    <row r="16" spans="1:11" ht="24" customHeight="1" x14ac:dyDescent="0.2">
      <c r="B16" s="46"/>
      <c r="C16" s="46"/>
      <c r="D16" s="46"/>
      <c r="E16" s="46"/>
      <c r="F16" s="46"/>
      <c r="G16" s="46"/>
      <c r="H16" s="46"/>
      <c r="I16" s="46"/>
      <c r="J16" s="46"/>
    </row>
    <row r="17" ht="24" customHeight="1" x14ac:dyDescent="0.2"/>
    <row r="18" ht="24" customHeight="1" x14ac:dyDescent="0.2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24">
    <mergeCell ref="A15:B15"/>
    <mergeCell ref="C15:F15"/>
    <mergeCell ref="B9:J9"/>
    <mergeCell ref="B10:J10"/>
    <mergeCell ref="A12:B12"/>
    <mergeCell ref="C12:J12"/>
    <mergeCell ref="A13:D13"/>
    <mergeCell ref="E13:J13"/>
    <mergeCell ref="A14:B14"/>
    <mergeCell ref="C14:D14"/>
    <mergeCell ref="I14:J14"/>
    <mergeCell ref="F14:G14"/>
    <mergeCell ref="B8:J8"/>
    <mergeCell ref="A1:J1"/>
    <mergeCell ref="B2:G2"/>
    <mergeCell ref="B3:J3"/>
    <mergeCell ref="B4:C4"/>
    <mergeCell ref="D4:F4"/>
    <mergeCell ref="G4:J4"/>
    <mergeCell ref="B5:C5"/>
    <mergeCell ref="E5:J5"/>
    <mergeCell ref="B6:E6"/>
    <mergeCell ref="F6:J6"/>
    <mergeCell ref="B7:J7"/>
  </mergeCells>
  <phoneticPr fontId="28" type="noConversion"/>
  <printOptions horizontalCentered="1"/>
  <pageMargins left="1.1811023622047001" right="0.98425196850394003" top="0.98425196850394003" bottom="0.98425196850394003" header="0.51181102362205" footer="0.51181102362205"/>
  <pageSetup paperSize="9" scale="9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view="pageLayout" zoomScale="25" workbookViewId="0">
      <selection activeCell="AR11" sqref="AR11"/>
    </sheetView>
  </sheetViews>
  <sheetFormatPr defaultColWidth="8.625" defaultRowHeight="14.25" x14ac:dyDescent="0.2"/>
  <cols>
    <col min="1" max="1" width="8.625" style="45"/>
    <col min="2" max="2" width="26.375" style="45" customWidth="1"/>
    <col min="3" max="3" width="6.375" style="45" customWidth="1"/>
    <col min="4" max="4" width="39" style="45" customWidth="1"/>
    <col min="5" max="5" width="8.625" style="45"/>
  </cols>
  <sheetData>
    <row r="1" spans="1:10" ht="65.45" customHeight="1" x14ac:dyDescent="0.2">
      <c r="A1" s="139" t="s">
        <v>138</v>
      </c>
      <c r="B1" s="139"/>
      <c r="C1" s="139"/>
      <c r="D1" s="139"/>
      <c r="E1" s="46"/>
      <c r="F1" s="46"/>
      <c r="G1" s="46"/>
      <c r="H1" s="46"/>
      <c r="I1" s="46"/>
      <c r="J1" s="46"/>
    </row>
    <row r="2" spans="1:10" ht="33.6" customHeight="1" x14ac:dyDescent="0.2">
      <c r="A2" s="49" t="s">
        <v>139</v>
      </c>
      <c r="B2" s="140" t="str">
        <f>数据区!C2</f>
        <v>重庆华宇消防</v>
      </c>
      <c r="C2" s="140"/>
      <c r="D2" s="140"/>
      <c r="E2" s="46"/>
      <c r="F2" s="46"/>
      <c r="G2" s="46"/>
      <c r="H2" s="46"/>
      <c r="I2" s="46"/>
      <c r="J2" s="46"/>
    </row>
    <row r="3" spans="1:10" ht="34.5" customHeight="1" x14ac:dyDescent="0.2">
      <c r="A3" s="50" t="s">
        <v>140</v>
      </c>
      <c r="B3" s="50" t="s">
        <v>141</v>
      </c>
      <c r="C3" s="51"/>
      <c r="D3" s="52" t="str">
        <f>数据区!H1</f>
        <v>测试工程名称</v>
      </c>
    </row>
    <row r="4" spans="1:10" ht="30.95" customHeight="1" x14ac:dyDescent="0.2">
      <c r="A4" s="141">
        <v>1</v>
      </c>
      <c r="B4" s="141" t="s">
        <v>142</v>
      </c>
      <c r="C4" s="50" t="s">
        <v>143</v>
      </c>
      <c r="D4" s="53" t="str">
        <f>预算书!E11</f>
        <v>捌万壹仟伍佰壹拾柒元贰角整</v>
      </c>
    </row>
    <row r="5" spans="1:10" ht="30.95" customHeight="1" x14ac:dyDescent="0.2">
      <c r="A5" s="141"/>
      <c r="B5" s="141"/>
      <c r="C5" s="50" t="s">
        <v>144</v>
      </c>
      <c r="D5" s="54">
        <f>数据区!L3</f>
        <v>81517.202495537887</v>
      </c>
    </row>
    <row r="6" spans="1:10" ht="71.45" customHeight="1" x14ac:dyDescent="0.2">
      <c r="A6" s="50">
        <v>2</v>
      </c>
      <c r="B6" s="50" t="s">
        <v>145</v>
      </c>
      <c r="C6" s="50"/>
      <c r="D6" s="55" t="s">
        <v>146</v>
      </c>
    </row>
    <row r="7" spans="1:10" ht="33.6" customHeight="1" x14ac:dyDescent="0.2">
      <c r="A7" s="50">
        <v>3</v>
      </c>
      <c r="B7" s="50" t="s">
        <v>147</v>
      </c>
      <c r="C7" s="50"/>
      <c r="D7" s="50" t="s">
        <v>148</v>
      </c>
    </row>
    <row r="8" spans="1:10" ht="33.6" customHeight="1" x14ac:dyDescent="0.2">
      <c r="A8" s="50">
        <v>4</v>
      </c>
      <c r="B8" s="50" t="s">
        <v>149</v>
      </c>
      <c r="C8" s="50"/>
      <c r="D8" s="50" t="s">
        <v>150</v>
      </c>
    </row>
    <row r="9" spans="1:10" ht="33.6" customHeight="1" x14ac:dyDescent="0.2">
      <c r="A9" s="50">
        <v>5</v>
      </c>
      <c r="B9" s="50" t="s">
        <v>151</v>
      </c>
      <c r="C9" s="50"/>
      <c r="D9" s="50"/>
    </row>
    <row r="10" spans="1:10" ht="73.5" customHeight="1" x14ac:dyDescent="0.15">
      <c r="A10" s="56" t="s">
        <v>152</v>
      </c>
      <c r="B10" s="142" t="str">
        <f>B2</f>
        <v>重庆华宇消防</v>
      </c>
      <c r="C10" s="142"/>
      <c r="D10" s="142"/>
    </row>
    <row r="11" spans="1:10" ht="30.6" customHeight="1" x14ac:dyDescent="0.15">
      <c r="A11" s="143" t="s">
        <v>153</v>
      </c>
      <c r="B11" s="143"/>
      <c r="C11" s="143"/>
      <c r="D11" s="143"/>
    </row>
    <row r="12" spans="1:10" ht="30.6" customHeight="1" x14ac:dyDescent="0.15">
      <c r="A12" s="56" t="s">
        <v>154</v>
      </c>
      <c r="B12" s="57">
        <f ca="1">TODAY()</f>
        <v>43620</v>
      </c>
      <c r="C12" s="56"/>
      <c r="D12" s="56"/>
    </row>
    <row r="13" spans="1:10" ht="22.5" customHeight="1" x14ac:dyDescent="0.2">
      <c r="A13" s="138"/>
      <c r="B13" s="138"/>
      <c r="C13" s="138"/>
      <c r="D13" s="138"/>
    </row>
    <row r="14" spans="1:10" ht="22.5" customHeight="1" x14ac:dyDescent="0.2">
      <c r="A14" s="138"/>
      <c r="B14" s="138"/>
      <c r="C14" s="138"/>
      <c r="D14" s="138"/>
    </row>
    <row r="15" spans="1:10" ht="22.5" customHeight="1" x14ac:dyDescent="0.2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8">
    <mergeCell ref="A13:D13"/>
    <mergeCell ref="A14:D14"/>
    <mergeCell ref="A1:D1"/>
    <mergeCell ref="B2:D2"/>
    <mergeCell ref="A4:A5"/>
    <mergeCell ref="B4:B5"/>
    <mergeCell ref="B10:D10"/>
    <mergeCell ref="A11:D11"/>
  </mergeCells>
  <phoneticPr fontId="28" type="noConversion"/>
  <printOptions horizontalCentered="1"/>
  <pageMargins left="0.70866141732282995" right="0.70866141732282995" top="0.74803149606299002" bottom="0.74803149606299002" header="0.31496062992126" footer="0.3149606299212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showGridLines="0" view="pageLayout" zoomScale="25" workbookViewId="0">
      <selection activeCell="M13" sqref="M13:M14"/>
    </sheetView>
  </sheetViews>
  <sheetFormatPr defaultRowHeight="14.25" x14ac:dyDescent="0.2"/>
  <cols>
    <col min="1" max="1" width="9.125" style="58" customWidth="1"/>
    <col min="2" max="2" width="7.625" style="58" customWidth="1"/>
    <col min="3" max="3" width="12.375" style="58" customWidth="1"/>
    <col min="4" max="6" width="9.125" style="58" customWidth="1"/>
    <col min="7" max="7" width="5.625" style="58" customWidth="1"/>
    <col min="8" max="8" width="16.75" style="58" customWidth="1"/>
    <col min="9" max="9" width="9.125" style="58" customWidth="1"/>
    <col min="10" max="10" width="8.625" style="58" customWidth="1"/>
  </cols>
  <sheetData>
    <row r="1" spans="1:9" ht="44.1" customHeight="1" x14ac:dyDescent="0.2"/>
    <row r="2" spans="1:9" ht="44.1" customHeight="1" x14ac:dyDescent="0.2"/>
    <row r="3" spans="1:9" ht="44.1" customHeight="1" x14ac:dyDescent="0.2"/>
    <row r="4" spans="1:9" ht="44.1" customHeight="1" x14ac:dyDescent="0.2"/>
    <row r="5" spans="1:9" ht="35.450000000000003" customHeight="1" x14ac:dyDescent="0.2">
      <c r="A5" s="145" t="s">
        <v>155</v>
      </c>
      <c r="B5" s="145"/>
      <c r="C5" s="145"/>
      <c r="D5" s="145"/>
      <c r="E5" s="145"/>
      <c r="F5" s="145"/>
      <c r="G5" s="145"/>
      <c r="H5" s="145"/>
      <c r="I5" s="62"/>
    </row>
    <row r="6" spans="1:9" ht="52.5" customHeight="1" x14ac:dyDescent="0.2"/>
    <row r="7" spans="1:9" ht="52.5" customHeight="1" x14ac:dyDescent="0.2"/>
    <row r="8" spans="1:9" ht="52.5" customHeight="1" x14ac:dyDescent="0.2"/>
    <row r="9" spans="1:9" s="59" customFormat="1" ht="42.6" customHeight="1" x14ac:dyDescent="0.2">
      <c r="C9" s="80" t="s">
        <v>156</v>
      </c>
      <c r="D9" s="146" t="str">
        <f>数据区!H1</f>
        <v>测试工程名称</v>
      </c>
      <c r="E9" s="146"/>
      <c r="F9" s="146"/>
      <c r="G9" s="146"/>
      <c r="H9" s="146"/>
      <c r="I9" s="61"/>
    </row>
    <row r="10" spans="1:9" s="59" customFormat="1" ht="42.6" customHeight="1" x14ac:dyDescent="0.2">
      <c r="C10" s="80" t="s">
        <v>157</v>
      </c>
      <c r="D10" s="80" t="s">
        <v>158</v>
      </c>
      <c r="E10" s="147">
        <f>数据区!L3</f>
        <v>81517.202495537887</v>
      </c>
      <c r="F10" s="147"/>
      <c r="G10" s="80" t="s">
        <v>159</v>
      </c>
      <c r="H10" s="80"/>
      <c r="I10" s="60"/>
    </row>
    <row r="11" spans="1:9" s="59" customFormat="1" ht="42.6" customHeight="1" x14ac:dyDescent="0.2">
      <c r="C11" s="80"/>
      <c r="D11" s="80" t="s">
        <v>160</v>
      </c>
      <c r="E11" s="148" t="str">
        <f>IF(E10=0,"",IF(E10&lt;0,"负","")&amp;SUBSTITUTE(SUBSTITUTE(SUBSTITUTE(SUBSTITUTE(TEXT(INT(ABS(E10)),"[DBNum2]")&amp;"元"&amp;TEXT(RIGHT(TEXT(E10,".00"),2),"[DBNum2]0角0分"),"零角零分","整"),"零分","整"),"零角","零"),"零元零",""))</f>
        <v>捌万壹仟伍佰壹拾柒元贰角整</v>
      </c>
      <c r="F11" s="146"/>
      <c r="G11" s="146"/>
      <c r="H11" s="146"/>
      <c r="I11" s="60"/>
    </row>
    <row r="12" spans="1:9" s="59" customFormat="1" ht="42.6" customHeight="1" x14ac:dyDescent="0.2">
      <c r="C12" s="80" t="s">
        <v>161</v>
      </c>
      <c r="D12" s="146" t="str">
        <f>数据区!C2</f>
        <v>重庆华宇消防</v>
      </c>
      <c r="E12" s="146"/>
      <c r="F12" s="146"/>
      <c r="G12" s="146"/>
      <c r="H12" s="146"/>
      <c r="I12" s="61"/>
    </row>
    <row r="13" spans="1:9" s="59" customFormat="1" ht="42.6" customHeight="1" x14ac:dyDescent="0.2">
      <c r="C13" s="80" t="s">
        <v>162</v>
      </c>
      <c r="D13" s="149" t="s">
        <v>163</v>
      </c>
      <c r="E13" s="149"/>
      <c r="F13" s="149"/>
      <c r="G13" s="149"/>
      <c r="H13" s="149"/>
      <c r="I13" s="60"/>
    </row>
    <row r="14" spans="1:9" s="59" customFormat="1" ht="42.6" customHeight="1" x14ac:dyDescent="0.2">
      <c r="C14" s="80" t="s">
        <v>164</v>
      </c>
      <c r="D14" s="144">
        <f ca="1">TODAY()</f>
        <v>43620</v>
      </c>
      <c r="E14" s="144"/>
      <c r="F14" s="144"/>
      <c r="G14" s="144"/>
      <c r="H14" s="144"/>
      <c r="I14" s="60"/>
    </row>
  </sheetData>
  <sheetProtection formatCells="0" formatColumns="0" formatRows="0" insertColumns="0" insertRows="0" insertHyperlinks="0" deleteColumns="0" deleteRows="0" sort="0" autoFilter="0" pivotTables="0"/>
  <mergeCells count="7">
    <mergeCell ref="D14:H14"/>
    <mergeCell ref="A5:H5"/>
    <mergeCell ref="D9:H9"/>
    <mergeCell ref="E10:F10"/>
    <mergeCell ref="E11:H11"/>
    <mergeCell ref="D12:H12"/>
    <mergeCell ref="D13:H13"/>
  </mergeCells>
  <phoneticPr fontId="2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showGridLines="0" view="pageLayout" zoomScale="25" workbookViewId="0">
      <selection activeCell="C12" sqref="C12:I12"/>
    </sheetView>
  </sheetViews>
  <sheetFormatPr defaultRowHeight="14.25" x14ac:dyDescent="0.15"/>
  <cols>
    <col min="1" max="1" width="4" style="63" customWidth="1"/>
    <col min="2" max="2" width="6.125" style="63" customWidth="1"/>
    <col min="3" max="8" width="8.625" style="63" customWidth="1"/>
    <col min="9" max="9" width="15.375" style="63" customWidth="1"/>
    <col min="10" max="10" width="9.125" style="63" customWidth="1"/>
    <col min="11" max="11" width="8.625" style="63" customWidth="1"/>
  </cols>
  <sheetData>
    <row r="1" spans="1:9" ht="57" customHeight="1" x14ac:dyDescent="0.15">
      <c r="A1" s="139" t="s">
        <v>165</v>
      </c>
      <c r="B1" s="139"/>
      <c r="C1" s="139"/>
      <c r="D1" s="139"/>
      <c r="E1" s="139"/>
      <c r="F1" s="139"/>
      <c r="G1" s="139"/>
      <c r="H1" s="139"/>
      <c r="I1" s="139"/>
    </row>
    <row r="2" spans="1:9" ht="38.450000000000003" customHeight="1" x14ac:dyDescent="0.15">
      <c r="A2" s="79" t="s">
        <v>122</v>
      </c>
      <c r="B2" s="150" t="str">
        <f>数据区!C1</f>
        <v>测试建设单位</v>
      </c>
      <c r="C2" s="150"/>
      <c r="D2" s="150"/>
      <c r="E2" s="150"/>
      <c r="F2" s="150"/>
      <c r="G2" s="150"/>
      <c r="H2" s="150"/>
      <c r="I2" s="150"/>
    </row>
    <row r="3" spans="1:9" ht="38.450000000000003" customHeight="1" x14ac:dyDescent="0.15">
      <c r="A3" s="131" t="s">
        <v>166</v>
      </c>
      <c r="B3" s="131"/>
      <c r="C3" s="131"/>
      <c r="D3" s="131"/>
      <c r="E3" s="131"/>
      <c r="F3" s="131"/>
      <c r="G3" s="131"/>
      <c r="H3" s="131"/>
      <c r="I3" s="131"/>
    </row>
    <row r="4" spans="1:9" ht="38.450000000000003" customHeight="1" x14ac:dyDescent="0.15">
      <c r="A4" s="131" t="s">
        <v>167</v>
      </c>
      <c r="B4" s="131"/>
      <c r="C4" s="131"/>
      <c r="D4" s="131"/>
      <c r="E4" s="131"/>
      <c r="F4" s="131"/>
      <c r="G4" s="131"/>
      <c r="H4" s="131"/>
      <c r="I4" s="131"/>
    </row>
    <row r="5" spans="1:9" ht="38.450000000000003" customHeight="1" x14ac:dyDescent="0.15">
      <c r="A5" s="131" t="s">
        <v>168</v>
      </c>
      <c r="B5" s="131"/>
      <c r="C5" s="131"/>
      <c r="D5" s="131"/>
      <c r="E5" s="131"/>
      <c r="F5" s="131"/>
      <c r="G5" s="131"/>
      <c r="H5" s="131"/>
      <c r="I5" s="131"/>
    </row>
    <row r="6" spans="1:9" ht="38.450000000000003" customHeight="1" x14ac:dyDescent="0.15">
      <c r="A6" s="131" t="s">
        <v>169</v>
      </c>
      <c r="B6" s="131"/>
      <c r="C6" s="131"/>
      <c r="D6" s="131"/>
      <c r="E6" s="131"/>
      <c r="F6" s="131"/>
      <c r="G6" s="131"/>
      <c r="H6" s="131"/>
      <c r="I6" s="131"/>
    </row>
    <row r="7" spans="1:9" ht="38.450000000000003" customHeight="1" x14ac:dyDescent="0.15">
      <c r="A7" s="131" t="s">
        <v>170</v>
      </c>
      <c r="B7" s="131"/>
      <c r="C7" s="131"/>
      <c r="D7" s="131"/>
      <c r="E7" s="131"/>
      <c r="F7" s="131"/>
      <c r="G7" s="131"/>
      <c r="H7" s="131"/>
      <c r="I7" s="131"/>
    </row>
    <row r="8" spans="1:9" ht="38.450000000000003" customHeight="1" x14ac:dyDescent="0.15">
      <c r="A8" s="131" t="s">
        <v>171</v>
      </c>
      <c r="B8" s="131"/>
      <c r="C8" s="131"/>
      <c r="D8" s="131"/>
      <c r="E8" s="131"/>
      <c r="F8" s="131"/>
      <c r="G8" s="131"/>
      <c r="H8" s="131"/>
      <c r="I8" s="131"/>
    </row>
    <row r="9" spans="1:9" ht="38.450000000000003" customHeight="1" x14ac:dyDescent="0.15">
      <c r="A9" s="64"/>
      <c r="B9" s="64"/>
      <c r="C9" s="64"/>
      <c r="D9" s="64"/>
      <c r="E9" s="64"/>
      <c r="F9" s="64"/>
      <c r="G9" s="64"/>
      <c r="H9" s="64"/>
      <c r="I9" s="64"/>
    </row>
    <row r="10" spans="1:9" ht="38.450000000000003" customHeight="1" x14ac:dyDescent="0.15">
      <c r="A10" s="131" t="s">
        <v>117</v>
      </c>
      <c r="B10" s="131"/>
      <c r="C10" s="130" t="str">
        <f>数据区!C2</f>
        <v>重庆华宇消防</v>
      </c>
      <c r="D10" s="130"/>
      <c r="E10" s="130"/>
      <c r="F10" s="130"/>
      <c r="G10" s="130"/>
      <c r="H10" s="130"/>
      <c r="I10" s="130"/>
    </row>
    <row r="11" spans="1:9" ht="38.450000000000003" customHeight="1" x14ac:dyDescent="0.15">
      <c r="A11" s="131" t="s">
        <v>118</v>
      </c>
      <c r="B11" s="131"/>
      <c r="C11" s="130" t="s">
        <v>172</v>
      </c>
      <c r="D11" s="130"/>
      <c r="E11" s="130"/>
      <c r="F11" s="130"/>
      <c r="G11" s="130"/>
      <c r="H11" s="130"/>
      <c r="I11" s="130"/>
    </row>
    <row r="12" spans="1:9" ht="38.450000000000003" customHeight="1" x14ac:dyDescent="0.15">
      <c r="A12" s="131" t="s">
        <v>173</v>
      </c>
      <c r="B12" s="131"/>
      <c r="C12" s="137">
        <f ca="1">TODAY()</f>
        <v>43620</v>
      </c>
      <c r="D12" s="137"/>
      <c r="E12" s="137"/>
      <c r="F12" s="137"/>
      <c r="G12" s="137"/>
      <c r="H12" s="137"/>
      <c r="I12" s="137"/>
    </row>
    <row r="13" spans="1:9" x14ac:dyDescent="0.15">
      <c r="A13" s="65"/>
      <c r="B13" s="65"/>
      <c r="C13" s="65"/>
      <c r="D13" s="65"/>
      <c r="E13" s="65"/>
      <c r="F13" s="65"/>
      <c r="G13" s="65"/>
      <c r="H13" s="65"/>
      <c r="I13" s="65"/>
    </row>
  </sheetData>
  <sheetProtection formatCells="0" formatColumns="0" formatRows="0" insertColumns="0" insertRows="0" insertHyperlinks="0" deleteColumns="0" deleteRows="0" sort="0" autoFilter="0" pivotTables="0"/>
  <mergeCells count="14">
    <mergeCell ref="A12:B12"/>
    <mergeCell ref="C12:I12"/>
    <mergeCell ref="A7:I7"/>
    <mergeCell ref="A8:I8"/>
    <mergeCell ref="A10:B10"/>
    <mergeCell ref="C10:I10"/>
    <mergeCell ref="A11:B11"/>
    <mergeCell ref="C11:I11"/>
    <mergeCell ref="A6:I6"/>
    <mergeCell ref="A1:I1"/>
    <mergeCell ref="B2:I2"/>
    <mergeCell ref="A3:I3"/>
    <mergeCell ref="A4:I4"/>
    <mergeCell ref="A5:I5"/>
  </mergeCells>
  <phoneticPr fontId="28" type="noConversion"/>
  <pageMargins left="1" right="1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showGridLines="0" view="pageLayout" zoomScale="25" workbookViewId="0">
      <selection activeCell="J13" sqref="J13"/>
    </sheetView>
  </sheetViews>
  <sheetFormatPr defaultRowHeight="14.25" x14ac:dyDescent="0.2"/>
  <cols>
    <col min="1" max="1" width="9.625" style="66" customWidth="1"/>
    <col min="2" max="2" width="21.25" style="72" customWidth="1"/>
    <col min="3" max="3" width="29" style="66" customWidth="1"/>
    <col min="4" max="4" width="11.625" style="66" customWidth="1"/>
    <col min="5" max="5" width="11.625" style="75" customWidth="1"/>
    <col min="6" max="6" width="8.625" style="66" customWidth="1"/>
  </cols>
  <sheetData>
    <row r="1" spans="1:6" ht="39.6" customHeight="1" x14ac:dyDescent="0.2">
      <c r="A1" s="139" t="s">
        <v>174</v>
      </c>
      <c r="B1" s="139"/>
      <c r="C1" s="139"/>
      <c r="D1" s="139"/>
      <c r="E1" s="139"/>
    </row>
    <row r="2" spans="1:6" ht="26.1" customHeight="1" x14ac:dyDescent="0.2">
      <c r="A2" s="68" t="s">
        <v>156</v>
      </c>
      <c r="B2" s="151" t="str">
        <f>数据区!H1</f>
        <v>测试工程名称</v>
      </c>
      <c r="C2" s="151"/>
      <c r="D2" s="68" t="s">
        <v>175</v>
      </c>
      <c r="E2" s="74" t="s">
        <v>176</v>
      </c>
      <c r="F2" s="68"/>
    </row>
    <row r="3" spans="1:6" ht="27.95" customHeight="1" x14ac:dyDescent="0.2">
      <c r="A3" s="100" t="s">
        <v>140</v>
      </c>
      <c r="B3" s="101" t="s">
        <v>177</v>
      </c>
      <c r="C3" s="101" t="s">
        <v>178</v>
      </c>
      <c r="D3" s="101" t="s">
        <v>179</v>
      </c>
      <c r="E3" s="102" t="s">
        <v>180</v>
      </c>
      <c r="F3" s="68"/>
    </row>
    <row r="4" spans="1:6" ht="27.95" customHeight="1" x14ac:dyDescent="0.2">
      <c r="A4" s="94">
        <v>1</v>
      </c>
      <c r="B4" s="70" t="s">
        <v>47</v>
      </c>
      <c r="C4" s="78" t="s">
        <v>181</v>
      </c>
      <c r="D4" s="77">
        <f t="shared" ref="D4:D11" si="0">E4/E$28</f>
        <v>2.6028018286289208E-2</v>
      </c>
      <c r="E4" s="103">
        <f>IF(数据区!J11=0,数据区!D8,数据区!D11)</f>
        <v>2121.7312372010001</v>
      </c>
      <c r="F4" s="68"/>
    </row>
    <row r="5" spans="1:6" ht="27.95" customHeight="1" x14ac:dyDescent="0.2">
      <c r="A5" s="94">
        <v>2</v>
      </c>
      <c r="B5" s="70" t="s">
        <v>48</v>
      </c>
      <c r="C5" s="78" t="s">
        <v>182</v>
      </c>
      <c r="D5" s="77">
        <f t="shared" si="0"/>
        <v>7.3604096022903034E-2</v>
      </c>
      <c r="E5" s="103">
        <f>IF(数据区!J11=0,数据区!E8,数据区!E11)</f>
        <v>6000</v>
      </c>
      <c r="F5" s="68"/>
    </row>
    <row r="6" spans="1:6" ht="27.95" customHeight="1" x14ac:dyDescent="0.2">
      <c r="A6" s="94">
        <v>3</v>
      </c>
      <c r="B6" s="70" t="s">
        <v>183</v>
      </c>
      <c r="C6" s="78" t="s">
        <v>184</v>
      </c>
      <c r="D6" s="77">
        <f t="shared" si="0"/>
        <v>0.62869609387171999</v>
      </c>
      <c r="E6" s="103">
        <f>IF(数据区!J11=0,数据区!A8,数据区!A11)</f>
        <v>51249.546792294685</v>
      </c>
      <c r="F6" s="68"/>
    </row>
    <row r="7" spans="1:6" ht="27.95" customHeight="1" x14ac:dyDescent="0.2">
      <c r="A7" s="94">
        <v>4</v>
      </c>
      <c r="B7" s="70" t="s">
        <v>45</v>
      </c>
      <c r="C7" s="78" t="s">
        <v>185</v>
      </c>
      <c r="D7" s="77">
        <f t="shared" si="0"/>
        <v>7.5820748920929437E-2</v>
      </c>
      <c r="E7" s="103">
        <f>IF(数据区!J11=0,数据区!B8,数据区!B11)</f>
        <v>6180.6953431507391</v>
      </c>
      <c r="F7" s="68"/>
    </row>
    <row r="8" spans="1:6" ht="27.95" customHeight="1" x14ac:dyDescent="0.2">
      <c r="A8" s="94">
        <v>5</v>
      </c>
      <c r="B8" s="70" t="s">
        <v>46</v>
      </c>
      <c r="C8" s="78" t="s">
        <v>186</v>
      </c>
      <c r="D8" s="77">
        <f t="shared" si="0"/>
        <v>1.9879370488223785E-2</v>
      </c>
      <c r="E8" s="103">
        <f>IF(数据区!J11=0,数据区!C8,数据区!C11)</f>
        <v>1620.510669572358</v>
      </c>
      <c r="F8" s="68"/>
    </row>
    <row r="9" spans="1:6" ht="27.95" customHeight="1" x14ac:dyDescent="0.2">
      <c r="A9" s="94">
        <v>6</v>
      </c>
      <c r="B9" s="70" t="s">
        <v>49</v>
      </c>
      <c r="C9" s="78" t="s">
        <v>187</v>
      </c>
      <c r="D9" s="77">
        <f t="shared" si="0"/>
        <v>7.223718118586063E-2</v>
      </c>
      <c r="E9" s="103">
        <f>IF(数据区!J11=0,数据区!F8,数据区!F11)</f>
        <v>5888.5729264346592</v>
      </c>
      <c r="F9" s="68"/>
    </row>
    <row r="10" spans="1:6" ht="27.95" customHeight="1" x14ac:dyDescent="0.2">
      <c r="A10" s="94">
        <v>7</v>
      </c>
      <c r="B10" s="70" t="s">
        <v>50</v>
      </c>
      <c r="C10" s="78" t="s">
        <v>188</v>
      </c>
      <c r="D10" s="77">
        <f t="shared" si="0"/>
        <v>1.2825400314983089E-2</v>
      </c>
      <c r="E10" s="103">
        <f>IF(数据区!J11=0,数据区!G8,数据区!G11)</f>
        <v>1045.4907545628116</v>
      </c>
      <c r="F10" s="68"/>
    </row>
    <row r="11" spans="1:6" ht="27.95" customHeight="1" x14ac:dyDescent="0.2">
      <c r="A11" s="94">
        <v>8</v>
      </c>
      <c r="B11" s="70" t="s">
        <v>51</v>
      </c>
      <c r="C11" s="78" t="s">
        <v>189</v>
      </c>
      <c r="D11" s="77">
        <f t="shared" si="0"/>
        <v>9.0909090909091037E-2</v>
      </c>
      <c r="E11" s="103">
        <f>IF(数据区!J11=0,数据区!I8,数据区!I11)</f>
        <v>7410.6547723216354</v>
      </c>
      <c r="F11" s="68"/>
    </row>
    <row r="12" spans="1:6" ht="27.95" customHeight="1" x14ac:dyDescent="0.2">
      <c r="A12" s="94"/>
      <c r="B12" s="70"/>
      <c r="C12" s="69"/>
      <c r="D12" s="73"/>
      <c r="E12" s="103"/>
      <c r="F12" s="68"/>
    </row>
    <row r="13" spans="1:6" ht="27.95" customHeight="1" x14ac:dyDescent="0.2">
      <c r="A13" s="94"/>
      <c r="B13" s="70"/>
      <c r="C13" s="69"/>
      <c r="D13" s="69"/>
      <c r="E13" s="104"/>
      <c r="F13" s="68"/>
    </row>
    <row r="14" spans="1:6" ht="27.95" customHeight="1" x14ac:dyDescent="0.2">
      <c r="A14" s="94"/>
      <c r="B14" s="70"/>
      <c r="C14" s="69"/>
      <c r="D14" s="69"/>
      <c r="E14" s="104"/>
      <c r="F14" s="68"/>
    </row>
    <row r="15" spans="1:6" ht="27.95" customHeight="1" x14ac:dyDescent="0.2">
      <c r="A15" s="94"/>
      <c r="B15" s="70"/>
      <c r="C15" s="69"/>
      <c r="D15" s="69"/>
      <c r="E15" s="104"/>
      <c r="F15" s="68"/>
    </row>
    <row r="16" spans="1:6" ht="27.95" customHeight="1" x14ac:dyDescent="0.2">
      <c r="A16" s="94"/>
      <c r="B16" s="70"/>
      <c r="C16" s="69"/>
      <c r="D16" s="69"/>
      <c r="E16" s="104"/>
      <c r="F16" s="68"/>
    </row>
    <row r="17" spans="1:6" ht="27.95" customHeight="1" x14ac:dyDescent="0.2">
      <c r="A17" s="94"/>
      <c r="B17" s="70"/>
      <c r="C17" s="69"/>
      <c r="D17" s="69"/>
      <c r="E17" s="104"/>
      <c r="F17" s="68"/>
    </row>
    <row r="18" spans="1:6" ht="27.95" customHeight="1" x14ac:dyDescent="0.2">
      <c r="A18" s="94"/>
      <c r="B18" s="70"/>
      <c r="C18" s="69"/>
      <c r="D18" s="69"/>
      <c r="E18" s="104"/>
      <c r="F18" s="68"/>
    </row>
    <row r="19" spans="1:6" ht="27.95" customHeight="1" x14ac:dyDescent="0.2">
      <c r="A19" s="94"/>
      <c r="B19" s="70"/>
      <c r="C19" s="69"/>
      <c r="D19" s="69"/>
      <c r="E19" s="104"/>
      <c r="F19" s="68"/>
    </row>
    <row r="20" spans="1:6" ht="27.95" customHeight="1" x14ac:dyDescent="0.2">
      <c r="A20" s="94"/>
      <c r="B20" s="70"/>
      <c r="C20" s="69"/>
      <c r="D20" s="69"/>
      <c r="E20" s="104"/>
      <c r="F20" s="68"/>
    </row>
    <row r="21" spans="1:6" ht="27.95" customHeight="1" x14ac:dyDescent="0.2">
      <c r="A21" s="94"/>
      <c r="B21" s="70"/>
      <c r="C21" s="69"/>
      <c r="D21" s="69"/>
      <c r="E21" s="104"/>
      <c r="F21" s="68"/>
    </row>
    <row r="22" spans="1:6" ht="27.95" customHeight="1" x14ac:dyDescent="0.2">
      <c r="A22" s="94"/>
      <c r="B22" s="70"/>
      <c r="C22" s="69"/>
      <c r="D22" s="69"/>
      <c r="E22" s="104"/>
      <c r="F22" s="68"/>
    </row>
    <row r="23" spans="1:6" ht="27.95" customHeight="1" x14ac:dyDescent="0.2">
      <c r="A23" s="94"/>
      <c r="B23" s="70"/>
      <c r="C23" s="69"/>
      <c r="D23" s="69"/>
      <c r="E23" s="104"/>
      <c r="F23" s="68"/>
    </row>
    <row r="24" spans="1:6" ht="27.95" customHeight="1" x14ac:dyDescent="0.2">
      <c r="A24" s="94"/>
      <c r="B24" s="70"/>
      <c r="C24" s="69"/>
      <c r="D24" s="69"/>
      <c r="E24" s="104"/>
      <c r="F24" s="68"/>
    </row>
    <row r="25" spans="1:6" ht="27.95" customHeight="1" x14ac:dyDescent="0.2">
      <c r="A25" s="94"/>
      <c r="B25" s="70"/>
      <c r="C25" s="69"/>
      <c r="D25" s="69"/>
      <c r="E25" s="104"/>
      <c r="F25" s="68"/>
    </row>
    <row r="26" spans="1:6" ht="27.95" customHeight="1" x14ac:dyDescent="0.2">
      <c r="A26" s="105"/>
      <c r="B26" s="71"/>
      <c r="C26" s="67"/>
      <c r="D26" s="67"/>
      <c r="E26" s="106"/>
    </row>
    <row r="27" spans="1:6" ht="27.95" customHeight="1" x14ac:dyDescent="0.2">
      <c r="A27" s="105"/>
      <c r="B27" s="71"/>
      <c r="C27" s="67"/>
      <c r="D27" s="67"/>
      <c r="E27" s="106"/>
    </row>
    <row r="28" spans="1:6" ht="27.95" customHeight="1" x14ac:dyDescent="0.2">
      <c r="A28" s="152" t="s">
        <v>85</v>
      </c>
      <c r="B28" s="153"/>
      <c r="C28" s="153"/>
      <c r="D28" s="154"/>
      <c r="E28" s="107">
        <f>SUM(E4:E11)</f>
        <v>81517.202495537873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B2:C2"/>
    <mergeCell ref="A1:E1"/>
    <mergeCell ref="A28:D28"/>
  </mergeCells>
  <phoneticPr fontId="28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showGridLines="0" tabSelected="1" topLeftCell="A118" workbookViewId="0">
      <selection activeCell="H126" sqref="H126"/>
    </sheetView>
  </sheetViews>
  <sheetFormatPr defaultRowHeight="14.25" x14ac:dyDescent="0.2"/>
  <cols>
    <col min="1" max="1" width="4.125" style="68" customWidth="1"/>
    <col min="2" max="2" width="11.375" style="68" customWidth="1"/>
    <col min="3" max="3" width="7.625" style="68" customWidth="1"/>
    <col min="4" max="4" width="26.125" style="86" customWidth="1"/>
    <col min="5" max="5" width="7.125" style="68" customWidth="1"/>
    <col min="6" max="6" width="7.625" style="68" customWidth="1"/>
    <col min="7" max="7" width="11.375" style="68" customWidth="1"/>
    <col min="8" max="8" width="8.625" style="68" customWidth="1"/>
  </cols>
  <sheetData>
    <row r="1" spans="1:8" ht="43.5" customHeight="1" x14ac:dyDescent="0.2">
      <c r="A1" s="158" t="s">
        <v>190</v>
      </c>
      <c r="B1" s="158"/>
      <c r="C1" s="158"/>
      <c r="D1" s="158"/>
      <c r="E1" s="158"/>
      <c r="F1" s="158"/>
      <c r="G1" s="158"/>
      <c r="H1" s="158"/>
    </row>
    <row r="2" spans="1:8" ht="23.1" customHeight="1" x14ac:dyDescent="0.2">
      <c r="A2" s="159" t="s">
        <v>191</v>
      </c>
      <c r="B2" s="159"/>
      <c r="C2" s="159"/>
      <c r="D2" s="159"/>
      <c r="E2" s="159"/>
      <c r="F2" s="90"/>
      <c r="G2" s="90" t="s">
        <v>175</v>
      </c>
      <c r="H2" s="90" t="s">
        <v>192</v>
      </c>
    </row>
    <row r="3" spans="1:8" ht="23.1" customHeight="1" x14ac:dyDescent="0.2">
      <c r="A3" s="91" t="s">
        <v>140</v>
      </c>
      <c r="B3" s="92" t="s">
        <v>177</v>
      </c>
      <c r="C3" s="92" t="s">
        <v>27</v>
      </c>
      <c r="D3" s="92" t="s">
        <v>193</v>
      </c>
      <c r="E3" s="92" t="s">
        <v>28</v>
      </c>
      <c r="F3" s="92" t="s">
        <v>29</v>
      </c>
      <c r="G3" s="92" t="s">
        <v>194</v>
      </c>
      <c r="H3" s="93" t="s">
        <v>195</v>
      </c>
    </row>
    <row r="4" spans="1:8" ht="75.95" customHeight="1" x14ac:dyDescent="0.2">
      <c r="A4" s="94">
        <v>1</v>
      </c>
      <c r="B4" s="82" t="s">
        <v>41</v>
      </c>
      <c r="C4" s="82" t="s">
        <v>42</v>
      </c>
      <c r="D4" s="83" t="s">
        <v>196</v>
      </c>
      <c r="E4" s="82" t="s">
        <v>43</v>
      </c>
      <c r="F4" s="84">
        <f>数据区!V6</f>
        <v>327.82719225412961</v>
      </c>
      <c r="G4" s="14">
        <f>IF(数据区!J$11=0,数据区!W6,数据区!Z6)</f>
        <v>30.695999998826665</v>
      </c>
      <c r="H4" s="95">
        <f>IF(数据区!J$11=0,数据区!X6,数据区!AA6)</f>
        <v>10062.983493048112</v>
      </c>
    </row>
    <row r="5" spans="1:8" ht="75.95" customHeight="1" x14ac:dyDescent="0.2">
      <c r="A5" s="94">
        <v>2</v>
      </c>
      <c r="B5" s="82" t="s">
        <v>41</v>
      </c>
      <c r="C5" s="82" t="s">
        <v>52</v>
      </c>
      <c r="D5" s="83" t="s">
        <v>196</v>
      </c>
      <c r="E5" s="82" t="s">
        <v>43</v>
      </c>
      <c r="F5" s="84">
        <f>数据区!V7</f>
        <v>108.83862782837103</v>
      </c>
      <c r="G5" s="14">
        <f>IF(数据区!J$11=0,数据区!W7,数据区!Z7)</f>
        <v>40.768124998441664</v>
      </c>
      <c r="H5" s="95">
        <f>IF(数据区!J$11=0,数据区!X7,数据区!AA7)</f>
        <v>4437.1467839659017</v>
      </c>
    </row>
    <row r="6" spans="1:8" ht="75.95" customHeight="1" x14ac:dyDescent="0.2">
      <c r="A6" s="94">
        <v>3</v>
      </c>
      <c r="B6" s="82" t="s">
        <v>41</v>
      </c>
      <c r="C6" s="82" t="s">
        <v>53</v>
      </c>
      <c r="D6" s="83" t="s">
        <v>196</v>
      </c>
      <c r="E6" s="82" t="s">
        <v>43</v>
      </c>
      <c r="F6" s="84">
        <f>数据区!V8</f>
        <v>184.56670923907495</v>
      </c>
      <c r="G6" s="14">
        <f>IF(数据区!J$11=0,数据区!W8,数据区!Z8)</f>
        <v>47.00324999820333</v>
      </c>
      <c r="H6" s="95">
        <f>IF(数据区!J$11=0,数据区!X8,数据区!AA8)</f>
        <v>8675.2351757099441</v>
      </c>
    </row>
    <row r="7" spans="1:8" ht="75.95" customHeight="1" x14ac:dyDescent="0.2">
      <c r="A7" s="94">
        <v>4</v>
      </c>
      <c r="B7" s="82" t="s">
        <v>41</v>
      </c>
      <c r="C7" s="82" t="s">
        <v>55</v>
      </c>
      <c r="D7" s="83" t="s">
        <v>196</v>
      </c>
      <c r="E7" s="82" t="s">
        <v>43</v>
      </c>
      <c r="F7" s="84">
        <f>数据区!V9</f>
        <v>60.648030567013976</v>
      </c>
      <c r="G7" s="14">
        <f>IF(数据区!J$11=0,数据区!W9,数据区!Z9)</f>
        <v>64.749374997524995</v>
      </c>
      <c r="H7" s="95">
        <f>IF(数据区!J$11=0,数据区!X9,数据区!AA9)</f>
        <v>3926.9220740449464</v>
      </c>
    </row>
    <row r="8" spans="1:8" ht="75.95" customHeight="1" x14ac:dyDescent="0.2">
      <c r="A8" s="94">
        <v>5</v>
      </c>
      <c r="B8" s="82" t="s">
        <v>41</v>
      </c>
      <c r="C8" s="82" t="s">
        <v>56</v>
      </c>
      <c r="D8" s="83" t="s">
        <v>196</v>
      </c>
      <c r="E8" s="82" t="s">
        <v>43</v>
      </c>
      <c r="F8" s="84">
        <f>数据区!V10</f>
        <v>57.697585836726809</v>
      </c>
      <c r="G8" s="14">
        <f>IF(数据区!J$11=0,数据区!W10,数据区!Z10)</f>
        <v>85.373249996736661</v>
      </c>
      <c r="H8" s="95">
        <f>IF(数据区!J$11=0,数据区!X10,数据区!AA10)</f>
        <v>4925.8304198470505</v>
      </c>
    </row>
    <row r="9" spans="1:8" ht="75.95" customHeight="1" x14ac:dyDescent="0.2">
      <c r="A9" s="94">
        <v>6</v>
      </c>
      <c r="B9" s="82" t="s">
        <v>41</v>
      </c>
      <c r="C9" s="82" t="s">
        <v>57</v>
      </c>
      <c r="D9" s="83" t="s">
        <v>196</v>
      </c>
      <c r="E9" s="82" t="s">
        <v>43</v>
      </c>
      <c r="F9" s="84">
        <f>数据区!V11</f>
        <v>36.060991147954255</v>
      </c>
      <c r="G9" s="14">
        <f>IF(数据区!J$11=0,数据区!W11,数据区!Z11)</f>
        <v>100.72124999615001</v>
      </c>
      <c r="H9" s="95">
        <f>IF(数据区!J$11=0,数据区!X11,数据区!AA11)</f>
        <v>3632.1081045220531</v>
      </c>
    </row>
    <row r="10" spans="1:8" ht="75.95" customHeight="1" x14ac:dyDescent="0.2">
      <c r="A10" s="94">
        <v>7</v>
      </c>
      <c r="B10" s="82" t="s">
        <v>41</v>
      </c>
      <c r="C10" s="82" t="s">
        <v>60</v>
      </c>
      <c r="D10" s="83" t="s">
        <v>196</v>
      </c>
      <c r="E10" s="82" t="s">
        <v>43</v>
      </c>
      <c r="F10" s="84">
        <f>数据区!V12</f>
        <v>2.7255400272299872</v>
      </c>
      <c r="G10" s="14">
        <f>IF(数据区!J$11=0,数据区!W12,数据区!Z12)</f>
        <v>136.69312499477502</v>
      </c>
      <c r="H10" s="95">
        <f>IF(数据区!J$11=0,数据区!X12,数据区!AA12)</f>
        <v>372.56258362041115</v>
      </c>
    </row>
    <row r="11" spans="1:8" ht="75.95" customHeight="1" x14ac:dyDescent="0.2">
      <c r="A11" s="94">
        <v>8</v>
      </c>
      <c r="B11" s="82" t="s">
        <v>41</v>
      </c>
      <c r="C11" s="82" t="s">
        <v>69</v>
      </c>
      <c r="D11" s="83" t="s">
        <v>196</v>
      </c>
      <c r="E11" s="82" t="s">
        <v>43</v>
      </c>
      <c r="F11" s="84">
        <f>数据区!V13</f>
        <v>1.5247776376111817</v>
      </c>
      <c r="G11" s="14">
        <f>IF(数据区!J$11=0,数据区!W13,数据区!Z13)</f>
        <v>245.56799999061332</v>
      </c>
      <c r="H11" s="95">
        <f>IF(数据区!J$11=0,数据区!X13,数据区!AA13)</f>
        <v>374.43659489859004</v>
      </c>
    </row>
    <row r="12" spans="1:8" ht="75.599999999999994" customHeight="1" x14ac:dyDescent="0.2">
      <c r="A12" s="94">
        <v>9</v>
      </c>
      <c r="B12" s="82" t="s">
        <v>70</v>
      </c>
      <c r="C12" s="82" t="s">
        <v>197</v>
      </c>
      <c r="D12" s="83" t="s">
        <v>198</v>
      </c>
      <c r="E12" s="82" t="s">
        <v>72</v>
      </c>
      <c r="F12" s="85">
        <f>数据区!V14</f>
        <v>190.59720482846254</v>
      </c>
      <c r="G12" s="14">
        <f>IF(数据区!J$11=0,数据区!W14,数据区!Z14)</f>
        <v>21.583124999174998</v>
      </c>
      <c r="H12" s="95">
        <f>IF(数据区!J$11=0,数据区!X14,数据区!AA14)</f>
        <v>4113.6832963060679</v>
      </c>
    </row>
    <row r="13" spans="1:8" ht="36.6" customHeight="1" x14ac:dyDescent="0.2">
      <c r="A13" s="155" t="s">
        <v>199</v>
      </c>
      <c r="B13" s="156"/>
      <c r="C13" s="156"/>
      <c r="D13" s="156"/>
      <c r="E13" s="156"/>
      <c r="F13" s="156"/>
      <c r="G13" s="157"/>
      <c r="H13" s="96">
        <f>SUM(H4:H12)</f>
        <v>40520.908525963074</v>
      </c>
    </row>
    <row r="14" spans="1:8" ht="42.6" customHeight="1" x14ac:dyDescent="0.2">
      <c r="A14" s="158" t="s">
        <v>190</v>
      </c>
      <c r="B14" s="158"/>
      <c r="C14" s="158"/>
      <c r="D14" s="158"/>
      <c r="E14" s="158"/>
      <c r="F14" s="158"/>
      <c r="G14" s="158"/>
      <c r="H14" s="158"/>
    </row>
    <row r="15" spans="1:8" ht="20.100000000000001" customHeight="1" x14ac:dyDescent="0.2">
      <c r="A15" s="159" t="s">
        <v>191</v>
      </c>
      <c r="B15" s="159"/>
      <c r="C15" s="159"/>
      <c r="D15" s="159"/>
      <c r="E15" s="159"/>
      <c r="F15" s="90"/>
      <c r="G15" s="90" t="s">
        <v>200</v>
      </c>
      <c r="H15" s="90" t="s">
        <v>192</v>
      </c>
    </row>
    <row r="16" spans="1:8" ht="20.100000000000001" customHeight="1" x14ac:dyDescent="0.2">
      <c r="A16" s="91" t="s">
        <v>140</v>
      </c>
      <c r="B16" s="92" t="s">
        <v>177</v>
      </c>
      <c r="C16" s="92" t="s">
        <v>27</v>
      </c>
      <c r="D16" s="92" t="s">
        <v>193</v>
      </c>
      <c r="E16" s="92" t="s">
        <v>28</v>
      </c>
      <c r="F16" s="92" t="s">
        <v>29</v>
      </c>
      <c r="G16" s="92" t="s">
        <v>194</v>
      </c>
      <c r="H16" s="93" t="s">
        <v>195</v>
      </c>
    </row>
    <row r="17" spans="1:8" ht="49.5" customHeight="1" x14ac:dyDescent="0.2">
      <c r="A17" s="94">
        <v>1</v>
      </c>
      <c r="B17" s="82" t="s">
        <v>74</v>
      </c>
      <c r="C17" s="82" t="s">
        <v>42</v>
      </c>
      <c r="D17" s="83" t="s">
        <v>201</v>
      </c>
      <c r="E17" s="82" t="s">
        <v>72</v>
      </c>
      <c r="F17" s="85">
        <f>数据区!V15</f>
        <v>10</v>
      </c>
      <c r="G17" s="14">
        <f>IF(数据区!J$11=0,数据区!W15,数据区!Z15)</f>
        <v>328.06349998745998</v>
      </c>
      <c r="H17" s="95">
        <f>IF(数据区!J$11=0,数据区!X15,数据区!AA15)</f>
        <v>3280.6349998746</v>
      </c>
    </row>
    <row r="18" spans="1:8" ht="49.5" customHeight="1" x14ac:dyDescent="0.2">
      <c r="A18" s="94">
        <v>2</v>
      </c>
      <c r="B18" s="82" t="s">
        <v>75</v>
      </c>
      <c r="C18" s="82" t="s">
        <v>42</v>
      </c>
      <c r="D18" s="83" t="s">
        <v>201</v>
      </c>
      <c r="E18" s="82" t="s">
        <v>72</v>
      </c>
      <c r="F18" s="85">
        <f>数据区!V16</f>
        <v>10</v>
      </c>
      <c r="G18" s="14">
        <f>IF(数据区!J$11=0,数据区!W16,数据区!Z16)</f>
        <v>71.943749997249995</v>
      </c>
      <c r="H18" s="95">
        <f>IF(数据区!J$11=0,数据区!X16,数据区!AA16)</f>
        <v>719.43749997249995</v>
      </c>
    </row>
    <row r="19" spans="1:8" ht="49.5" customHeight="1" x14ac:dyDescent="0.2">
      <c r="A19" s="94">
        <v>3</v>
      </c>
      <c r="B19" s="82" t="s">
        <v>77</v>
      </c>
      <c r="C19" s="82" t="str">
        <f>数据区!T17</f>
        <v>DN100</v>
      </c>
      <c r="D19" s="83" t="s">
        <v>201</v>
      </c>
      <c r="E19" s="82" t="s">
        <v>72</v>
      </c>
      <c r="F19" s="85">
        <f>数据区!V17</f>
        <v>0.75000000050000004</v>
      </c>
      <c r="G19" s="14">
        <f>IF(数据区!J$11=0,数据区!W17,数据区!Z17)</f>
        <v>664.7602499745899</v>
      </c>
      <c r="H19" s="95">
        <f>IF(数据区!J$11=0,数据区!X17,数据区!AA17)</f>
        <v>498.57018781332255</v>
      </c>
    </row>
    <row r="20" spans="1:8" ht="49.5" customHeight="1" x14ac:dyDescent="0.2">
      <c r="A20" s="94">
        <v>4</v>
      </c>
      <c r="B20" s="82" t="s">
        <v>78</v>
      </c>
      <c r="C20" s="82" t="str">
        <f>数据区!T18</f>
        <v>DN100</v>
      </c>
      <c r="D20" s="83" t="s">
        <v>201</v>
      </c>
      <c r="E20" s="82" t="s">
        <v>72</v>
      </c>
      <c r="F20" s="85">
        <f>数据区!V18</f>
        <v>0.75000000050000004</v>
      </c>
      <c r="G20" s="14">
        <f>IF(数据区!J$11=0,数据区!W18,数据区!Z18)</f>
        <v>1021.60124996095</v>
      </c>
      <c r="H20" s="95">
        <f>IF(数据区!J$11=0,数据区!X18,数据区!AA18)</f>
        <v>766.20093798151311</v>
      </c>
    </row>
    <row r="21" spans="1:8" ht="49.5" customHeight="1" x14ac:dyDescent="0.2">
      <c r="A21" s="94">
        <v>5</v>
      </c>
      <c r="B21" s="82" t="s">
        <v>79</v>
      </c>
      <c r="C21" s="82" t="str">
        <f>数据区!T19</f>
        <v>DN100</v>
      </c>
      <c r="D21" s="83" t="s">
        <v>201</v>
      </c>
      <c r="E21" s="82" t="s">
        <v>72</v>
      </c>
      <c r="F21" s="85">
        <f>数据区!V19</f>
        <v>1.5000000010000001</v>
      </c>
      <c r="G21" s="14">
        <f>IF(数据区!J$11=0,数据区!W19,数据区!Z19)</f>
        <v>195.68699999251999</v>
      </c>
      <c r="H21" s="95">
        <f>IF(数据区!J$11=0,数据区!X19,数据区!AA19)</f>
        <v>293.53050018446697</v>
      </c>
    </row>
    <row r="22" spans="1:8" ht="64.5" customHeight="1" x14ac:dyDescent="0.2">
      <c r="A22" s="94">
        <v>6</v>
      </c>
      <c r="B22" s="82" t="s">
        <v>80</v>
      </c>
      <c r="C22" s="82" t="s">
        <v>81</v>
      </c>
      <c r="D22" s="83" t="s">
        <v>202</v>
      </c>
      <c r="E22" s="82" t="s">
        <v>82</v>
      </c>
      <c r="F22" s="84">
        <f>数据区!V20</f>
        <v>288.8479461252266</v>
      </c>
      <c r="G22" s="14">
        <f>IF(数据区!J$11=0,数据区!W20,数据区!Z20)</f>
        <v>15.4822949994082</v>
      </c>
      <c r="H22" s="95">
        <f>IF(数据区!J$11=0,数据区!X20,数据区!AA20)</f>
        <v>4472.029111883925</v>
      </c>
    </row>
    <row r="23" spans="1:8" ht="25.5" customHeight="1" x14ac:dyDescent="0.2">
      <c r="A23" s="94">
        <v>7</v>
      </c>
      <c r="B23" s="82" t="s">
        <v>83</v>
      </c>
      <c r="C23" s="82" t="s">
        <v>84</v>
      </c>
      <c r="D23" s="83" t="s">
        <v>203</v>
      </c>
      <c r="E23" s="82" t="s">
        <v>82</v>
      </c>
      <c r="F23" s="84">
        <f>数据区!V21</f>
        <v>288.8479461252266</v>
      </c>
      <c r="G23" s="14">
        <f>IF(数据区!J$11=0,数据区!W21,数据区!Z21)</f>
        <v>2.4173099999075998</v>
      </c>
      <c r="H23" s="95">
        <f>IF(数据区!J$11=0,数据区!X21,数据区!AA21)</f>
        <v>698.23502862128191</v>
      </c>
    </row>
    <row r="24" spans="1:8" ht="25.5" customHeight="1" x14ac:dyDescent="0.2">
      <c r="A24" s="94"/>
      <c r="B24" s="82"/>
      <c r="C24" s="82"/>
      <c r="D24" s="83"/>
      <c r="E24" s="82"/>
      <c r="F24" s="84"/>
      <c r="G24" s="14"/>
      <c r="H24" s="95"/>
    </row>
    <row r="25" spans="1:8" ht="25.5" customHeight="1" x14ac:dyDescent="0.2">
      <c r="A25" s="94"/>
      <c r="B25" s="82"/>
      <c r="C25" s="82"/>
      <c r="D25" s="83"/>
      <c r="E25" s="82"/>
      <c r="F25" s="84"/>
      <c r="G25" s="14"/>
      <c r="H25" s="95"/>
    </row>
    <row r="26" spans="1:8" ht="25.5" customHeight="1" x14ac:dyDescent="0.2">
      <c r="A26" s="94"/>
      <c r="B26" s="82"/>
      <c r="C26" s="82"/>
      <c r="D26" s="83"/>
      <c r="E26" s="82"/>
      <c r="F26" s="84"/>
      <c r="G26" s="14"/>
      <c r="H26" s="95"/>
    </row>
    <row r="27" spans="1:8" ht="25.5" customHeight="1" x14ac:dyDescent="0.2">
      <c r="A27" s="94"/>
      <c r="B27" s="82"/>
      <c r="C27" s="82"/>
      <c r="D27" s="83"/>
      <c r="E27" s="82"/>
      <c r="F27" s="84"/>
      <c r="G27" s="14"/>
      <c r="H27" s="95"/>
    </row>
    <row r="28" spans="1:8" ht="25.5" customHeight="1" x14ac:dyDescent="0.2">
      <c r="A28" s="94"/>
      <c r="B28" s="82"/>
      <c r="C28" s="82"/>
      <c r="D28" s="83"/>
      <c r="E28" s="82"/>
      <c r="F28" s="84"/>
      <c r="G28" s="14"/>
      <c r="H28" s="95"/>
    </row>
    <row r="29" spans="1:8" ht="25.5" customHeight="1" x14ac:dyDescent="0.2">
      <c r="A29" s="94"/>
      <c r="B29" s="82"/>
      <c r="C29" s="82"/>
      <c r="D29" s="83"/>
      <c r="E29" s="82"/>
      <c r="F29" s="84"/>
      <c r="G29" s="14"/>
      <c r="H29" s="95"/>
    </row>
    <row r="30" spans="1:8" ht="25.5" customHeight="1" x14ac:dyDescent="0.2">
      <c r="A30" s="94"/>
      <c r="B30" s="82"/>
      <c r="C30" s="82"/>
      <c r="D30" s="83"/>
      <c r="E30" s="82"/>
      <c r="F30" s="84"/>
      <c r="G30" s="14"/>
      <c r="H30" s="95"/>
    </row>
    <row r="31" spans="1:8" ht="25.5" customHeight="1" x14ac:dyDescent="0.2">
      <c r="A31" s="94"/>
      <c r="B31" s="82"/>
      <c r="C31" s="82"/>
      <c r="D31" s="83"/>
      <c r="E31" s="82"/>
      <c r="F31" s="84"/>
      <c r="G31" s="14"/>
      <c r="H31" s="95"/>
    </row>
    <row r="32" spans="1:8" ht="25.5" customHeight="1" x14ac:dyDescent="0.2">
      <c r="A32" s="94"/>
      <c r="B32" s="82"/>
      <c r="C32" s="82"/>
      <c r="D32" s="83"/>
      <c r="E32" s="82"/>
      <c r="F32" s="84"/>
      <c r="G32" s="14"/>
      <c r="H32" s="95"/>
    </row>
    <row r="33" spans="1:8" ht="25.5" customHeight="1" x14ac:dyDescent="0.2">
      <c r="A33" s="94"/>
      <c r="B33" s="82"/>
      <c r="C33" s="82"/>
      <c r="D33" s="83"/>
      <c r="E33" s="82"/>
      <c r="F33" s="84"/>
      <c r="G33" s="14"/>
      <c r="H33" s="95"/>
    </row>
    <row r="34" spans="1:8" ht="25.5" customHeight="1" x14ac:dyDescent="0.2">
      <c r="A34" s="94"/>
      <c r="B34" s="82"/>
      <c r="C34" s="82"/>
      <c r="D34" s="83"/>
      <c r="E34" s="82"/>
      <c r="F34" s="84"/>
      <c r="G34" s="14"/>
      <c r="H34" s="95"/>
    </row>
    <row r="35" spans="1:8" ht="25.5" customHeight="1" x14ac:dyDescent="0.2">
      <c r="A35" s="94"/>
      <c r="B35" s="82"/>
      <c r="C35" s="82"/>
      <c r="D35" s="83"/>
      <c r="E35" s="82"/>
      <c r="F35" s="84"/>
      <c r="G35" s="14"/>
      <c r="H35" s="95"/>
    </row>
    <row r="36" spans="1:8" ht="25.5" customHeight="1" x14ac:dyDescent="0.2">
      <c r="A36" s="94"/>
      <c r="B36" s="82"/>
      <c r="C36" s="82"/>
      <c r="D36" s="83"/>
      <c r="E36" s="82"/>
      <c r="F36" s="84"/>
      <c r="G36" s="14"/>
      <c r="H36" s="95"/>
    </row>
    <row r="37" spans="1:8" ht="25.5" customHeight="1" x14ac:dyDescent="0.2">
      <c r="A37" s="94"/>
      <c r="B37" s="82"/>
      <c r="C37" s="82"/>
      <c r="D37" s="83"/>
      <c r="E37" s="82"/>
      <c r="F37" s="84"/>
      <c r="G37" s="14"/>
      <c r="H37" s="95"/>
    </row>
    <row r="38" spans="1:8" ht="25.5" customHeight="1" x14ac:dyDescent="0.2">
      <c r="A38" s="94"/>
      <c r="B38" s="82"/>
      <c r="C38" s="82"/>
      <c r="D38" s="83"/>
      <c r="E38" s="82"/>
      <c r="F38" s="84"/>
      <c r="G38" s="14"/>
      <c r="H38" s="95"/>
    </row>
    <row r="39" spans="1:8" ht="20.45" customHeight="1" x14ac:dyDescent="0.2">
      <c r="A39" s="162" t="s">
        <v>199</v>
      </c>
      <c r="B39" s="163"/>
      <c r="C39" s="163"/>
      <c r="D39" s="163"/>
      <c r="E39" s="163"/>
      <c r="F39" s="163"/>
      <c r="G39" s="164"/>
      <c r="H39" s="96">
        <f>SUM(H17:H23)</f>
        <v>10728.638266331611</v>
      </c>
    </row>
    <row r="40" spans="1:8" ht="42" customHeight="1" x14ac:dyDescent="0.2">
      <c r="A40" s="158" t="s">
        <v>190</v>
      </c>
      <c r="B40" s="158"/>
      <c r="C40" s="158"/>
      <c r="D40" s="158"/>
      <c r="E40" s="158"/>
      <c r="F40" s="158"/>
      <c r="G40" s="158"/>
      <c r="H40" s="158"/>
    </row>
    <row r="41" spans="1:8" ht="20.45" customHeight="1" x14ac:dyDescent="0.2">
      <c r="A41" s="159" t="s">
        <v>204</v>
      </c>
      <c r="B41" s="159"/>
      <c r="C41" s="159"/>
      <c r="D41" s="159"/>
      <c r="E41" s="159"/>
      <c r="F41" s="90"/>
      <c r="G41" s="90" t="s">
        <v>175</v>
      </c>
      <c r="H41" s="90" t="s">
        <v>176</v>
      </c>
    </row>
    <row r="42" spans="1:8" ht="20.45" customHeight="1" x14ac:dyDescent="0.2">
      <c r="A42" s="91" t="s">
        <v>140</v>
      </c>
      <c r="B42" s="92" t="s">
        <v>177</v>
      </c>
      <c r="C42" s="92" t="s">
        <v>27</v>
      </c>
      <c r="D42" s="92" t="s">
        <v>193</v>
      </c>
      <c r="E42" s="92" t="s">
        <v>28</v>
      </c>
      <c r="F42" s="92" t="s">
        <v>29</v>
      </c>
      <c r="G42" s="92" t="s">
        <v>194</v>
      </c>
      <c r="H42" s="93" t="s">
        <v>195</v>
      </c>
    </row>
    <row r="43" spans="1:8" ht="69.599999999999994" customHeight="1" x14ac:dyDescent="0.2">
      <c r="A43" s="94">
        <v>1</v>
      </c>
      <c r="B43" s="82" t="s">
        <v>41</v>
      </c>
      <c r="C43" s="82" t="s">
        <v>56</v>
      </c>
      <c r="D43" s="83" t="s">
        <v>196</v>
      </c>
      <c r="E43" s="82" t="s">
        <v>43</v>
      </c>
      <c r="F43" s="84">
        <f>数据区!V24</f>
        <v>17.114093982550337</v>
      </c>
      <c r="G43" s="14">
        <f>IF(数据区!J$11=0,数据区!W24,数据区!Z24)</f>
        <v>85.373249996736661</v>
      </c>
      <c r="H43" s="95">
        <f>IF(数据区!J$11=0,数据区!X24,数据区!AA24)</f>
        <v>1461.0858240399164</v>
      </c>
    </row>
    <row r="44" spans="1:8" ht="69.599999999999994" customHeight="1" x14ac:dyDescent="0.2">
      <c r="A44" s="94">
        <v>2</v>
      </c>
      <c r="B44" s="82" t="s">
        <v>41</v>
      </c>
      <c r="C44" s="82" t="s">
        <v>60</v>
      </c>
      <c r="D44" s="83" t="s">
        <v>196</v>
      </c>
      <c r="E44" s="82" t="s">
        <v>43</v>
      </c>
      <c r="F44" s="84">
        <f>数据区!V25</f>
        <v>54.362416143624166</v>
      </c>
      <c r="G44" s="14">
        <f>IF(数据区!J$11=0,数据区!W25,数据区!Z25)</f>
        <v>136.69312499477502</v>
      </c>
      <c r="H44" s="95">
        <f>IF(数据区!J$11=0,数据区!X25,数据区!AA25)</f>
        <v>7430.9685449383933</v>
      </c>
    </row>
    <row r="45" spans="1:8" ht="69.599999999999994" customHeight="1" x14ac:dyDescent="0.2">
      <c r="A45" s="94">
        <v>3</v>
      </c>
      <c r="B45" s="82" t="s">
        <v>87</v>
      </c>
      <c r="C45" s="82" t="s">
        <v>88</v>
      </c>
      <c r="D45" s="87" t="s">
        <v>205</v>
      </c>
      <c r="E45" s="82" t="s">
        <v>89</v>
      </c>
      <c r="F45" s="85">
        <f>数据区!V26</f>
        <v>5.0335570536912755</v>
      </c>
      <c r="G45" s="14">
        <f>IF(数据区!J$11=0,数据区!W26,数据区!Z26)</f>
        <v>1237.4324999527</v>
      </c>
      <c r="H45" s="95">
        <f>IF(数据区!J$11=0,数据区!X26,数据区!AA26)</f>
        <v>6228.6870886037423</v>
      </c>
    </row>
    <row r="46" spans="1:8" ht="24" customHeight="1" x14ac:dyDescent="0.2">
      <c r="A46" s="94">
        <v>4</v>
      </c>
      <c r="B46" s="82" t="s">
        <v>90</v>
      </c>
      <c r="C46" s="82" t="s">
        <v>91</v>
      </c>
      <c r="D46" s="83" t="s">
        <v>206</v>
      </c>
      <c r="E46" s="82" t="s">
        <v>89</v>
      </c>
      <c r="F46" s="85">
        <f>数据区!V27</f>
        <v>5.0335570536912755</v>
      </c>
      <c r="G46" s="14">
        <f>IF(数据区!J$11=0,数据区!W27,数据区!Z27)</f>
        <v>339.57449998701998</v>
      </c>
      <c r="H46" s="95">
        <f>IF(数据区!J$11=0,数据区!X27,数据区!AA27)</f>
        <v>1709.2676196633524</v>
      </c>
    </row>
    <row r="47" spans="1:8" ht="24" customHeight="1" x14ac:dyDescent="0.2">
      <c r="A47" s="94">
        <v>5</v>
      </c>
      <c r="B47" s="82" t="s">
        <v>80</v>
      </c>
      <c r="C47" s="82" t="s">
        <v>81</v>
      </c>
      <c r="D47" s="83" t="s">
        <v>207</v>
      </c>
      <c r="E47" s="82" t="s">
        <v>82</v>
      </c>
      <c r="F47" s="84">
        <f>数据区!V28</f>
        <v>192.98657734067118</v>
      </c>
      <c r="G47" s="14">
        <f>IF(数据区!J$11=0,数据区!W28,数据区!Z28)</f>
        <v>39.31006499849741</v>
      </c>
      <c r="H47" s="95">
        <f>IF(数据区!J$11=0,数据区!X28,数据区!AA28)</f>
        <v>7586.3148990993313</v>
      </c>
    </row>
    <row r="48" spans="1:8" ht="24" customHeight="1" x14ac:dyDescent="0.2">
      <c r="A48" s="94">
        <v>6</v>
      </c>
      <c r="B48" s="82" t="s">
        <v>83</v>
      </c>
      <c r="C48" s="82" t="s">
        <v>92</v>
      </c>
      <c r="D48" s="83" t="s">
        <v>208</v>
      </c>
      <c r="E48" s="82" t="s">
        <v>82</v>
      </c>
      <c r="F48" s="84">
        <f>数据区!V29</f>
        <v>192.98657734067118</v>
      </c>
      <c r="G48" s="14">
        <f>IF(数据区!J$11=0,数据区!W29,数据区!Z29)</f>
        <v>2.4173099999075998</v>
      </c>
      <c r="H48" s="95">
        <f>IF(数据区!J$11=0,数据区!X29,数据区!AA29)</f>
        <v>466.50838325354584</v>
      </c>
    </row>
    <row r="49" spans="1:8" ht="24" customHeight="1" x14ac:dyDescent="0.2">
      <c r="A49" s="94"/>
      <c r="B49" s="82"/>
      <c r="C49" s="82"/>
      <c r="D49" s="83"/>
      <c r="E49" s="82"/>
      <c r="F49" s="84"/>
      <c r="G49" s="14"/>
      <c r="H49" s="95"/>
    </row>
    <row r="50" spans="1:8" ht="24" customHeight="1" x14ac:dyDescent="0.2">
      <c r="A50" s="94"/>
      <c r="B50" s="82"/>
      <c r="C50" s="82"/>
      <c r="D50" s="83"/>
      <c r="E50" s="82"/>
      <c r="F50" s="84"/>
      <c r="G50" s="14"/>
      <c r="H50" s="95"/>
    </row>
    <row r="51" spans="1:8" ht="24" customHeight="1" x14ac:dyDescent="0.2">
      <c r="A51" s="94"/>
      <c r="B51" s="82"/>
      <c r="C51" s="82"/>
      <c r="D51" s="83"/>
      <c r="E51" s="82"/>
      <c r="F51" s="84"/>
      <c r="G51" s="14"/>
      <c r="H51" s="95"/>
    </row>
    <row r="52" spans="1:8" ht="24" customHeight="1" x14ac:dyDescent="0.2">
      <c r="A52" s="94"/>
      <c r="B52" s="82"/>
      <c r="C52" s="82"/>
      <c r="D52" s="83"/>
      <c r="E52" s="82"/>
      <c r="F52" s="84"/>
      <c r="G52" s="14"/>
      <c r="H52" s="95"/>
    </row>
    <row r="53" spans="1:8" ht="24" customHeight="1" x14ac:dyDescent="0.2">
      <c r="A53" s="94"/>
      <c r="B53" s="82"/>
      <c r="C53" s="82"/>
      <c r="D53" s="83"/>
      <c r="E53" s="82"/>
      <c r="F53" s="84"/>
      <c r="G53" s="14"/>
      <c r="H53" s="95"/>
    </row>
    <row r="54" spans="1:8" ht="24" customHeight="1" x14ac:dyDescent="0.2">
      <c r="A54" s="94"/>
      <c r="B54" s="82"/>
      <c r="C54" s="82"/>
      <c r="D54" s="83"/>
      <c r="E54" s="82"/>
      <c r="F54" s="84"/>
      <c r="G54" s="14"/>
      <c r="H54" s="95"/>
    </row>
    <row r="55" spans="1:8" ht="24" customHeight="1" x14ac:dyDescent="0.2">
      <c r="A55" s="94"/>
      <c r="B55" s="82"/>
      <c r="C55" s="82"/>
      <c r="D55" s="83"/>
      <c r="E55" s="82"/>
      <c r="F55" s="84"/>
      <c r="G55" s="14"/>
      <c r="H55" s="95"/>
    </row>
    <row r="56" spans="1:8" ht="24" customHeight="1" x14ac:dyDescent="0.2">
      <c r="A56" s="94"/>
      <c r="B56" s="82"/>
      <c r="C56" s="82"/>
      <c r="D56" s="83"/>
      <c r="E56" s="82"/>
      <c r="F56" s="84"/>
      <c r="G56" s="14"/>
      <c r="H56" s="95"/>
    </row>
    <row r="57" spans="1:8" ht="24" customHeight="1" x14ac:dyDescent="0.2">
      <c r="A57" s="94"/>
      <c r="B57" s="82"/>
      <c r="C57" s="82"/>
      <c r="D57" s="83"/>
      <c r="E57" s="82"/>
      <c r="F57" s="84"/>
      <c r="G57" s="14"/>
      <c r="H57" s="95"/>
    </row>
    <row r="58" spans="1:8" ht="24" customHeight="1" x14ac:dyDescent="0.2">
      <c r="A58" s="94"/>
      <c r="B58" s="82"/>
      <c r="C58" s="82"/>
      <c r="D58" s="83"/>
      <c r="E58" s="82"/>
      <c r="F58" s="84"/>
      <c r="G58" s="14"/>
      <c r="H58" s="95"/>
    </row>
    <row r="59" spans="1:8" ht="24" customHeight="1" x14ac:dyDescent="0.2">
      <c r="A59" s="94"/>
      <c r="B59" s="82"/>
      <c r="C59" s="82"/>
      <c r="D59" s="83"/>
      <c r="E59" s="82"/>
      <c r="F59" s="84"/>
      <c r="G59" s="14"/>
      <c r="H59" s="95"/>
    </row>
    <row r="60" spans="1:8" ht="24" customHeight="1" x14ac:dyDescent="0.2">
      <c r="A60" s="94"/>
      <c r="B60" s="82"/>
      <c r="C60" s="82"/>
      <c r="D60" s="83"/>
      <c r="E60" s="82"/>
      <c r="F60" s="84"/>
      <c r="G60" s="14"/>
      <c r="H60" s="95"/>
    </row>
    <row r="61" spans="1:8" ht="24" customHeight="1" x14ac:dyDescent="0.2">
      <c r="A61" s="94"/>
      <c r="B61" s="82"/>
      <c r="C61" s="82"/>
      <c r="D61" s="83"/>
      <c r="E61" s="82"/>
      <c r="F61" s="84"/>
      <c r="G61" s="14"/>
      <c r="H61" s="95"/>
    </row>
    <row r="62" spans="1:8" ht="24" customHeight="1" x14ac:dyDescent="0.2">
      <c r="A62" s="94"/>
      <c r="B62" s="82"/>
      <c r="C62" s="82"/>
      <c r="D62" s="83"/>
      <c r="E62" s="82"/>
      <c r="F62" s="84"/>
      <c r="G62" s="14"/>
      <c r="H62" s="95"/>
    </row>
    <row r="63" spans="1:8" ht="24" customHeight="1" x14ac:dyDescent="0.2">
      <c r="A63" s="94"/>
      <c r="B63" s="82"/>
      <c r="C63" s="82"/>
      <c r="D63" s="83"/>
      <c r="E63" s="82"/>
      <c r="F63" s="84"/>
      <c r="G63" s="14"/>
      <c r="H63" s="95"/>
    </row>
    <row r="64" spans="1:8" ht="24" customHeight="1" x14ac:dyDescent="0.2">
      <c r="A64" s="94"/>
      <c r="B64" s="82"/>
      <c r="C64" s="82"/>
      <c r="D64" s="83"/>
      <c r="E64" s="82"/>
      <c r="F64" s="84"/>
      <c r="G64" s="14"/>
      <c r="H64" s="95"/>
    </row>
    <row r="65" spans="1:8" ht="24" customHeight="1" x14ac:dyDescent="0.2">
      <c r="A65" s="94"/>
      <c r="B65" s="82"/>
      <c r="C65" s="82"/>
      <c r="D65" s="83"/>
      <c r="E65" s="82"/>
      <c r="F65" s="84"/>
      <c r="G65" s="14"/>
      <c r="H65" s="95"/>
    </row>
    <row r="66" spans="1:8" ht="24" customHeight="1" x14ac:dyDescent="0.2">
      <c r="A66" s="94"/>
      <c r="B66" s="82"/>
      <c r="C66" s="82"/>
      <c r="D66" s="83"/>
      <c r="E66" s="82"/>
      <c r="F66" s="84"/>
      <c r="G66" s="14"/>
      <c r="H66" s="95"/>
    </row>
    <row r="67" spans="1:8" ht="20.45" customHeight="1" x14ac:dyDescent="0.2">
      <c r="A67" s="162" t="s">
        <v>199</v>
      </c>
      <c r="B67" s="163"/>
      <c r="C67" s="163"/>
      <c r="D67" s="163"/>
      <c r="E67" s="163"/>
      <c r="F67" s="163"/>
      <c r="G67" s="164"/>
      <c r="H67" s="96">
        <f>SUM(H43:H66)</f>
        <v>24882.83235959828</v>
      </c>
    </row>
    <row r="68" spans="1:8" ht="42.95" customHeight="1" x14ac:dyDescent="0.2">
      <c r="A68" s="158" t="s">
        <v>190</v>
      </c>
      <c r="B68" s="158"/>
      <c r="C68" s="158"/>
      <c r="D68" s="158"/>
      <c r="E68" s="158"/>
      <c r="F68" s="158"/>
      <c r="G68" s="158"/>
      <c r="H68" s="158"/>
    </row>
    <row r="69" spans="1:8" ht="20.45" customHeight="1" x14ac:dyDescent="0.2">
      <c r="A69" s="159" t="s">
        <v>209</v>
      </c>
      <c r="B69" s="159"/>
      <c r="C69" s="159"/>
      <c r="D69" s="159"/>
      <c r="E69" s="159"/>
      <c r="F69" s="90"/>
      <c r="G69" s="90" t="s">
        <v>175</v>
      </c>
      <c r="H69" s="90" t="s">
        <v>210</v>
      </c>
    </row>
    <row r="70" spans="1:8" ht="20.45" customHeight="1" x14ac:dyDescent="0.2">
      <c r="A70" s="91" t="s">
        <v>140</v>
      </c>
      <c r="B70" s="92" t="s">
        <v>177</v>
      </c>
      <c r="C70" s="92" t="s">
        <v>27</v>
      </c>
      <c r="D70" s="92" t="s">
        <v>193</v>
      </c>
      <c r="E70" s="92" t="s">
        <v>28</v>
      </c>
      <c r="F70" s="92" t="s">
        <v>29</v>
      </c>
      <c r="G70" s="92" t="s">
        <v>194</v>
      </c>
      <c r="H70" s="93" t="s">
        <v>195</v>
      </c>
    </row>
    <row r="71" spans="1:8" ht="100.5" customHeight="1" x14ac:dyDescent="0.2">
      <c r="A71" s="94">
        <v>1</v>
      </c>
      <c r="B71" s="82" t="s">
        <v>93</v>
      </c>
      <c r="C71" s="82"/>
      <c r="D71" s="88" t="s">
        <v>211</v>
      </c>
      <c r="E71" s="82" t="s">
        <v>72</v>
      </c>
      <c r="F71" s="85">
        <f>数据区!V32</f>
        <v>55.207950018402656</v>
      </c>
      <c r="G71" s="14">
        <f>IF(数据区!J$11=0,数据区!W32,数据区!Z32)</f>
        <v>158.27624999394999</v>
      </c>
      <c r="H71" s="95">
        <f>IF(数据区!J$11=0,数据区!X32,数据区!AA32)</f>
        <v>8738.1072987661955</v>
      </c>
    </row>
    <row r="72" spans="1:8" ht="100.5" customHeight="1" x14ac:dyDescent="0.2">
      <c r="A72" s="94">
        <v>2</v>
      </c>
      <c r="B72" s="82" t="s">
        <v>94</v>
      </c>
      <c r="C72" s="82"/>
      <c r="D72" s="88" t="s">
        <v>211</v>
      </c>
      <c r="E72" s="82" t="s">
        <v>72</v>
      </c>
      <c r="F72" s="85">
        <f>数据区!V33</f>
        <v>10</v>
      </c>
      <c r="G72" s="14">
        <f>IF(数据区!J$11=0,数据区!W33,数据区!Z33)</f>
        <v>926.63549996458005</v>
      </c>
      <c r="H72" s="95">
        <f>IF(数据区!J$11=0,数据区!X33,数据区!AA33)</f>
        <v>9266.3549996458005</v>
      </c>
    </row>
    <row r="73" spans="1:8" ht="99.6" customHeight="1" x14ac:dyDescent="0.2">
      <c r="A73" s="94">
        <v>3</v>
      </c>
      <c r="B73" s="82" t="s">
        <v>95</v>
      </c>
      <c r="C73" s="82"/>
      <c r="D73" s="88" t="s">
        <v>211</v>
      </c>
      <c r="E73" s="82" t="s">
        <v>72</v>
      </c>
      <c r="F73" s="85">
        <f>数据区!V34</f>
        <v>3.3124770011041593</v>
      </c>
      <c r="G73" s="14">
        <f>IF(数据区!J$11=0,数据区!W34,数据区!Z34)</f>
        <v>189.93149999274002</v>
      </c>
      <c r="H73" s="95">
        <f>IF(数据区!J$11=0,数据区!X34,数据区!AA34)</f>
        <v>629.14372551116605</v>
      </c>
    </row>
    <row r="74" spans="1:8" ht="99.6" customHeight="1" x14ac:dyDescent="0.2">
      <c r="A74" s="94">
        <v>4</v>
      </c>
      <c r="B74" s="82" t="s">
        <v>96</v>
      </c>
      <c r="C74" s="82"/>
      <c r="D74" s="88" t="s">
        <v>211</v>
      </c>
      <c r="E74" s="82" t="s">
        <v>72</v>
      </c>
      <c r="F74" s="85">
        <f>数据区!V35</f>
        <v>1.4243651104747885</v>
      </c>
      <c r="G74" s="14">
        <f>IF(数据区!J$11=0,数据区!W35,数据区!Z35)</f>
        <v>189.93149999274002</v>
      </c>
      <c r="H74" s="95">
        <f>IF(数据区!J$11=0,数据区!X35,数据区!AA35)</f>
        <v>270.53180196980145</v>
      </c>
    </row>
    <row r="75" spans="1:8" ht="99.6" customHeight="1" x14ac:dyDescent="0.2">
      <c r="A75" s="94">
        <v>5</v>
      </c>
      <c r="B75" s="82" t="s">
        <v>97</v>
      </c>
      <c r="C75" s="82"/>
      <c r="D75" s="88" t="s">
        <v>211</v>
      </c>
      <c r="E75" s="82" t="s">
        <v>72</v>
      </c>
      <c r="F75" s="85">
        <f>数据区!V36</f>
        <v>10</v>
      </c>
      <c r="G75" s="14">
        <f>IF(数据区!J$11=0,数据区!W36,数据区!Z36)</f>
        <v>189.93149999274002</v>
      </c>
      <c r="H75" s="95">
        <f>IF(数据区!J$11=0,数据区!X36,数据区!AA36)</f>
        <v>1899.3149999274001</v>
      </c>
    </row>
    <row r="76" spans="1:8" ht="99.6" customHeight="1" x14ac:dyDescent="0.2">
      <c r="A76" s="94">
        <v>6</v>
      </c>
      <c r="B76" s="82" t="s">
        <v>98</v>
      </c>
      <c r="C76" s="82"/>
      <c r="D76" s="88" t="s">
        <v>211</v>
      </c>
      <c r="E76" s="82" t="s">
        <v>72</v>
      </c>
      <c r="F76" s="85">
        <f>数据区!V37</f>
        <v>10.000000013333334</v>
      </c>
      <c r="G76" s="14">
        <f>IF(数据区!J$11=0,数据区!W37,数据区!Z37)</f>
        <v>215.83124999174998</v>
      </c>
      <c r="H76" s="95">
        <f>IF(数据区!J$11=0,数据区!X37,数据区!AA37)</f>
        <v>2158.3125027952501</v>
      </c>
    </row>
    <row r="77" spans="1:8" ht="39.6" customHeight="1" x14ac:dyDescent="0.2">
      <c r="A77" s="94"/>
      <c r="B77" s="82"/>
      <c r="C77" s="82"/>
      <c r="D77" s="88"/>
      <c r="E77" s="82"/>
      <c r="F77" s="84"/>
      <c r="G77" s="14"/>
      <c r="H77" s="95"/>
    </row>
    <row r="78" spans="1:8" ht="39.6" customHeight="1" x14ac:dyDescent="0.2">
      <c r="A78" s="94"/>
      <c r="B78" s="82"/>
      <c r="C78" s="82"/>
      <c r="D78" s="88"/>
      <c r="E78" s="82"/>
      <c r="F78" s="84"/>
      <c r="G78" s="14"/>
      <c r="H78" s="95"/>
    </row>
    <row r="79" spans="1:8" ht="42" customHeight="1" x14ac:dyDescent="0.2">
      <c r="A79" s="155" t="s">
        <v>199</v>
      </c>
      <c r="B79" s="156"/>
      <c r="C79" s="156"/>
      <c r="D79" s="156"/>
      <c r="E79" s="156"/>
      <c r="F79" s="156"/>
      <c r="G79" s="157"/>
      <c r="H79" s="96">
        <f>SUM(H71:H76)</f>
        <v>22961.765328615613</v>
      </c>
    </row>
    <row r="80" spans="1:8" ht="44.45" customHeight="1" x14ac:dyDescent="0.2">
      <c r="A80" s="158" t="s">
        <v>190</v>
      </c>
      <c r="B80" s="158"/>
      <c r="C80" s="158"/>
      <c r="D80" s="158"/>
      <c r="E80" s="158"/>
      <c r="F80" s="158"/>
      <c r="G80" s="158"/>
      <c r="H80" s="158"/>
    </row>
    <row r="81" spans="1:8" ht="26.1" customHeight="1" x14ac:dyDescent="0.2">
      <c r="A81" s="159" t="s">
        <v>209</v>
      </c>
      <c r="B81" s="159"/>
      <c r="C81" s="159"/>
      <c r="D81" s="159"/>
      <c r="E81" s="159"/>
      <c r="F81" s="90"/>
      <c r="G81" s="90" t="s">
        <v>200</v>
      </c>
      <c r="H81" s="90" t="s">
        <v>210</v>
      </c>
    </row>
    <row r="82" spans="1:8" ht="26.1" customHeight="1" x14ac:dyDescent="0.2">
      <c r="A82" s="91" t="s">
        <v>140</v>
      </c>
      <c r="B82" s="92" t="s">
        <v>177</v>
      </c>
      <c r="C82" s="92" t="s">
        <v>27</v>
      </c>
      <c r="D82" s="92" t="s">
        <v>193</v>
      </c>
      <c r="E82" s="92" t="s">
        <v>28</v>
      </c>
      <c r="F82" s="92" t="s">
        <v>29</v>
      </c>
      <c r="G82" s="92" t="s">
        <v>194</v>
      </c>
      <c r="H82" s="93" t="s">
        <v>195</v>
      </c>
    </row>
    <row r="83" spans="1:8" ht="99.6" customHeight="1" x14ac:dyDescent="0.2">
      <c r="A83" s="94">
        <v>7</v>
      </c>
      <c r="B83" s="82" t="s">
        <v>99</v>
      </c>
      <c r="C83" s="82"/>
      <c r="D83" s="88" t="s">
        <v>211</v>
      </c>
      <c r="E83" s="82" t="s">
        <v>72</v>
      </c>
      <c r="F83" s="85">
        <f>数据区!V38</f>
        <v>5.0335570536912755</v>
      </c>
      <c r="G83" s="14">
        <f>IF(数据区!J$11=0,数据区!W38,数据区!Z38)</f>
        <v>215.83124999174998</v>
      </c>
      <c r="H83" s="95">
        <f>IF(数据区!J$11=0,数据区!X38,数据区!AA38)</f>
        <v>1086.3989108029782</v>
      </c>
    </row>
    <row r="84" spans="1:8" ht="99.6" customHeight="1" x14ac:dyDescent="0.2">
      <c r="A84" s="94">
        <v>8</v>
      </c>
      <c r="B84" s="82" t="s">
        <v>100</v>
      </c>
      <c r="C84" s="82"/>
      <c r="D84" s="88" t="s">
        <v>211</v>
      </c>
      <c r="E84" s="82" t="s">
        <v>72</v>
      </c>
      <c r="F84" s="85">
        <f>数据区!V39</f>
        <v>10</v>
      </c>
      <c r="G84" s="14">
        <f>IF(数据区!J$11=0,数据区!W39,数据区!Z39)</f>
        <v>664.7602499745899</v>
      </c>
      <c r="H84" s="95">
        <f>IF(数据区!J$11=0,数据区!X39,数据区!AA39)</f>
        <v>6647.602499745899</v>
      </c>
    </row>
    <row r="85" spans="1:8" ht="99.6" customHeight="1" x14ac:dyDescent="0.2">
      <c r="A85" s="94">
        <v>9</v>
      </c>
      <c r="B85" s="82" t="s">
        <v>101</v>
      </c>
      <c r="C85" s="82"/>
      <c r="D85" s="88" t="s">
        <v>211</v>
      </c>
      <c r="E85" s="82" t="s">
        <v>72</v>
      </c>
      <c r="F85" s="85">
        <f>数据区!V40</f>
        <v>5.0335570536912755</v>
      </c>
      <c r="G85" s="14">
        <f>IF(数据区!J$11=0,数据区!W40,数据区!Z40)</f>
        <v>189.93149999274002</v>
      </c>
      <c r="H85" s="95">
        <f>IF(数据区!J$11=0,数据区!X40,数据区!AA40)</f>
        <v>956.03104150662091</v>
      </c>
    </row>
    <row r="86" spans="1:8" ht="99.6" customHeight="1" x14ac:dyDescent="0.2">
      <c r="A86" s="94">
        <v>10</v>
      </c>
      <c r="B86" s="82" t="s">
        <v>102</v>
      </c>
      <c r="C86" s="82"/>
      <c r="D86" s="88" t="s">
        <v>211</v>
      </c>
      <c r="E86" s="82" t="s">
        <v>72</v>
      </c>
      <c r="F86" s="85">
        <f>数据区!V41</f>
        <v>2.6455026490299827</v>
      </c>
      <c r="G86" s="14">
        <f>IF(数据区!J$11=0,数据区!W41,数据区!Z41)</f>
        <v>189.93149999274002</v>
      </c>
      <c r="H86" s="95">
        <f>IF(数据区!J$11=0,数据区!X41,数据区!AA41)</f>
        <v>502.46428636503185</v>
      </c>
    </row>
    <row r="87" spans="1:8" ht="98.1" customHeight="1" x14ac:dyDescent="0.2">
      <c r="A87" s="94">
        <v>11</v>
      </c>
      <c r="B87" s="82" t="s">
        <v>103</v>
      </c>
      <c r="C87" s="82" t="s">
        <v>114</v>
      </c>
      <c r="D87" s="89" t="s">
        <v>212</v>
      </c>
      <c r="E87" s="82" t="s">
        <v>43</v>
      </c>
      <c r="F87" s="84">
        <f>数据区!V42</f>
        <v>1796.572470756716</v>
      </c>
      <c r="G87" s="14">
        <f>IF(数据区!J$11=0,数据区!W42,数据区!Z42)</f>
        <v>6.6188249997469999</v>
      </c>
      <c r="H87" s="95">
        <f>IF(数据区!J$11=0,数据区!X42,数据区!AA42)</f>
        <v>11891.198783301788</v>
      </c>
    </row>
    <row r="88" spans="1:8" ht="98.1" customHeight="1" x14ac:dyDescent="0.2">
      <c r="A88" s="94">
        <v>12</v>
      </c>
      <c r="B88" s="82" t="s">
        <v>104</v>
      </c>
      <c r="C88" s="82" t="s">
        <v>105</v>
      </c>
      <c r="D88" s="89" t="s">
        <v>213</v>
      </c>
      <c r="E88" s="82" t="s">
        <v>43</v>
      </c>
      <c r="F88" s="84">
        <f>数据区!V43</f>
        <v>780.99081466162284</v>
      </c>
      <c r="G88" s="14">
        <f>IF(数据区!J$11=0,数据区!W43,数据区!Z43)</f>
        <v>5.0360624998074996</v>
      </c>
      <c r="H88" s="95">
        <f>IF(数据区!J$11=0,数据区!X43,数据区!AA43)</f>
        <v>3933.1185544115078</v>
      </c>
    </row>
    <row r="89" spans="1:8" ht="33.950000000000003" customHeight="1" x14ac:dyDescent="0.2">
      <c r="A89" s="94"/>
      <c r="B89" s="82"/>
      <c r="C89" s="82"/>
      <c r="D89" s="89"/>
      <c r="E89" s="82"/>
      <c r="F89" s="84"/>
      <c r="G89" s="14"/>
      <c r="H89" s="95"/>
    </row>
    <row r="90" spans="1:8" ht="33.950000000000003" customHeight="1" x14ac:dyDescent="0.2">
      <c r="A90" s="94"/>
      <c r="B90" s="82"/>
      <c r="C90" s="82"/>
      <c r="D90" s="89"/>
      <c r="E90" s="82"/>
      <c r="F90" s="84"/>
      <c r="G90" s="14"/>
      <c r="H90" s="95"/>
    </row>
    <row r="91" spans="1:8" ht="35.450000000000003" customHeight="1" x14ac:dyDescent="0.2">
      <c r="A91" s="155" t="s">
        <v>199</v>
      </c>
      <c r="B91" s="156"/>
      <c r="C91" s="156"/>
      <c r="D91" s="156"/>
      <c r="E91" s="156"/>
      <c r="F91" s="156"/>
      <c r="G91" s="157"/>
      <c r="H91" s="96">
        <f>SUM(H83:H88)</f>
        <v>25016.814076133825</v>
      </c>
    </row>
    <row r="92" spans="1:8" ht="35.450000000000003" customHeight="1" x14ac:dyDescent="0.2">
      <c r="A92" s="158" t="s">
        <v>190</v>
      </c>
      <c r="B92" s="158"/>
      <c r="C92" s="158"/>
      <c r="D92" s="158"/>
      <c r="E92" s="158"/>
      <c r="F92" s="158"/>
      <c r="G92" s="158"/>
      <c r="H92" s="158"/>
    </row>
    <row r="93" spans="1:8" ht="27.95" customHeight="1" x14ac:dyDescent="0.2">
      <c r="A93" s="159" t="s">
        <v>209</v>
      </c>
      <c r="B93" s="159"/>
      <c r="C93" s="159"/>
      <c r="D93" s="159"/>
      <c r="E93" s="159"/>
      <c r="F93" s="90"/>
      <c r="G93" s="90" t="s">
        <v>214</v>
      </c>
      <c r="H93" s="90" t="s">
        <v>210</v>
      </c>
    </row>
    <row r="94" spans="1:8" ht="25.5" customHeight="1" x14ac:dyDescent="0.2">
      <c r="A94" s="91" t="s">
        <v>140</v>
      </c>
      <c r="B94" s="92" t="s">
        <v>177</v>
      </c>
      <c r="C94" s="92" t="s">
        <v>27</v>
      </c>
      <c r="D94" s="92" t="s">
        <v>193</v>
      </c>
      <c r="E94" s="92" t="s">
        <v>28</v>
      </c>
      <c r="F94" s="92" t="s">
        <v>29</v>
      </c>
      <c r="G94" s="92" t="s">
        <v>194</v>
      </c>
      <c r="H94" s="93" t="s">
        <v>195</v>
      </c>
    </row>
    <row r="95" spans="1:8" ht="80.099999999999994" customHeight="1" x14ac:dyDescent="0.2">
      <c r="A95" s="94">
        <v>13</v>
      </c>
      <c r="B95" s="82" t="s">
        <v>104</v>
      </c>
      <c r="C95" s="82" t="s">
        <v>106</v>
      </c>
      <c r="D95" s="89" t="s">
        <v>215</v>
      </c>
      <c r="E95" s="82" t="s">
        <v>43</v>
      </c>
      <c r="F95" s="84">
        <f>数据区!V44</f>
        <v>160</v>
      </c>
      <c r="G95" s="14">
        <f>IF(数据区!J$11=0,数据区!W44,数据区!Z44)</f>
        <v>15.827624999395001</v>
      </c>
      <c r="H95" s="95">
        <f>IF(数据区!J$11=0,数据区!X44,数据区!AA44)</f>
        <v>2532.4199999032003</v>
      </c>
    </row>
    <row r="96" spans="1:8" ht="80.099999999999994" customHeight="1" x14ac:dyDescent="0.2">
      <c r="A96" s="94">
        <v>14</v>
      </c>
      <c r="B96" s="82" t="s">
        <v>104</v>
      </c>
      <c r="C96" s="82" t="s">
        <v>107</v>
      </c>
      <c r="D96" s="89" t="s">
        <v>216</v>
      </c>
      <c r="E96" s="82" t="s">
        <v>43</v>
      </c>
      <c r="F96" s="84">
        <f>数据区!V45</f>
        <v>715.44742782699484</v>
      </c>
      <c r="G96" s="14">
        <f>IF(数据区!J$11=0,数据区!W45,数据区!Z45)</f>
        <v>10.072124999614999</v>
      </c>
      <c r="H96" s="95">
        <f>IF(数据区!J$11=0,数据区!X45,数据区!AA45)</f>
        <v>7206.0759237265229</v>
      </c>
    </row>
    <row r="97" spans="1:8" ht="81" customHeight="1" x14ac:dyDescent="0.2">
      <c r="A97" s="94">
        <v>15</v>
      </c>
      <c r="B97" s="82" t="s">
        <v>104</v>
      </c>
      <c r="C97" s="82" t="s">
        <v>108</v>
      </c>
      <c r="D97" s="89" t="s">
        <v>217</v>
      </c>
      <c r="E97" s="82" t="s">
        <v>43</v>
      </c>
      <c r="F97" s="84">
        <f>数据区!V46</f>
        <v>280.26845653619688</v>
      </c>
      <c r="G97" s="14">
        <f>IF(数据区!J$11=0,数据区!W46,数据区!Z46)</f>
        <v>6.4749374997524995</v>
      </c>
      <c r="H97" s="95">
        <f>IF(数据区!J$11=0,数据区!X46,数据区!AA46)</f>
        <v>1814.7207392239748</v>
      </c>
    </row>
    <row r="98" spans="1:8" ht="34.5" customHeight="1" x14ac:dyDescent="0.2">
      <c r="A98" s="94"/>
      <c r="B98" s="82"/>
      <c r="C98" s="82"/>
      <c r="D98" s="89"/>
      <c r="E98" s="82"/>
      <c r="F98" s="84"/>
      <c r="G98" s="14"/>
      <c r="H98" s="95"/>
    </row>
    <row r="99" spans="1:8" ht="34.5" customHeight="1" x14ac:dyDescent="0.2">
      <c r="A99" s="94"/>
      <c r="B99" s="82"/>
      <c r="C99" s="82"/>
      <c r="D99" s="89"/>
      <c r="E99" s="82"/>
      <c r="F99" s="84"/>
      <c r="G99" s="14"/>
      <c r="H99" s="95"/>
    </row>
    <row r="100" spans="1:8" ht="34.5" customHeight="1" x14ac:dyDescent="0.2">
      <c r="A100" s="94"/>
      <c r="B100" s="82"/>
      <c r="C100" s="82"/>
      <c r="D100" s="89"/>
      <c r="E100" s="82"/>
      <c r="F100" s="84"/>
      <c r="G100" s="14"/>
      <c r="H100" s="95"/>
    </row>
    <row r="101" spans="1:8" ht="34.5" customHeight="1" x14ac:dyDescent="0.2">
      <c r="A101" s="94"/>
      <c r="B101" s="82"/>
      <c r="C101" s="82"/>
      <c r="D101" s="89"/>
      <c r="E101" s="82"/>
      <c r="F101" s="84"/>
      <c r="G101" s="14"/>
      <c r="H101" s="95"/>
    </row>
    <row r="102" spans="1:8" ht="34.5" customHeight="1" x14ac:dyDescent="0.2">
      <c r="A102" s="94"/>
      <c r="B102" s="82"/>
      <c r="C102" s="82"/>
      <c r="D102" s="89"/>
      <c r="E102" s="82"/>
      <c r="F102" s="84"/>
      <c r="G102" s="14"/>
      <c r="H102" s="95"/>
    </row>
    <row r="103" spans="1:8" ht="34.5" customHeight="1" x14ac:dyDescent="0.2">
      <c r="A103" s="94"/>
      <c r="B103" s="82"/>
      <c r="C103" s="82"/>
      <c r="D103" s="89"/>
      <c r="E103" s="82"/>
      <c r="F103" s="84"/>
      <c r="G103" s="14"/>
      <c r="H103" s="95"/>
    </row>
    <row r="104" spans="1:8" ht="34.5" customHeight="1" x14ac:dyDescent="0.2">
      <c r="A104" s="94"/>
      <c r="B104" s="82"/>
      <c r="C104" s="82"/>
      <c r="D104" s="89"/>
      <c r="E104" s="82"/>
      <c r="F104" s="84"/>
      <c r="G104" s="14"/>
      <c r="H104" s="95"/>
    </row>
    <row r="105" spans="1:8" ht="34.5" customHeight="1" x14ac:dyDescent="0.2">
      <c r="A105" s="94"/>
      <c r="B105" s="82"/>
      <c r="C105" s="82"/>
      <c r="D105" s="89"/>
      <c r="E105" s="82"/>
      <c r="F105" s="84"/>
      <c r="G105" s="14"/>
      <c r="H105" s="95"/>
    </row>
    <row r="106" spans="1:8" ht="34.5" customHeight="1" x14ac:dyDescent="0.2">
      <c r="A106" s="94"/>
      <c r="B106" s="82"/>
      <c r="C106" s="82"/>
      <c r="D106" s="89"/>
      <c r="E106" s="82"/>
      <c r="F106" s="84"/>
      <c r="G106" s="14"/>
      <c r="H106" s="95"/>
    </row>
    <row r="107" spans="1:8" ht="34.5" customHeight="1" x14ac:dyDescent="0.2">
      <c r="A107" s="94"/>
      <c r="B107" s="82"/>
      <c r="C107" s="82"/>
      <c r="D107" s="89"/>
      <c r="E107" s="82"/>
      <c r="F107" s="84"/>
      <c r="G107" s="14"/>
      <c r="H107" s="95"/>
    </row>
    <row r="108" spans="1:8" ht="34.5" customHeight="1" x14ac:dyDescent="0.2">
      <c r="A108" s="94"/>
      <c r="B108" s="82"/>
      <c r="C108" s="82"/>
      <c r="D108" s="89"/>
      <c r="E108" s="82"/>
      <c r="F108" s="84"/>
      <c r="G108" s="14"/>
      <c r="H108" s="95"/>
    </row>
    <row r="109" spans="1:8" ht="34.5" customHeight="1" x14ac:dyDescent="0.2">
      <c r="A109" s="94"/>
      <c r="B109" s="82"/>
      <c r="C109" s="82"/>
      <c r="D109" s="89"/>
      <c r="E109" s="82"/>
      <c r="F109" s="84"/>
      <c r="G109" s="14"/>
      <c r="H109" s="95"/>
    </row>
    <row r="110" spans="1:8" ht="34.5" customHeight="1" x14ac:dyDescent="0.2">
      <c r="A110" s="94"/>
      <c r="B110" s="82"/>
      <c r="C110" s="82"/>
      <c r="D110" s="89"/>
      <c r="E110" s="82"/>
      <c r="F110" s="84"/>
      <c r="G110" s="14"/>
      <c r="H110" s="95"/>
    </row>
    <row r="111" spans="1:8" ht="35.1" customHeight="1" x14ac:dyDescent="0.2">
      <c r="A111" s="160" t="s">
        <v>199</v>
      </c>
      <c r="B111" s="161"/>
      <c r="C111" s="161"/>
      <c r="D111" s="161"/>
      <c r="E111" s="161"/>
      <c r="F111" s="161"/>
      <c r="G111" s="161"/>
      <c r="H111" s="96">
        <f>SUM(H95:H97)</f>
        <v>11553.216662853698</v>
      </c>
    </row>
    <row r="112" spans="1:8" ht="44.1" customHeight="1" x14ac:dyDescent="0.2">
      <c r="A112" s="158" t="s">
        <v>190</v>
      </c>
      <c r="B112" s="158"/>
      <c r="C112" s="158"/>
      <c r="D112" s="158"/>
      <c r="E112" s="158"/>
      <c r="F112" s="158"/>
      <c r="G112" s="158"/>
      <c r="H112" s="158"/>
    </row>
    <row r="113" spans="1:8" ht="20.45" customHeight="1" x14ac:dyDescent="0.2">
      <c r="A113" s="159" t="s">
        <v>218</v>
      </c>
      <c r="B113" s="159"/>
      <c r="C113" s="159"/>
      <c r="D113" s="159"/>
      <c r="E113" s="159"/>
      <c r="F113" s="90"/>
      <c r="G113" s="90" t="s">
        <v>175</v>
      </c>
      <c r="H113" s="90" t="s">
        <v>176</v>
      </c>
    </row>
    <row r="114" spans="1:8" ht="20.45" customHeight="1" x14ac:dyDescent="0.2">
      <c r="A114" s="91" t="s">
        <v>140</v>
      </c>
      <c r="B114" s="92" t="s">
        <v>177</v>
      </c>
      <c r="C114" s="92" t="s">
        <v>27</v>
      </c>
      <c r="D114" s="92" t="s">
        <v>193</v>
      </c>
      <c r="E114" s="92" t="s">
        <v>28</v>
      </c>
      <c r="F114" s="92" t="s">
        <v>29</v>
      </c>
      <c r="G114" s="92" t="s">
        <v>194</v>
      </c>
      <c r="H114" s="93" t="s">
        <v>195</v>
      </c>
    </row>
    <row r="115" spans="1:8" ht="87.95" customHeight="1" x14ac:dyDescent="0.2">
      <c r="A115" s="94">
        <v>1</v>
      </c>
      <c r="B115" s="82" t="s">
        <v>110</v>
      </c>
      <c r="C115" s="82"/>
      <c r="D115" s="89" t="s">
        <v>219</v>
      </c>
      <c r="E115" s="82" t="s">
        <v>72</v>
      </c>
      <c r="F115" s="85">
        <f>数据区!V49</f>
        <v>17.441860488372097</v>
      </c>
      <c r="G115" s="14">
        <f>IF(数据区!J$11=0,数据区!W49,数据区!Z49)</f>
        <v>187.05374999284999</v>
      </c>
      <c r="H115" s="95">
        <f>IF(数据区!J$11=0,数据区!X49,数据区!AA49)</f>
        <v>3262.5654112021225</v>
      </c>
    </row>
    <row r="116" spans="1:8" ht="87.95" customHeight="1" x14ac:dyDescent="0.2">
      <c r="A116" s="94">
        <v>2</v>
      </c>
      <c r="B116" s="82" t="s">
        <v>111</v>
      </c>
      <c r="C116" s="82"/>
      <c r="D116" s="89" t="s">
        <v>219</v>
      </c>
      <c r="E116" s="82" t="s">
        <v>72</v>
      </c>
      <c r="F116" s="85">
        <f>数据区!V50</f>
        <v>11.029411779411767</v>
      </c>
      <c r="G116" s="14">
        <f>IF(数据区!J$11=0,数据区!W50,数据区!Z50)</f>
        <v>187.05374999284999</v>
      </c>
      <c r="H116" s="95">
        <f>IF(数据区!J$11=0,数据区!X50,数据区!AA50)</f>
        <v>2063.0928335542835</v>
      </c>
    </row>
    <row r="117" spans="1:8" ht="87.95" customHeight="1" x14ac:dyDescent="0.2">
      <c r="A117" s="94">
        <v>3</v>
      </c>
      <c r="B117" s="82" t="s">
        <v>112</v>
      </c>
      <c r="C117" s="82"/>
      <c r="D117" s="89" t="s">
        <v>219</v>
      </c>
      <c r="E117" s="82" t="s">
        <v>72</v>
      </c>
      <c r="F117" s="85">
        <f>数据区!V51</f>
        <v>10.000000013333334</v>
      </c>
      <c r="G117" s="14">
        <f>IF(数据区!J$11=0,数据区!W51,数据区!Z51)</f>
        <v>187.05374999284999</v>
      </c>
      <c r="H117" s="95">
        <f>IF(数据区!J$11=0,数据区!X51,数据区!AA51)</f>
        <v>1870.53750242255</v>
      </c>
    </row>
    <row r="118" spans="1:8" ht="87.95" customHeight="1" x14ac:dyDescent="0.2">
      <c r="A118" s="94">
        <v>4</v>
      </c>
      <c r="B118" s="82" t="s">
        <v>113</v>
      </c>
      <c r="C118" s="82"/>
      <c r="D118" s="89" t="s">
        <v>219</v>
      </c>
      <c r="E118" s="82" t="s">
        <v>72</v>
      </c>
      <c r="F118" s="85">
        <f>数据区!V52</f>
        <v>2.4000000032000002</v>
      </c>
      <c r="G118" s="14">
        <f>IF(数据区!J$11=0,数据区!W52,数据区!Z52)</f>
        <v>187.05374999284999</v>
      </c>
      <c r="H118" s="95">
        <f>IF(数据区!J$11=0,数据区!X52,数据区!AA52)</f>
        <v>448.92900058141203</v>
      </c>
    </row>
    <row r="119" spans="1:8" ht="87.95" customHeight="1" x14ac:dyDescent="0.2">
      <c r="A119" s="94">
        <v>5</v>
      </c>
      <c r="B119" s="82" t="s">
        <v>104</v>
      </c>
      <c r="C119" s="82" t="s">
        <v>108</v>
      </c>
      <c r="D119" s="89" t="s">
        <v>212</v>
      </c>
      <c r="E119" s="82" t="s">
        <v>72</v>
      </c>
      <c r="F119" s="84">
        <f>数据区!V53</f>
        <v>495.35982008592435</v>
      </c>
      <c r="G119" s="14">
        <f>IF(数据区!J$11=0,数据区!W53,数据区!Z53)</f>
        <v>6.4749374997524995</v>
      </c>
      <c r="H119" s="95">
        <f>IF(数据区!J$11=0,数据区!X53,数据区!AA53)</f>
        <v>3207.4238749450033</v>
      </c>
    </row>
    <row r="120" spans="1:8" ht="87.95" customHeight="1" x14ac:dyDescent="0.2">
      <c r="A120" s="94">
        <v>6</v>
      </c>
      <c r="B120" s="82" t="s">
        <v>103</v>
      </c>
      <c r="C120" s="82" t="s">
        <v>114</v>
      </c>
      <c r="D120" s="89" t="s">
        <v>220</v>
      </c>
      <c r="E120" s="82" t="s">
        <v>72</v>
      </c>
      <c r="F120" s="84">
        <f>数据区!V54</f>
        <v>247.67991004296218</v>
      </c>
      <c r="G120" s="14">
        <f>IF(数据区!J$11=0,数据区!W54,数据区!Z54)</f>
        <v>6.6188249997469999</v>
      </c>
      <c r="H120" s="95">
        <f>IF(数据区!J$11=0,数据区!X54,数据区!AA54)</f>
        <v>1639.3499805274462</v>
      </c>
    </row>
    <row r="121" spans="1:8" ht="40.5" customHeight="1" x14ac:dyDescent="0.2">
      <c r="A121" s="94"/>
      <c r="B121" s="82"/>
      <c r="C121" s="82"/>
      <c r="D121" s="89"/>
      <c r="E121" s="82"/>
      <c r="F121" s="84"/>
      <c r="G121" s="14"/>
      <c r="H121" s="95"/>
    </row>
    <row r="122" spans="1:8" ht="40.5" customHeight="1" x14ac:dyDescent="0.2">
      <c r="A122" s="94"/>
      <c r="B122" s="82"/>
      <c r="C122" s="82"/>
      <c r="D122" s="89"/>
      <c r="E122" s="82"/>
      <c r="F122" s="84"/>
      <c r="G122" s="14"/>
      <c r="H122" s="95"/>
    </row>
    <row r="123" spans="1:8" ht="40.5" customHeight="1" x14ac:dyDescent="0.2">
      <c r="A123" s="94"/>
      <c r="B123" s="82"/>
      <c r="C123" s="82"/>
      <c r="D123" s="89"/>
      <c r="E123" s="82"/>
      <c r="F123" s="84"/>
      <c r="G123" s="14"/>
      <c r="H123" s="95"/>
    </row>
    <row r="124" spans="1:8" ht="40.5" customHeight="1" x14ac:dyDescent="0.2">
      <c r="A124" s="94"/>
      <c r="B124" s="82"/>
      <c r="C124" s="82"/>
      <c r="D124" s="89"/>
      <c r="E124" s="82"/>
      <c r="F124" s="84"/>
      <c r="G124" s="14"/>
      <c r="H124" s="95"/>
    </row>
    <row r="125" spans="1:8" ht="39.6" customHeight="1" x14ac:dyDescent="0.2">
      <c r="A125" s="160" t="s">
        <v>199</v>
      </c>
      <c r="B125" s="161"/>
      <c r="C125" s="161"/>
      <c r="D125" s="161"/>
      <c r="E125" s="161"/>
      <c r="F125" s="161"/>
      <c r="G125" s="161"/>
      <c r="H125" s="96">
        <f>SUM(H115:H124)</f>
        <v>12491.898603232816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125:G125"/>
    <mergeCell ref="A67:G67"/>
    <mergeCell ref="A39:G39"/>
    <mergeCell ref="A111:G111"/>
    <mergeCell ref="A1:H1"/>
    <mergeCell ref="A2:E2"/>
    <mergeCell ref="A13:G13"/>
    <mergeCell ref="A14:H14"/>
    <mergeCell ref="A15:E15"/>
    <mergeCell ref="A40:H40"/>
    <mergeCell ref="A41:E41"/>
    <mergeCell ref="A68:H68"/>
    <mergeCell ref="A69:E69"/>
    <mergeCell ref="A79:G79"/>
    <mergeCell ref="A80:H80"/>
    <mergeCell ref="A81:E81"/>
    <mergeCell ref="A91:G91"/>
    <mergeCell ref="A92:H92"/>
    <mergeCell ref="A93:E93"/>
    <mergeCell ref="A112:H112"/>
    <mergeCell ref="A113:E113"/>
  </mergeCells>
  <phoneticPr fontId="28" type="noConversion"/>
  <pageMargins left="0.70866141732282995" right="0.70866141732282995" top="0.74803149606299002" bottom="0.74803149606299002" header="0.31496062992126" footer="0.31496062992126"/>
  <pageSetup paperSize="9" orientation="portrait" r:id="rId1"/>
  <rowBreaks count="6" manualBreakCount="6">
    <brk id="13" man="1"/>
    <brk id="39" man="1"/>
    <brk id="67" man="1"/>
    <brk id="79" man="1"/>
    <brk id="91" man="1"/>
    <brk id="1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</vt:i4>
      </vt:variant>
    </vt:vector>
  </HeadingPairs>
  <TitlesOfParts>
    <vt:vector size="9" baseType="lpstr">
      <vt:lpstr>数据区</vt:lpstr>
      <vt:lpstr>封面</vt:lpstr>
      <vt:lpstr>报价函</vt:lpstr>
      <vt:lpstr>报价函附表</vt:lpstr>
      <vt:lpstr>预算书</vt:lpstr>
      <vt:lpstr>报价说明</vt:lpstr>
      <vt:lpstr>报价汇总表</vt:lpstr>
      <vt:lpstr>清单报价表</vt:lpstr>
      <vt:lpstr>报价函!Print_Area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朱刚</dc:creator>
  <cp:keywords/>
  <dc:description/>
  <cp:lastModifiedBy>网图科技</cp:lastModifiedBy>
  <dcterms:created xsi:type="dcterms:W3CDTF">2019-04-23T04:13:34Z</dcterms:created>
  <dcterms:modified xsi:type="dcterms:W3CDTF">2019-06-04T02:25:41Z</dcterms:modified>
  <cp:category/>
</cp:coreProperties>
</file>