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sheets>
    <sheet name="数据区" sheetId="1" r:id="rId4"/>
    <sheet name="封面" sheetId="2" r:id="rId5"/>
    <sheet name="报价函" sheetId="3" r:id="rId6"/>
    <sheet name="报价函附表" sheetId="4" r:id="rId7"/>
    <sheet name="预算书" sheetId="5" r:id="rId8"/>
    <sheet name="报价说明" sheetId="6" r:id="rId9"/>
    <sheet name="报价汇总表" sheetId="7" r:id="rId10"/>
    <sheet name="清单报价表" sheetId="8" r:id="rId11"/>
  </sheets>
  <definedNames>
    <definedName name="_xlnm.Print_Area" localSheetId="2">'报价函'!$A$1:$J$16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<sst xmlns="http://schemas.openxmlformats.org/spreadsheetml/2006/main" uniqueCount="225">
  <si>
    <t>建设单位</t>
  </si>
  <si>
    <t>中国一键</t>
  </si>
  <si>
    <t>工程名称</t>
  </si>
  <si>
    <t>航天科技大厦</t>
  </si>
  <si>
    <t>报价单位</t>
  </si>
  <si>
    <t>一键</t>
  </si>
  <si>
    <t>电话</t>
  </si>
  <si>
    <t>传真</t>
  </si>
  <si>
    <t>用户数据输入栏</t>
  </si>
  <si>
    <t>正算结果数据区</t>
  </si>
  <si>
    <t>反算结果数据区</t>
  </si>
  <si>
    <t>正算结果显示区</t>
  </si>
  <si>
    <t>反算结果显示区</t>
  </si>
  <si>
    <t>税率</t>
  </si>
  <si>
    <t>项目区域</t>
  </si>
  <si>
    <t>输入新建面积</t>
  </si>
  <si>
    <t>输入改造面积</t>
  </si>
  <si>
    <t>施工层数</t>
  </si>
  <si>
    <t>使用性质</t>
  </si>
  <si>
    <t>是否开票</t>
  </si>
  <si>
    <t>正算数量系数</t>
  </si>
  <si>
    <t>正算主材单价</t>
  </si>
  <si>
    <t>正算主材综合单价</t>
  </si>
  <si>
    <t>正算人工单价</t>
  </si>
  <si>
    <t>反算综合单价系数</t>
  </si>
  <si>
    <t>名称</t>
  </si>
  <si>
    <t>规格</t>
  </si>
  <si>
    <t>单位</t>
  </si>
  <si>
    <t>数量</t>
  </si>
  <si>
    <t>综合单价</t>
  </si>
  <si>
    <t>合价</t>
  </si>
  <si>
    <t>主城</t>
  </si>
  <si>
    <t>酒店/宾馆</t>
  </si>
  <si>
    <t>不开票</t>
  </si>
  <si>
    <t>不可更改</t>
  </si>
  <si>
    <t>后台可改</t>
  </si>
  <si>
    <t>不可改</t>
  </si>
  <si>
    <t>喷淋系统</t>
  </si>
  <si>
    <t>不可改（程序自动调整）</t>
  </si>
  <si>
    <t>正算数据汇总表</t>
  </si>
  <si>
    <t>镀锌钢管</t>
  </si>
  <si>
    <t>DN25</t>
  </si>
  <si>
    <t>米</t>
  </si>
  <si>
    <t>直接费</t>
  </si>
  <si>
    <t>间接费</t>
  </si>
  <si>
    <t>措施费</t>
  </si>
  <si>
    <t>设计费</t>
  </si>
  <si>
    <t>审图费</t>
  </si>
  <si>
    <t>管理费</t>
  </si>
  <si>
    <t>检测费</t>
  </si>
  <si>
    <t>总价</t>
  </si>
  <si>
    <t>税金</t>
  </si>
  <si>
    <t>DN32</t>
  </si>
  <si>
    <t>DN40</t>
  </si>
  <si>
    <t>反算数据汇总表</t>
  </si>
  <si>
    <t>DN50</t>
  </si>
  <si>
    <t>DN65</t>
  </si>
  <si>
    <t>DN80</t>
  </si>
  <si>
    <t>输入参数及计算数据区</t>
  </si>
  <si>
    <t>DN100</t>
  </si>
  <si>
    <t>面积使用值（新建）</t>
  </si>
  <si>
    <t>面积使用值（改造）</t>
  </si>
  <si>
    <t>面积防出错数据</t>
  </si>
  <si>
    <t>新建比例</t>
  </si>
  <si>
    <t>改造比例</t>
  </si>
  <si>
    <t>主材单价系数</t>
  </si>
  <si>
    <t>人工系数</t>
  </si>
  <si>
    <t>楼层系数</t>
  </si>
  <si>
    <t>DN150</t>
  </si>
  <si>
    <t>喷头</t>
  </si>
  <si>
    <t>68°，DN15</t>
  </si>
  <si>
    <t>个</t>
  </si>
  <si>
    <t>汇总表数据区</t>
  </si>
  <si>
    <t>末端试水</t>
  </si>
  <si>
    <t>截止阀</t>
  </si>
  <si>
    <t>无</t>
  </si>
  <si>
    <t>水流指示器</t>
  </si>
  <si>
    <t>邮编</t>
  </si>
  <si>
    <t>电的个数</t>
  </si>
  <si>
    <t>面积单价</t>
  </si>
  <si>
    <t>人工费</t>
  </si>
  <si>
    <t>信号蝶阀</t>
  </si>
  <si>
    <t>水的个数</t>
  </si>
  <si>
    <t>焊接法兰</t>
  </si>
  <si>
    <t>管道支架</t>
  </si>
  <si>
    <t>角钢</t>
  </si>
  <si>
    <t>KG</t>
  </si>
  <si>
    <t>金属结构刷漆</t>
  </si>
  <si>
    <t>油漆</t>
  </si>
  <si>
    <t>合计</t>
  </si>
  <si>
    <t>消火栓系统</t>
  </si>
  <si>
    <t>消火栓</t>
  </si>
  <si>
    <t>800*650*160</t>
  </si>
  <si>
    <t>套</t>
  </si>
  <si>
    <t>灭火器</t>
  </si>
  <si>
    <t>MF/ABC-4*2</t>
  </si>
  <si>
    <t>防锈油漆</t>
  </si>
  <si>
    <t>智能光电烟感</t>
  </si>
  <si>
    <t>消防端子箱</t>
  </si>
  <si>
    <t>输入输出模块</t>
  </si>
  <si>
    <t>输出模块</t>
  </si>
  <si>
    <t>短路隔离模块</t>
  </si>
  <si>
    <t>广播扬声器</t>
  </si>
  <si>
    <t>声光报警器</t>
  </si>
  <si>
    <t>消防模块箱</t>
  </si>
  <si>
    <t>消火栓按钮</t>
  </si>
  <si>
    <t>手动报警按钮</t>
  </si>
  <si>
    <t>电气配管</t>
  </si>
  <si>
    <t>电气配线</t>
  </si>
  <si>
    <t>2*1.5</t>
  </si>
  <si>
    <t>2*4</t>
  </si>
  <si>
    <t>2*2.5</t>
  </si>
  <si>
    <t>1*2.5</t>
  </si>
  <si>
    <t>疏散应急系统</t>
  </si>
  <si>
    <t>应急照明灯</t>
  </si>
  <si>
    <t>疏散指示标志（向左）</t>
  </si>
  <si>
    <t>疏散指示标志（向右）</t>
  </si>
  <si>
    <t>安全出口指示标志</t>
  </si>
  <si>
    <t>KBG20</t>
  </si>
  <si>
    <t>（消防部分）</t>
  </si>
  <si>
    <t>报  价  文  件</t>
  </si>
  <si>
    <t>报价单位：</t>
  </si>
  <si>
    <t>法人代表：</t>
  </si>
  <si>
    <r>
      <rPr>
        <rFont val="宋体"/>
        <b val="false"/>
        <i val="false"/>
        <strike val="false"/>
        <color rgb="FF000000"/>
        <sz val="12"/>
        <u val="single"/>
      </rPr>
      <t xml:space="preserve">                          </t>
    </r>
    <r>
      <rPr>
        <rFont val="宋体"/>
        <b val="false"/>
        <i val="false"/>
        <strike val="false"/>
        <color rgb="FF000000"/>
        <sz val="12"/>
        <u val="none"/>
      </rPr>
      <t xml:space="preserve">（签字/盖章）</t>
    </r>
  </si>
  <si>
    <t>报价时间：</t>
  </si>
  <si>
    <t>报价函</t>
  </si>
  <si>
    <t>致：</t>
  </si>
  <si>
    <t>1、我单位经考察现场和研究其他有关文件后，本工程建筑面积约</t>
  </si>
  <si>
    <t>㎡，我方愿以总价为人民币</t>
  </si>
  <si>
    <t>（小写）：</t>
  </si>
  <si>
    <t>元的总价，按技术规范、图纸的条件承包</t>
  </si>
  <si>
    <t>的施工、竣工和保修。</t>
  </si>
  <si>
    <t>2、如我方承包，我方将确保工程质量等级达到合格工程的标准。</t>
  </si>
  <si>
    <t>3、如我方承包，我方承诺按国家规定保修。</t>
  </si>
  <si>
    <t>4、除非另行达成协议并生效，双方的合同和本报价文件将约束我们双</t>
  </si>
  <si>
    <t>方履行职责。</t>
  </si>
  <si>
    <t>法定代表人（或委托代理人）：</t>
  </si>
  <si>
    <r>
      <rPr>
        <rFont val="宋体"/>
        <b val="false"/>
        <i val="false"/>
        <strike val="false"/>
        <color rgb="FF000000"/>
        <sz val="12"/>
        <u val="single"/>
      </rPr>
      <t xml:space="preserve">              </t>
    </r>
    <r>
      <rPr>
        <rFont val="宋体"/>
        <b val="false"/>
        <i val="false"/>
        <strike val="false"/>
        <color rgb="FF000000"/>
        <sz val="12"/>
        <u val="none"/>
      </rPr>
      <t xml:space="preserve">（签字/盖章）</t>
    </r>
  </si>
  <si>
    <t>电      话：</t>
  </si>
  <si>
    <t>传  真：</t>
  </si>
  <si>
    <t>邮  编：</t>
  </si>
  <si>
    <t>日      期：</t>
  </si>
  <si>
    <t>报价函附表</t>
  </si>
  <si>
    <t>报价人名称：</t>
  </si>
  <si>
    <t>序号</t>
  </si>
  <si>
    <t>工程项目名称</t>
  </si>
  <si>
    <t>投标报价（元）</t>
  </si>
  <si>
    <t>大写</t>
  </si>
  <si>
    <t>小写</t>
  </si>
  <si>
    <t>工期（日历天）</t>
  </si>
  <si>
    <t>工程整体竣工后十五个工作日内，通过所有相关部门验收，得消防管理部门验收或备案合格证明文件。</t>
  </si>
  <si>
    <t>保修承诺</t>
  </si>
  <si>
    <t>《建设工程质量管理条例》</t>
  </si>
  <si>
    <t>质量等级</t>
  </si>
  <si>
    <t>合格</t>
  </si>
  <si>
    <t>备注</t>
  </si>
  <si>
    <t>报价人：</t>
  </si>
  <si>
    <r>
      <t xml:space="preserve">法定代表人：</t>
    </r>
    <r>
      <rPr>
        <rFont val="宋体"/>
        <b val="false"/>
        <i val="false"/>
        <strike val="false"/>
        <color rgb="FF000000"/>
        <sz val="12"/>
        <u val="single"/>
      </rPr>
      <t xml:space="preserve">                     </t>
    </r>
    <r>
      <rPr>
        <rFont val="宋体"/>
        <b val="false"/>
        <i val="false"/>
        <strike val="false"/>
        <color rgb="FF000000"/>
        <sz val="12"/>
        <u val="none"/>
      </rPr>
      <t xml:space="preserve">（签字/盖章）</t>
    </r>
  </si>
  <si>
    <t>日期：</t>
  </si>
  <si>
    <t>工程预算书</t>
  </si>
  <si>
    <t>工程名称：</t>
  </si>
  <si>
    <t>预算总价：</t>
  </si>
  <si>
    <t>（小写）</t>
  </si>
  <si>
    <t>元</t>
  </si>
  <si>
    <t>（大写）</t>
  </si>
  <si>
    <t>编制单位：</t>
  </si>
  <si>
    <t>法定代表：</t>
  </si>
  <si>
    <r>
      <t xml:space="preserve"> </t>
    </r>
    <r>
      <rPr>
        <rFont val="宋体"/>
        <b val="true"/>
        <i val="false"/>
        <strike val="false"/>
        <color rgb="FF000000"/>
        <sz val="14"/>
        <u val="single"/>
      </rPr>
      <t xml:space="preserve">                 </t>
    </r>
    <r>
      <rPr>
        <rFont val="宋体"/>
        <b val="true"/>
        <i val="false"/>
        <strike val="false"/>
        <color rgb="FF000000"/>
        <sz val="14"/>
        <u val="none"/>
      </rPr>
      <t xml:space="preserve">（签字/盖章）</t>
    </r>
  </si>
  <si>
    <t>编制时间：</t>
  </si>
  <si>
    <t>清单报价说明</t>
  </si>
  <si>
    <t xml:space="preserve">       我公司依据贵单位提供的项目平面图（施工图）及对现场的勘察，对工程量</t>
  </si>
  <si>
    <t>进行了预估，本清单报价表所列材料及数量均为我公司统计，不代表实际工程量，</t>
  </si>
  <si>
    <t>设施设备我公司采用原建筑所使用的品牌，以便于对接。单位定价为结合我公司定价</t>
  </si>
  <si>
    <t>策略及本地市场行情价格综合得出。</t>
  </si>
  <si>
    <t xml:space="preserve">       具体详见清单报价表</t>
  </si>
  <si>
    <t xml:space="preserve">       特此说明</t>
  </si>
  <si>
    <r>
      <t xml:space="preserve">                         </t>
    </r>
    <r>
      <rPr>
        <rFont val="宋体"/>
        <b val="false"/>
        <i val="false"/>
        <strike val="false"/>
        <color rgb="FF000000"/>
        <sz val="12"/>
        <u val="none"/>
      </rPr>
      <t xml:space="preserve">（签字/盖章）</t>
    </r>
  </si>
  <si>
    <t>报价日期：</t>
  </si>
  <si>
    <t>项目报价汇总表</t>
  </si>
  <si>
    <t>第1页</t>
  </si>
  <si>
    <t>共1页</t>
  </si>
  <si>
    <t>项目名称</t>
  </si>
  <si>
    <t>费用说明</t>
  </si>
  <si>
    <t>费率（%）</t>
  </si>
  <si>
    <t>金额（元）</t>
  </si>
  <si>
    <t>现场勘察及消防施工图设计出图、配套送审图纸归档</t>
  </si>
  <si>
    <t>建设工程项目施工图审查费及资料费</t>
  </si>
  <si>
    <t>工程直接费</t>
  </si>
  <si>
    <t>工程建设施工人、材、机直接费</t>
  </si>
  <si>
    <t>规费</t>
  </si>
  <si>
    <t>技术措施费</t>
  </si>
  <si>
    <t>企业及项目管理费</t>
  </si>
  <si>
    <t>消防设施第三方检测费</t>
  </si>
  <si>
    <t>销项税</t>
  </si>
  <si>
    <t>清单报价表</t>
  </si>
  <si>
    <t>分项名称：喷淋系统工程</t>
  </si>
  <si>
    <t>共2页</t>
  </si>
  <si>
    <t>项目特征</t>
  </si>
  <si>
    <t>综合单价（元）</t>
  </si>
  <si>
    <t>合价（元）</t>
  </si>
  <si>
    <t>1、安装部位：室内；
2、材质：内外壁热浸镀锌钢管；
3、连接方式：螺纹连接；
4、工作内容：除锈刷油、防腐，管道及管件安装，压力试验，冲洗，管道标识；
5、标准：符合设计及验收标准。</t>
  </si>
  <si>
    <t>68°水喷淋头</t>
  </si>
  <si>
    <t>1、安装部位：室内上/下喷安装；
2、规格：DN15
3、连接方式：螺纹连接；
4、工作内容：水冲洗水压试验，管件安装，标识；
5、标准：符合设计及验收标准。</t>
  </si>
  <si>
    <t>本页合计</t>
  </si>
  <si>
    <t>第2页</t>
  </si>
  <si>
    <t>1、安装部位：室内；
2、工作内容：管件安装，压力试验，冲洗，管道标识；
3、标准：符合设计及验收标准。</t>
  </si>
  <si>
    <t>1、安装部位：室内；
2、材质：Q235；
3、连接方式：吊顶安装；
4、工作内容：除锈刷油、防腐；
5、标准：符合设计及验收标准。</t>
  </si>
  <si>
    <t>管道支架防锈漆一遍。</t>
  </si>
  <si>
    <t>分项名称：消火栓系统工程</t>
  </si>
  <si>
    <t>1、安装部位：室内；
2、安装方式：明装/安装；
3、连接方式：螺纹连接；
4、工作内容：除锈刷油、防腐，水冲洗水压试验，管道及管件安装，管道标识；
5、标准：符合设计及验收标准。</t>
  </si>
  <si>
    <t>灭火器、含灭火器箱</t>
  </si>
  <si>
    <t>L40、L50角钢支架</t>
  </si>
  <si>
    <t>角钢支架防锈油漆一遍</t>
  </si>
  <si>
    <t>分项名称：火灾自动报警系统工程</t>
  </si>
  <si>
    <t>共3页</t>
  </si>
  <si>
    <t>1.名称:
2.规格:详设计
3.安装形式:吸顶安装
[工程内容]
1.安装
2.校接线
3.编码
4.调试</t>
  </si>
  <si>
    <t>1.名称:电气配管
2.材质:钢管
3.规格:KBG20
4.配置形式及部位:暗敷
[工程内容]
1.电线管路敷设
2.砖墙开沟槽
3.接地</t>
  </si>
  <si>
    <t>1.名称:电气配线
2.导线型号、材质、规格:WDZCN-BYJ-2*1.5m㎡
3.敷设部位或线制:管内穿线
[工程内容]
1.配线</t>
  </si>
  <si>
    <t>第3页</t>
  </si>
  <si>
    <t>1.名称:电气配线
2.导线型号、材质、规格:WDZCN-BYJ-2*4m㎡
3.敷设部位或线制:管内穿线
[工程内容]
1.配线</t>
  </si>
  <si>
    <t>1.名称:电气配线
2.导线型号、材质、规格:WDZCN-BYJ-2*2.5m㎡
3.敷设部位或线制:管内穿线
[工程内容]
1.配线</t>
  </si>
  <si>
    <t>1.名称:电气配线
2.导线型号、材质、规格:WDZCN-BYJ-1*2.5m㎡
3.敷设部位或线制:管内穿线
[工程内容]
1.配线</t>
  </si>
  <si>
    <t>分项名称：应急疏散系统工程</t>
  </si>
  <si>
    <t>1.名称:
2.规格:详设计
3.安装形式:暗装
[工程内容]
1.安装
2.校接线
3.调试</t>
  </si>
  <si>
    <t>1.名称:电气配线
2.导线型号、材质、规格:NH-BYJ-1*2.5m㎡
3.敷设部位或线制:管内穿线
[工程内容]
4.配线</t>
  </si>
</sst>
</file>

<file path=xl/styles.xml><?xml version="1.0" encoding="utf-8"?>
<styleSheet xmlns="http://schemas.openxmlformats.org/spreadsheetml/2006/main" xml:space="preserve">
  <numFmts count="8">
    <numFmt numFmtId="164" formatCode="0.00_);[Red]\(0.00\)"/>
    <numFmt numFmtId="165" formatCode="0.00_ "/>
    <numFmt numFmtId="166" formatCode="0_);[Red]\(0\)"/>
    <numFmt numFmtId="167" formatCode="&quot;¥&quot;#,##0.00;&quot;¥&quot;\-#,##0.00"/>
    <numFmt numFmtId="168" formatCode="yyyy&quot;年&quot;m&quot;月&quot;d&quot;日&quot;;@"/>
    <numFmt numFmtId="169" formatCode="0.00000_);[Red]\(0.00000\)"/>
    <numFmt numFmtId="170" formatCode="0_ "/>
    <numFmt numFmtId="171" formatCode="[DBNum1][$-804]yyyy&quot;年&quot;m&quot;月&quot;d&quot;日&quot;;@"/>
  </numFmts>
  <fonts count="27">
    <font>
      <b val="0"/>
      <i val="0"/>
      <strike val="0"/>
      <u val="none"/>
      <sz val="11"/>
      <color rgb="FF000000"/>
      <name val="等线"/>
    </font>
    <font>
      <b val="0"/>
      <i val="0"/>
      <strike val="0"/>
      <u val="none"/>
      <sz val="8"/>
      <color rgb="FF000000"/>
      <name val="宋体"/>
    </font>
    <font>
      <b val="1"/>
      <i val="0"/>
      <strike val="0"/>
      <u val="none"/>
      <sz val="8"/>
      <color rgb="FF000000"/>
      <name val="宋体"/>
    </font>
    <font>
      <b val="0"/>
      <i val="0"/>
      <strike val="0"/>
      <u val="none"/>
      <sz val="8"/>
      <color rgb="FFFFFFFF"/>
      <name val="宋体"/>
    </font>
    <font>
      <b val="0"/>
      <i val="0"/>
      <strike val="0"/>
      <u val="none"/>
      <sz val="8"/>
      <color rgb="FF000000"/>
      <name val="等线"/>
    </font>
    <font>
      <b val="0"/>
      <i val="0"/>
      <strike val="0"/>
      <u val="none"/>
      <sz val="8"/>
      <color rgb="FF44749F"/>
      <name val="宋体"/>
    </font>
    <font>
      <b val="0"/>
      <i val="0"/>
      <strike val="0"/>
      <u val="none"/>
      <sz val="8"/>
      <color rgb="FFFF0000"/>
      <name val="宋体"/>
    </font>
    <font>
      <b val="1"/>
      <i val="0"/>
      <strike val="0"/>
      <u val="none"/>
      <sz val="8"/>
      <color rgb="FF000000"/>
      <name val="等线"/>
    </font>
    <font>
      <b val="0"/>
      <i val="0"/>
      <strike val="0"/>
      <u val="none"/>
      <sz val="9"/>
      <color rgb="FF000000"/>
      <name val="华文中宋"/>
    </font>
    <font>
      <b val="0"/>
      <i val="0"/>
      <strike val="0"/>
      <u val="none"/>
      <sz val="20"/>
      <color rgb="FF000000"/>
      <name val="宋体"/>
    </font>
    <font>
      <b val="0"/>
      <i val="0"/>
      <strike val="0"/>
      <u val="none"/>
      <sz val="12"/>
      <color rgb="FF000000"/>
      <name val="宋体"/>
    </font>
    <font>
      <b val="0"/>
      <i val="0"/>
      <strike val="0"/>
      <u val="single"/>
      <sz val="12"/>
      <color rgb="FF000000"/>
      <name val="宋体"/>
    </font>
    <font>
      <b val="0"/>
      <i val="0"/>
      <strike val="0"/>
      <u val="none"/>
      <sz val="9"/>
      <color rgb="FF000000"/>
      <name val="宋体"/>
    </font>
    <font>
      <b val="0"/>
      <i val="0"/>
      <strike val="0"/>
      <u val="single"/>
      <sz val="9"/>
      <color rgb="FF000000"/>
      <name val="宋体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4"/>
      <color rgb="FF000000"/>
      <name val="宋体"/>
    </font>
    <font>
      <b val="0"/>
      <i val="0"/>
      <strike val="0"/>
      <u val="single"/>
      <sz val="14"/>
      <color rgb="FF000000"/>
      <name val="宋体"/>
    </font>
    <font>
      <b val="0"/>
      <i val="0"/>
      <strike val="0"/>
      <u val="none"/>
      <sz val="28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14"/>
      <color rgb="FF000000"/>
      <name val="宋体"/>
    </font>
    <font>
      <b val="1"/>
      <i val="0"/>
      <strike val="0"/>
      <u val="none"/>
      <sz val="36"/>
      <color rgb="FF000000"/>
      <name val="宋体"/>
    </font>
    <font>
      <b val="0"/>
      <i val="0"/>
      <strike val="0"/>
      <u val="none"/>
      <sz val="24"/>
      <color rgb="FF000000"/>
      <name val="宋体"/>
    </font>
    <font>
      <b val="1"/>
      <i val="0"/>
      <strike val="0"/>
      <u val="none"/>
      <sz val="20"/>
      <color rgb="FF000000"/>
      <name val="宋体"/>
    </font>
    <font>
      <b val="1"/>
      <i val="0"/>
      <strike val="0"/>
      <u val="none"/>
      <sz val="16"/>
      <color rgb="FF000000"/>
      <name val="宋体"/>
    </font>
    <font>
      <b val="1"/>
      <i val="0"/>
      <strike val="0"/>
      <u val="single"/>
      <sz val="14"/>
      <color rgb="FF000000"/>
      <name val="宋体"/>
    </font>
    <font>
      <b val="1"/>
      <i val="0"/>
      <strike val="0"/>
      <u val="none"/>
      <sz val="28"/>
      <color rgb="FF000000"/>
      <name val="宋体"/>
    </font>
    <font>
      <b val="1"/>
      <i val="0"/>
      <strike val="0"/>
      <u val="single"/>
      <sz val="12"/>
      <color rgb="FF000000"/>
      <name val="宋体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7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7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64" fillId="4" borderId="2" applyFont="1" applyNumberFormat="1" applyFill="1" applyBorder="1" applyAlignment="1">
      <alignment horizontal="center" vertical="center" textRotation="0" wrapText="true" shrinkToFit="false"/>
    </xf>
    <xf xfId="0" fontId="3" numFmtId="164" fillId="5" borderId="2" applyFont="1" applyNumberFormat="1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1" numFmtId="165" fillId="4" borderId="2" applyFont="1" applyNumberFormat="1" applyFill="1" applyBorder="1" applyAlignment="1">
      <alignment horizontal="center" vertical="center" textRotation="0" wrapText="true" shrinkToFit="false"/>
    </xf>
    <xf xfId="0" fontId="1" numFmtId="166" fillId="4" borderId="2" applyFont="1" applyNumberFormat="1" applyFill="1" applyBorder="1" applyAlignment="1">
      <alignment horizontal="center" vertical="center" textRotation="0" wrapText="true" shrinkToFit="false"/>
    </xf>
    <xf xfId="0" fontId="4" numFmtId="164" fillId="6" borderId="2" applyFont="1" applyNumberFormat="1" applyFill="1" applyBorder="1" applyAlignment="1">
      <alignment horizontal="center" vertical="center" textRotation="0" wrapText="true" shrinkToFit="false"/>
    </xf>
    <xf xfId="0" fontId="1" numFmtId="0" fillId="6" borderId="2" applyFont="1" applyNumberFormat="0" applyFill="1" applyBorder="1" applyAlignment="1">
      <alignment horizontal="center" vertical="center" textRotation="0" wrapText="true" shrinkToFit="false"/>
    </xf>
    <xf xfId="0" fontId="5" numFmtId="164" fillId="2" borderId="2" applyFont="1" applyNumberFormat="1" applyFill="0" applyBorder="1" applyAlignment="1">
      <alignment horizontal="center" vertical="center" textRotation="0" wrapText="true" shrinkToFit="false"/>
    </xf>
    <xf xfId="0" fontId="1" numFmtId="164" fillId="2" borderId="2" applyFont="1" applyNumberFormat="1" applyFill="0" applyBorder="1" applyAlignment="1">
      <alignment horizontal="center" vertical="center" textRotation="0" wrapText="true" shrinkToFit="false"/>
    </xf>
    <xf xfId="0" fontId="1" numFmtId="165" fillId="2" borderId="2" applyFont="1" applyNumberFormat="1" applyFill="0" applyBorder="1" applyAlignment="1">
      <alignment horizontal="center" vertical="center" textRotation="0" wrapText="true" shrinkToFit="false"/>
    </xf>
    <xf xfId="0" fontId="4" numFmtId="164" fillId="2" borderId="2" applyFont="1" applyNumberFormat="1" applyFill="0" applyBorder="1" applyAlignment="1">
      <alignment horizontal="center" vertical="center" textRotation="0" wrapText="true" shrinkToFit="false"/>
    </xf>
    <xf xfId="0" fontId="4" numFmtId="164" fillId="2" borderId="2" applyFont="1" applyNumberFormat="1" applyFill="0" applyBorder="1" applyAlignment="1">
      <alignment horizontal="center" vertical="center" textRotation="0" wrapText="true" shrinkToFit="false"/>
    </xf>
    <xf xfId="0" fontId="1" numFmtId="0" fillId="7" borderId="2" applyFont="1" applyNumberFormat="0" applyFill="1" applyBorder="1" applyAlignment="1">
      <alignment horizontal="center" vertical="center" textRotation="0" wrapText="true" shrinkToFit="false"/>
    </xf>
    <xf xfId="0" fontId="1" numFmtId="164" fillId="7" borderId="2" applyFont="1" applyNumberFormat="1" applyFill="1" applyBorder="1" applyAlignment="1">
      <alignment horizontal="center" vertical="center" textRotation="0" wrapText="true" shrinkToFit="false"/>
    </xf>
    <xf xfId="0" fontId="1" numFmtId="165" fillId="7" borderId="2" applyFont="1" applyNumberFormat="1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164" fillId="2" borderId="0" applyFont="1" applyNumberFormat="1" applyFill="0" applyBorder="0" applyAlignment="1">
      <alignment horizontal="center" vertical="center" textRotation="0" wrapText="true" shrinkToFit="false"/>
    </xf>
    <xf xfId="0" fontId="1" numFmtId="164" fillId="6" borderId="2" applyFont="1" applyNumberFormat="1" applyFill="1" applyBorder="1" applyAlignment="1">
      <alignment horizontal="center" vertical="center" textRotation="0" wrapText="true" shrinkToFit="false"/>
    </xf>
    <xf xfId="0" fontId="1" numFmtId="165" fillId="6" borderId="2" applyFont="1" applyNumberFormat="1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64" fillId="2" borderId="2" applyFont="1" applyNumberFormat="1" applyFill="0" applyBorder="1" applyAlignment="1">
      <alignment horizontal="center" vertical="center" textRotation="0" wrapText="true" shrinkToFit="false"/>
    </xf>
    <xf xfId="0" fontId="4" numFmtId="166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2" borderId="2" applyFont="1" applyNumberFormat="1" applyFill="0" applyBorder="1" applyAlignment="1">
      <alignment horizontal="center" vertical="center" textRotation="0" wrapText="true" shrinkToFit="false"/>
    </xf>
    <xf xfId="0" fontId="7" numFmtId="164" fillId="8" borderId="2" applyFont="1" applyNumberFormat="1" applyFill="1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6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2" borderId="2" applyFont="1" applyNumberFormat="1" applyFill="0" applyBorder="1" applyAlignment="1">
      <alignment horizontal="center" vertical="center" textRotation="0" wrapText="true" shrinkToFit="false"/>
    </xf>
    <xf xfId="0" fontId="1" numFmtId="165" fillId="2" borderId="2" applyFont="1" applyNumberFormat="1" applyFill="0" applyBorder="1" applyAlignment="1">
      <alignment horizontal="center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164" fillId="8" borderId="2" applyFont="1" applyNumberFormat="1" applyFill="1" applyBorder="1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center" textRotation="0" wrapText="false" shrinkToFit="false"/>
    </xf>
    <xf xfId="0" fontId="11" numFmtId="167" fillId="2" borderId="0" applyFont="1" applyNumberFormat="1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2" applyFont="1" applyNumberFormat="0" applyFill="0" applyBorder="1" applyAlignment="0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center" vertical="center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167" fillId="2" borderId="2" applyFont="1" applyNumberFormat="1" applyFill="0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general" vertical="bottom" textRotation="0" wrapText="false" shrinkToFit="false"/>
    </xf>
    <xf xfId="0" fontId="10" numFmtId="168" fillId="2" borderId="0" applyFont="1" applyNumberFormat="1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5" numFmtId="0" fillId="2" borderId="0" applyFont="1" applyNumberFormat="0" applyFill="0" applyBorder="0" applyAlignment="0">
      <alignment horizontal="general" vertical="center" textRotation="0" wrapText="false" shrinkToFit="false"/>
    </xf>
    <xf xfId="0" fontId="16" numFmtId="0" fillId="2" borderId="0" applyFont="1" applyNumberFormat="0" applyFill="0" applyBorder="0" applyAlignment="0">
      <alignment horizontal="general" vertical="center" textRotation="0" wrapText="false" shrinkToFit="false"/>
    </xf>
    <xf xfId="0" fontId="17" numFmtId="0" fillId="2" borderId="0" applyFont="1" applyNumberFormat="0" applyFill="0" applyBorder="0" applyAlignment="0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center" textRotation="0" wrapText="false" shrinkToFit="fals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2" numFmtId="0" fillId="2" borderId="2" applyFont="1" applyNumberFormat="0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2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9" fillId="3" borderId="2" applyFont="1" applyNumberFormat="1" applyFill="1" applyBorder="1" applyAlignment="1">
      <alignment horizontal="center" vertical="center" textRotation="0" wrapText="true" shrinkToFit="false"/>
    </xf>
    <xf xfId="0" fontId="1" numFmtId="10" fillId="2" borderId="2" applyFont="1" applyNumberFormat="1" applyFill="0" applyBorder="1" applyAlignment="1">
      <alignment horizontal="righ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true" shrinkToFit="false"/>
    </xf>
    <xf xfId="0" fontId="18" numFmtId="0" fillId="2" borderId="0" applyFont="1" applyNumberFormat="0" applyFill="0" applyBorder="0" applyAlignment="1">
      <alignment horizontal="left" vertical="center" textRotation="0" wrapText="false" shrinkToFit="false"/>
    </xf>
    <xf xfId="0" fontId="19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164" fillId="2" borderId="2" applyFont="1" applyNumberFormat="1" applyFill="0" applyBorder="1" applyAlignment="1">
      <alignment horizontal="center" vertical="center" textRotation="0" wrapText="true" shrinkToFit="false"/>
    </xf>
    <xf xfId="0" fontId="1" numFmtId="164" fillId="2" borderId="2" applyFont="1" applyNumberFormat="1" applyFill="0" applyBorder="1" applyAlignment="1">
      <alignment horizontal="left" vertical="center" textRotation="0" wrapText="true" shrinkToFit="false"/>
    </xf>
    <xf xfId="0" fontId="1" numFmtId="164" fillId="2" borderId="2" applyFont="1" applyNumberFormat="1" applyFill="0" applyBorder="1" applyAlignment="1">
      <alignment horizontal="center" vertical="center" textRotation="0" wrapText="true" shrinkToFit="false"/>
    </xf>
    <xf xfId="0" fontId="1" numFmtId="166" fillId="2" borderId="2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12" numFmtId="0" fillId="9" borderId="2" applyFont="1" applyNumberFormat="0" applyFill="1" applyBorder="1" applyAlignment="1" applyProtection="true">
      <alignment horizontal="left" vertical="center" textRotation="0" wrapText="true" shrinkToFit="false"/>
      <protection hidden="true"/>
    </xf>
    <xf xfId="0" fontId="12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1" numFmtId="164" fillId="2" borderId="0" applyFont="1" applyNumberFormat="1" applyFill="0" applyBorder="0" applyAlignment="1">
      <alignment horizontal="center" vertical="center" textRotation="0" wrapText="true" shrinkToFit="false"/>
    </xf>
    <xf xfId="0" fontId="1" numFmtId="0" fillId="10" borderId="4" applyFont="1" applyNumberFormat="0" applyFill="1" applyBorder="1" applyAlignment="1">
      <alignment horizontal="center" vertical="center" textRotation="0" wrapText="false" shrinkToFit="false"/>
    </xf>
    <xf xfId="0" fontId="1" numFmtId="0" fillId="10" borderId="5" applyFont="1" applyNumberFormat="0" applyFill="1" applyBorder="1" applyAlignment="1">
      <alignment horizontal="center" vertical="center" textRotation="0" wrapText="false" shrinkToFit="false"/>
    </xf>
    <xf xfId="0" fontId="1" numFmtId="0" fillId="10" borderId="6" applyFont="1" applyNumberFormat="0" applyFill="1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true" shrinkToFit="false"/>
    </xf>
    <xf xfId="0" fontId="1" numFmtId="164" fillId="2" borderId="9" applyFont="1" applyNumberFormat="1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2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165" fillId="2" borderId="6" applyFont="1" applyNumberFormat="1" applyFill="0" applyBorder="1" applyAlignment="1">
      <alignment horizontal="center" vertical="center" textRotation="0" wrapText="false" shrinkToFit="false"/>
    </xf>
    <xf xfId="0" fontId="1" numFmtId="165" fillId="2" borderId="8" applyFont="1" applyNumberFormat="1" applyFill="0" applyBorder="1" applyAlignment="1">
      <alignment horizontal="right" vertical="center" textRotation="0" wrapText="false" shrinkToFit="false"/>
    </xf>
    <xf xfId="0" fontId="1" numFmtId="165" fillId="2" borderId="8" applyFont="1" applyNumberFormat="1" applyFill="0" applyBorder="1" applyAlignment="1">
      <alignment horizontal="center" vertical="center" textRotation="0" wrapText="false" shrinkToFit="false"/>
    </xf>
    <xf xfId="0" fontId="12" numFmtId="0" fillId="2" borderId="7" applyFont="1" applyNumberFormat="0" applyFill="0" applyBorder="1" applyAlignment="1">
      <alignment horizontal="center" vertical="center" textRotation="0" wrapText="false" shrinkToFit="false"/>
    </xf>
    <xf xfId="0" fontId="12" numFmtId="165" fillId="2" borderId="8" applyFont="1" applyNumberFormat="1" applyFill="0" applyBorder="1" applyAlignment="1">
      <alignment horizontal="center" vertical="center" textRotation="0" wrapText="false" shrinkToFit="false"/>
    </xf>
    <xf xfId="0" fontId="12" numFmtId="165" fillId="2" borderId="9" applyFont="1" applyNumberFormat="1" applyFill="0" applyBorder="1" applyAlignment="1">
      <alignment horizontal="center" vertical="center" textRotation="0" wrapText="false" shrinkToFit="false"/>
    </xf>
    <xf xfId="0" fontId="1" numFmtId="170" fillId="2" borderId="0" applyFont="1" applyNumberFormat="1" applyFill="0" applyBorder="0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1">
      <alignment horizontal="center" vertical="center" textRotation="0" wrapText="true" shrinkToFit="false"/>
    </xf>
    <xf xfId="0" fontId="2" numFmtId="9" fillId="4" borderId="10" applyFont="1" applyNumberFormat="1" applyFill="1" applyBorder="1" applyAlignment="1">
      <alignment horizontal="center" vertical="center" textRotation="0" wrapText="true" shrinkToFit="false"/>
    </xf>
    <xf xfId="0" fontId="2" numFmtId="164" fillId="3" borderId="11" applyFont="1" applyNumberFormat="1" applyFill="1" applyBorder="1" applyAlignment="1">
      <alignment horizontal="center" vertical="center" textRotation="0" wrapText="true" shrinkToFit="false"/>
    </xf>
    <xf xfId="0" fontId="2" numFmtId="164" fillId="3" borderId="12" applyFont="1" applyNumberFormat="1" applyFill="1" applyBorder="1" applyAlignment="1">
      <alignment horizontal="center" vertical="center" textRotation="0" wrapText="true" shrinkToFit="false"/>
    </xf>
    <xf xfId="0" fontId="2" numFmtId="164" fillId="3" borderId="3" applyFont="1" applyNumberFormat="1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2" numFmtId="0" fillId="7" borderId="12" applyFont="1" applyNumberFormat="0" applyFill="1" applyBorder="1" applyAlignment="1">
      <alignment horizontal="center" vertical="center" textRotation="0" wrapText="true" shrinkToFit="false"/>
    </xf>
    <xf xfId="0" fontId="2" numFmtId="0" fillId="7" borderId="3" applyFont="1" applyNumberFormat="0" applyFill="1" applyBorder="1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1">
      <alignment horizontal="center" vertical="center" textRotation="0" wrapText="true" shrinkToFit="false"/>
    </xf>
    <xf xfId="0" fontId="2" numFmtId="0" fillId="4" borderId="13" applyFont="1" applyNumberFormat="0" applyFill="1" applyBorder="1" applyAlignment="1">
      <alignment horizontal="center" vertical="center" textRotation="0" wrapText="true" shrinkToFit="false"/>
    </xf>
    <xf xfId="0" fontId="2" numFmtId="0" fillId="4" borderId="14" applyFont="1" applyNumberFormat="0" applyFill="1" applyBorder="1" applyAlignment="1">
      <alignment horizontal="center" vertical="center" textRotation="0" wrapText="true" shrinkToFit="false"/>
    </xf>
    <xf xfId="0" fontId="2" numFmtId="0" fillId="6" borderId="10" applyFont="1" applyNumberFormat="0" applyFill="1" applyBorder="1" applyAlignment="1">
      <alignment horizontal="center" vertical="center" textRotation="0" wrapText="true" shrinkToFit="false"/>
    </xf>
    <xf xfId="0" fontId="2" numFmtId="0" fillId="6" borderId="13" applyFont="1" applyNumberFormat="0" applyFill="1" applyBorder="1" applyAlignment="1">
      <alignment horizontal="center" vertical="center" textRotation="0" wrapText="true" shrinkToFit="false"/>
    </xf>
    <xf xfId="0" fontId="2" numFmtId="0" fillId="6" borderId="14" applyFont="1" applyNumberFormat="0" applyFill="1" applyBorder="1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true" shrinkToFit="false"/>
    </xf>
    <xf xfId="0" fontId="2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64" fillId="2" borderId="2" applyFont="1" applyNumberFormat="1" applyFill="0" applyBorder="1" applyAlignment="1">
      <alignment horizontal="left" vertical="center" textRotation="0" wrapText="true" shrinkToFit="false"/>
    </xf>
    <xf xfId="0" fontId="11" numFmtId="171" fillId="2" borderId="0" applyFont="1" applyNumberFormat="1" applyFill="0" applyBorder="0" applyAlignment="1">
      <alignment horizontal="left" vertical="center" textRotation="0" wrapText="false" shrinkToFit="false"/>
    </xf>
    <xf xfId="0" fontId="21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0" numFmtId="0" fillId="2" borderId="0" applyFont="1" applyNumberFormat="0" applyFill="0" applyBorder="0" applyAlignment="1">
      <alignment horizontal="left" vertical="center" textRotation="0" wrapText="false" shrinkToFit="false"/>
    </xf>
    <xf xfId="0" fontId="10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168" fillId="2" borderId="0" applyFont="1" applyNumberFormat="1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0" numFmtId="165" fillId="2" borderId="0" applyFont="1" applyNumberFormat="1" applyFill="0" applyBorder="0" applyAlignment="1">
      <alignment horizontal="right" vertical="center" textRotation="0" wrapText="fals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11" numFmtId="167" fillId="2" borderId="0" applyFont="1" applyNumberFormat="1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2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13" applyFont="1" applyNumberFormat="0" applyFill="0" applyBorder="1" applyAlignment="1">
      <alignment horizontal="left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false" shrinkToFit="false"/>
    </xf>
    <xf xfId="0" fontId="11" numFmtId="0" fillId="2" borderId="16" applyFont="1" applyNumberFormat="0" applyFill="0" applyBorder="1" applyAlignment="1">
      <alignment horizontal="left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left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24" numFmtId="0" fillId="2" borderId="0" applyFont="1" applyNumberFormat="0" applyFill="0" applyBorder="0" applyAlignment="1">
      <alignment horizontal="left" vertical="center" textRotation="0" wrapText="false" shrinkToFit="false"/>
    </xf>
    <xf xfId="0" fontId="24" numFmtId="44" fillId="2" borderId="0" applyFont="1" applyNumberFormat="1" applyFill="0" applyBorder="0" applyAlignment="1">
      <alignment horizontal="center" vertical="center" textRotation="0" wrapText="false" shrinkToFit="false"/>
    </xf>
    <xf xfId="0" fontId="24" numFmtId="165" fillId="2" borderId="0" applyFont="1" applyNumberFormat="1" applyFill="0" applyBorder="0" applyAlignment="1">
      <alignment horizontal="left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center" textRotation="0" wrapText="false" shrinkToFit="false"/>
    </xf>
    <xf xfId="0" fontId="10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168" fillId="2" borderId="0" applyFont="1" applyNumberFormat="1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23" numFmtId="0" fillId="2" borderId="0" applyFont="1" applyNumberFormat="0" applyFill="0" applyBorder="0" applyAlignment="1">
      <alignment horizontal="center" vertical="center" textRotation="0" wrapText="false" shrinkToFit="false"/>
    </xf>
    <xf xfId="0" fontId="26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3" numFmtId="0" fillId="2" borderId="0" applyFont="1" applyNumberFormat="0" applyFill="0" applyBorder="0" applyAlignment="1">
      <alignment horizontal="center" vertical="center" textRotation="0" wrapText="false" shrinkToFit="false"/>
    </xf>
    <xf xfId="0" fontId="12" numFmtId="0" fillId="2" borderId="17" applyFont="1" applyNumberFormat="0" applyFill="0" applyBorder="1" applyAlignment="1">
      <alignment horizontal="center" vertical="center" textRotation="0" wrapText="false" shrinkToFit="false"/>
    </xf>
    <xf xfId="0" fontId="12" numFmtId="0" fillId="2" borderId="18" applyFont="1" applyNumberFormat="0" applyFill="0" applyBorder="1" applyAlignment="1">
      <alignment horizontal="center" vertical="center" textRotation="0" wrapText="false" shrinkToFit="false"/>
    </xf>
    <xf xfId="0" fontId="12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164" fillId="2" borderId="20" applyFont="1" applyNumberFormat="1" applyFill="0" applyBorder="1" applyAlignment="1">
      <alignment horizontal="center" vertical="center" textRotation="0" wrapText="true" shrinkToFit="false"/>
    </xf>
    <xf xfId="0" fontId="1" numFmtId="164" fillId="2" borderId="21" applyFont="1" applyNumberFormat="1" applyFill="0" applyBorder="1" applyAlignment="1">
      <alignment horizontal="center" vertical="center" textRotation="0" wrapText="true" shrinkToFit="false"/>
    </xf>
    <xf xfId="0" fontId="1" numFmtId="164" fillId="2" borderId="17" applyFont="1" applyNumberFormat="1" applyFill="0" applyBorder="1" applyAlignment="1">
      <alignment horizontal="center" vertical="center" textRotation="0" wrapText="true" shrinkToFit="false"/>
    </xf>
    <xf xfId="0" fontId="1" numFmtId="164" fillId="2" borderId="18" applyFont="1" applyNumberFormat="1" applyFill="0" applyBorder="1" applyAlignment="1">
      <alignment horizontal="center" vertical="center" textRotation="0" wrapText="true" shrinkToFit="false"/>
    </xf>
    <xf xfId="0" fontId="1" numFmtId="164" fillId="2" borderId="19" applyFont="1" applyNumberFormat="1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left" vertical="center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fals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checked="Checked" fmlaLink="$G$5" lockText="1" noThreeD="1"/>
</file>

<file path=xl/ctrlProps/ctrlProp2.xml><?xml version="1.0" encoding="utf-8"?>
<formControlPr xmlns="http://schemas.microsoft.com/office/spreadsheetml/2009/9/main" objectType="CheckBox" checked="Checked" fmlaLink="$H$5" lockText="1" noThreeD="1"/>
</file>

<file path=xl/ctrlProps/ctrlProp3.xml><?xml version="1.0" encoding="utf-8"?>
<formControlPr xmlns="http://schemas.microsoft.com/office/spreadsheetml/2009/9/main" objectType="CheckBox" checked="Checked" fmlaLink="$I$5" lockText="1" noThreeD="1"/>
</file>

<file path=xl/ctrlProps/ctrlProp4.xml><?xml version="1.0" encoding="utf-8"?>
<formControlPr xmlns="http://schemas.microsoft.com/office/spreadsheetml/2009/9/main" objectType="CheckBox" checked="Checked" fmlaLink="$J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3</xdr:row>
          <xdr:rowOff>127000</xdr:rowOff>
        </xdr:from>
        <xdr:to>
          <xdr:col>6</xdr:col>
          <xdr:colOff>628650</xdr:colOff>
          <xdr:row>3</xdr:row>
          <xdr:rowOff>247650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喷淋系统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</xdr:row>
          <xdr:rowOff>69850</xdr:rowOff>
        </xdr:from>
        <xdr:to>
          <xdr:col>7</xdr:col>
          <xdr:colOff>679450</xdr:colOff>
          <xdr:row>3</xdr:row>
          <xdr:rowOff>292100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消火栓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63500</xdr:colOff>
          <xdr:row>3</xdr:row>
          <xdr:rowOff>88900</xdr:rowOff>
        </xdr:from>
        <xdr:to>
          <xdr:col>8</xdr:col>
          <xdr:colOff>692150</xdr:colOff>
          <xdr:row>3</xdr:row>
          <xdr:rowOff>292100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报警系统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3</xdr:row>
          <xdr:rowOff>120650</xdr:rowOff>
        </xdr:from>
        <xdr:to>
          <xdr:col>9</xdr:col>
          <xdr:colOff>723900</xdr:colOff>
          <xdr:row>3</xdr:row>
          <xdr:rowOff>266700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疏散应急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239"/>
  <sheetViews>
    <sheetView tabSelected="1" workbookViewId="0" zoomScale="85" zoomScaleNormal="85" showGridLines="true" showRowColHeaders="1">
      <selection activeCell="AA10" sqref="AA10"/>
    </sheetView>
  </sheetViews>
  <sheetFormatPr defaultRowHeight="14.4" defaultColWidth="8.6640625" outlineLevelRow="0" outlineLevelCol="0"/>
  <cols>
    <col min="1" max="1" width="8.5" customWidth="true" style="2"/>
    <col min="2" max="2" width="8.5" customWidth="true" style="2"/>
    <col min="3" max="3" width="6.83203125" customWidth="true" style="2"/>
    <col min="4" max="4" width="6.83203125" customWidth="true" style="2"/>
    <col min="5" max="5" width="6.83203125" customWidth="true" style="2"/>
    <col min="6" max="6" width="7.6640625" customWidth="true" style="2"/>
    <col min="7" max="7" width="11.1640625" customWidth="true" style="21"/>
    <col min="8" max="8" width="11.1640625" customWidth="true" style="21"/>
    <col min="9" max="9" width="11.1640625" customWidth="true" style="21"/>
    <col min="10" max="10" width="11.4140625" customWidth="true" style="21"/>
    <col min="11" max="11" width="11.4140625" hidden="true" customWidth="true" style="2"/>
    <col min="12" max="12" width="11.4140625" hidden="true" customWidth="true" style="2"/>
    <col min="13" max="13" width="11.4140625" hidden="true" customWidth="true" style="2"/>
    <col min="14" max="14" width="11.4140625" hidden="true" customWidth="true" style="2"/>
    <col min="15" max="15" width="11.4140625" hidden="true" customWidth="true" style="2"/>
    <col min="16" max="16" width="11.4140625" hidden="true" customWidth="true" style="2"/>
    <col min="17" max="17" width="11.4140625" hidden="true" customWidth="true" style="2"/>
    <col min="18" max="18" width="11.4140625" hidden="true" customWidth="true" style="2"/>
    <col min="19" max="19" width="11.4140625" hidden="true" customWidth="true" style="2"/>
    <col min="20" max="20" width="11.4140625" hidden="true" customWidth="true" style="2"/>
    <col min="21" max="21" width="11.4140625" hidden="true" customWidth="true" style="2"/>
    <col min="22" max="22" width="11.4140625" hidden="true" customWidth="true" style="2"/>
    <col min="23" max="23" width="11.4140625" hidden="true" customWidth="true" style="2"/>
    <col min="24" max="24" width="11.4140625" customWidth="true" style="2"/>
    <col min="25" max="25" width="8.6640625" style="2"/>
  </cols>
  <sheetData>
    <row r="1" spans="1:25" customHeight="1" ht="26.5">
      <c r="A1" s="124" t="s">
        <v>0</v>
      </c>
      <c r="B1" s="124"/>
      <c r="C1" s="124" t="s">
        <v>1</v>
      </c>
      <c r="D1" s="124"/>
      <c r="E1" s="124"/>
      <c r="F1" s="124"/>
      <c r="G1" s="31" t="s">
        <v>2</v>
      </c>
      <c r="H1" s="125" t="s">
        <v>3</v>
      </c>
      <c r="I1" s="125"/>
      <c r="J1" s="125"/>
    </row>
    <row r="2" spans="1:25" customHeight="1" ht="26.5">
      <c r="A2" s="124" t="s">
        <v>4</v>
      </c>
      <c r="B2" s="124"/>
      <c r="C2" s="124" t="s">
        <v>5</v>
      </c>
      <c r="D2" s="124"/>
      <c r="E2" s="124"/>
      <c r="F2" s="124"/>
      <c r="G2" s="31" t="s">
        <v>6</v>
      </c>
      <c r="H2" s="31">
        <v>123456789</v>
      </c>
      <c r="I2" s="31" t="s">
        <v>7</v>
      </c>
      <c r="J2" s="31">
        <v>123456789</v>
      </c>
    </row>
    <row r="3" spans="1:25" customHeight="1" ht="26.5">
      <c r="A3" s="116" t="s">
        <v>8</v>
      </c>
      <c r="B3" s="117"/>
      <c r="C3" s="117"/>
      <c r="D3" s="117"/>
      <c r="E3" s="117"/>
      <c r="F3" s="117"/>
      <c r="G3" s="117"/>
      <c r="H3" s="117"/>
      <c r="I3" s="117"/>
      <c r="J3" s="118"/>
      <c r="K3" s="111" t="s">
        <v>9</v>
      </c>
      <c r="L3" s="112"/>
      <c r="M3" s="112"/>
      <c r="N3" s="112"/>
      <c r="O3" s="4" t="s">
        <v>10</v>
      </c>
      <c r="P3" s="112" t="s">
        <v>11</v>
      </c>
      <c r="Q3" s="112"/>
      <c r="R3" s="112"/>
      <c r="S3" s="112"/>
      <c r="T3" s="112"/>
      <c r="U3" s="112"/>
      <c r="V3" s="112" t="s">
        <v>12</v>
      </c>
      <c r="W3" s="112"/>
      <c r="X3" s="106" t="s">
        <v>13</v>
      </c>
    </row>
    <row r="4" spans="1:25" customHeight="1" ht="26.5">
      <c r="A4" s="5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/>
      <c r="H4" s="5"/>
      <c r="I4" s="5"/>
      <c r="J4" s="5"/>
      <c r="K4" s="6" t="s">
        <v>20</v>
      </c>
      <c r="L4" s="6" t="s">
        <v>21</v>
      </c>
      <c r="M4" s="6" t="s">
        <v>22</v>
      </c>
      <c r="N4" s="6" t="s">
        <v>23</v>
      </c>
      <c r="O4" s="6" t="s">
        <v>24</v>
      </c>
      <c r="P4" s="6" t="s">
        <v>25</v>
      </c>
      <c r="Q4" s="7" t="s">
        <v>26</v>
      </c>
      <c r="R4" s="7" t="s">
        <v>27</v>
      </c>
      <c r="S4" s="6" t="s">
        <v>28</v>
      </c>
      <c r="T4" s="6" t="s">
        <v>29</v>
      </c>
      <c r="U4" s="6" t="s">
        <v>30</v>
      </c>
      <c r="V4" s="6" t="s">
        <v>29</v>
      </c>
      <c r="W4" s="6" t="s">
        <v>30</v>
      </c>
      <c r="X4" s="107">
        <v>0</v>
      </c>
    </row>
    <row r="5" spans="1:25" customHeight="1" ht="26.5">
      <c r="A5" s="5" t="s">
        <v>31</v>
      </c>
      <c r="B5" s="5">
        <v>1500</v>
      </c>
      <c r="C5" s="8">
        <v>0</v>
      </c>
      <c r="D5" s="9">
        <v>10</v>
      </c>
      <c r="E5" s="5" t="s">
        <v>32</v>
      </c>
      <c r="F5" s="5" t="s">
        <v>33</v>
      </c>
      <c r="G5" s="9" t="b">
        <v>0</v>
      </c>
      <c r="H5" s="9" t="b">
        <v>1</v>
      </c>
      <c r="I5" s="9" t="b">
        <v>0</v>
      </c>
      <c r="J5" s="9" t="b">
        <v>1</v>
      </c>
      <c r="K5" s="36" t="s">
        <v>34</v>
      </c>
      <c r="L5" s="36" t="s">
        <v>35</v>
      </c>
      <c r="M5" s="36" t="s">
        <v>36</v>
      </c>
      <c r="N5" s="36" t="s">
        <v>36</v>
      </c>
      <c r="O5" s="36" t="s">
        <v>37</v>
      </c>
      <c r="P5" s="36"/>
      <c r="Q5" s="36" t="s">
        <v>38</v>
      </c>
      <c r="R5" s="36" t="s">
        <v>38</v>
      </c>
      <c r="S5" s="36" t="s">
        <v>38</v>
      </c>
      <c r="T5" s="36" t="s">
        <v>38</v>
      </c>
      <c r="U5" s="36" t="s">
        <v>38</v>
      </c>
      <c r="V5" s="36" t="s">
        <v>38</v>
      </c>
      <c r="W5" s="36" t="s">
        <v>38</v>
      </c>
      <c r="X5" s="107">
        <f>IF(F5="开票",X4,0)</f>
      </c>
    </row>
    <row r="6" spans="1:25" customHeight="1" ht="26.5">
      <c r="A6" s="113" t="s">
        <v>39</v>
      </c>
      <c r="B6" s="114"/>
      <c r="C6" s="114"/>
      <c r="D6" s="114"/>
      <c r="E6" s="114"/>
      <c r="F6" s="114"/>
      <c r="G6" s="114"/>
      <c r="H6" s="114"/>
      <c r="I6" s="114"/>
      <c r="J6" s="115"/>
      <c r="K6" s="10">
        <f>D14*1.3+E14*1</f>
      </c>
      <c r="L6" s="11">
        <v>64</v>
      </c>
      <c r="M6" s="12">
        <f>L6/6*F$14</f>
      </c>
      <c r="N6" s="13">
        <f>M6*G$14*0.55</f>
      </c>
      <c r="O6" s="14">
        <f>U6/A$8</f>
      </c>
      <c r="P6" s="15" t="s">
        <v>40</v>
      </c>
      <c r="Q6" s="15" t="s">
        <v>41</v>
      </c>
      <c r="R6" s="15" t="s">
        <v>42</v>
      </c>
      <c r="S6" s="16">
        <f>S14*K6</f>
      </c>
      <c r="T6" s="13">
        <f>N6+M6</f>
      </c>
      <c r="U6" s="13">
        <f>T6*S6</f>
      </c>
      <c r="V6" s="14">
        <f>A$16*O6/S6</f>
      </c>
      <c r="W6" s="14">
        <f>V6*S6</f>
      </c>
    </row>
    <row r="7" spans="1:25" customHeight="1" ht="26.5">
      <c r="A7" s="17" t="s">
        <v>43</v>
      </c>
      <c r="B7" s="17" t="s">
        <v>44</v>
      </c>
      <c r="C7" s="17" t="s">
        <v>45</v>
      </c>
      <c r="D7" s="17" t="s">
        <v>46</v>
      </c>
      <c r="E7" s="17" t="s">
        <v>47</v>
      </c>
      <c r="F7" s="17" t="s">
        <v>48</v>
      </c>
      <c r="G7" s="17" t="s">
        <v>49</v>
      </c>
      <c r="H7" s="17" t="s">
        <v>50</v>
      </c>
      <c r="I7" s="17" t="s">
        <v>51</v>
      </c>
      <c r="J7" s="17" t="str">
        <f>IF(X5=0,"不含税总价","含税总价")</f>
      </c>
      <c r="K7" s="10">
        <v>0.332</v>
      </c>
      <c r="L7" s="11">
        <v>85</v>
      </c>
      <c r="M7" s="12">
        <f>L7/6*F$14</f>
      </c>
      <c r="N7" s="13">
        <f>M7*G$14*0.55</f>
      </c>
      <c r="O7" s="14">
        <f>U7/A$8</f>
      </c>
      <c r="P7" s="15" t="s">
        <v>40</v>
      </c>
      <c r="Q7" s="15" t="s">
        <v>52</v>
      </c>
      <c r="R7" s="15" t="s">
        <v>42</v>
      </c>
      <c r="S7" s="16">
        <f>S$6*K7</f>
      </c>
      <c r="T7" s="13">
        <f>N7+M7</f>
      </c>
      <c r="U7" s="13">
        <f>T7*S7</f>
      </c>
      <c r="V7" s="14">
        <f>A$16*O7/S7</f>
      </c>
      <c r="W7" s="14">
        <f>V7*S7</f>
      </c>
    </row>
    <row r="8" spans="1:25" customHeight="1" ht="26.5">
      <c r="A8" s="18">
        <f>U22+U30+U47+U55</f>
      </c>
      <c r="B8" s="18">
        <f>A8*0.1206</f>
      </c>
      <c r="C8" s="18">
        <f>A8*0.03162</f>
      </c>
      <c r="D8" s="18">
        <f>A8*0.0414</f>
      </c>
      <c r="E8" s="18">
        <f>IF(A8*0.0237&lt;6000,6000,A8*0.0237)</f>
      </c>
      <c r="F8" s="18">
        <f>A8*0.1149</f>
      </c>
      <c r="G8" s="18">
        <f>A8*0.0204</f>
      </c>
      <c r="H8" s="18">
        <f>SUM(A8:G8)</f>
      </c>
      <c r="I8" s="18">
        <f>J8-H8</f>
      </c>
      <c r="J8" s="19">
        <f>H8*(1+X5)</f>
      </c>
      <c r="K8" s="10">
        <v>0.563</v>
      </c>
      <c r="L8" s="11">
        <v>98</v>
      </c>
      <c r="M8" s="12">
        <f>L8/6*F$14</f>
      </c>
      <c r="N8" s="13">
        <f>M8*G$14*0.55</f>
      </c>
      <c r="O8" s="14">
        <f>U8/A$8</f>
      </c>
      <c r="P8" s="15" t="s">
        <v>40</v>
      </c>
      <c r="Q8" s="15" t="s">
        <v>53</v>
      </c>
      <c r="R8" s="15" t="s">
        <v>42</v>
      </c>
      <c r="S8" s="16">
        <f>S$6*K8</f>
      </c>
      <c r="T8" s="13">
        <f>N8+M8</f>
      </c>
      <c r="U8" s="13">
        <f>T8*S8</f>
      </c>
      <c r="V8" s="14">
        <f>A$16*O8/S8</f>
      </c>
      <c r="W8" s="14">
        <f>V8*S8</f>
      </c>
    </row>
    <row r="9" spans="1:25" customHeight="1" ht="26.5">
      <c r="A9" s="122" t="s">
        <v>54</v>
      </c>
      <c r="B9" s="123"/>
      <c r="C9" s="123"/>
      <c r="D9" s="123"/>
      <c r="E9" s="123"/>
      <c r="F9" s="123"/>
      <c r="G9" s="123"/>
      <c r="H9" s="123"/>
      <c r="I9" s="123"/>
      <c r="J9" s="123"/>
      <c r="K9" s="10">
        <v>0.185</v>
      </c>
      <c r="L9" s="11">
        <v>135</v>
      </c>
      <c r="M9" s="12">
        <f>L9/6*F$14</f>
      </c>
      <c r="N9" s="13">
        <f>M9*G$14*0.55</f>
      </c>
      <c r="O9" s="14">
        <f>U9/A$8</f>
      </c>
      <c r="P9" s="15" t="s">
        <v>40</v>
      </c>
      <c r="Q9" s="15" t="s">
        <v>55</v>
      </c>
      <c r="R9" s="15" t="s">
        <v>42</v>
      </c>
      <c r="S9" s="16">
        <f>S$6*K9</f>
      </c>
      <c r="T9" s="13">
        <f>N9+M9</f>
      </c>
      <c r="U9" s="13">
        <f>T9*S9</f>
      </c>
      <c r="V9" s="14">
        <f>A$16*O9/S9</f>
      </c>
      <c r="W9" s="14">
        <f>V9*S9</f>
      </c>
    </row>
    <row r="10" spans="1:25" customHeight="1" ht="26.5">
      <c r="A10" s="20" t="s">
        <v>43</v>
      </c>
      <c r="B10" s="20" t="s">
        <v>44</v>
      </c>
      <c r="C10" s="20" t="s">
        <v>45</v>
      </c>
      <c r="D10" s="20" t="s">
        <v>46</v>
      </c>
      <c r="E10" s="20" t="s">
        <v>47</v>
      </c>
      <c r="F10" s="20" t="s">
        <v>48</v>
      </c>
      <c r="G10" s="20" t="s">
        <v>49</v>
      </c>
      <c r="H10" s="3" t="s">
        <v>50</v>
      </c>
      <c r="I10" s="3" t="s">
        <v>51</v>
      </c>
      <c r="J10" s="20" t="str">
        <f>IF(X5=0,"不含税总价","含税总价")</f>
      </c>
      <c r="K10" s="10">
        <v>0.176</v>
      </c>
      <c r="L10" s="11">
        <v>178</v>
      </c>
      <c r="M10" s="12">
        <f>L10/6*F$14</f>
      </c>
      <c r="N10" s="13">
        <f>M10*G$14*0.55</f>
      </c>
      <c r="O10" s="14">
        <f>U10/A$8</f>
      </c>
      <c r="P10" s="15" t="s">
        <v>40</v>
      </c>
      <c r="Q10" s="15" t="s">
        <v>56</v>
      </c>
      <c r="R10" s="15" t="s">
        <v>42</v>
      </c>
      <c r="S10" s="16">
        <f>S$6*K10</f>
      </c>
      <c r="T10" s="13">
        <f>N10+M10</f>
      </c>
      <c r="U10" s="13">
        <f>T10*S10</f>
      </c>
      <c r="V10" s="14">
        <f>A$16*O10/S10</f>
      </c>
      <c r="W10" s="14">
        <f>V10*S10</f>
      </c>
    </row>
    <row r="11" spans="1:25" customHeight="1" ht="26.5">
      <c r="A11" s="3">
        <f>W22+W30+W47+W55</f>
      </c>
      <c r="B11" s="3">
        <f>A11*0.1206</f>
      </c>
      <c r="C11" s="3">
        <f>A11*0.03162</f>
      </c>
      <c r="D11" s="3">
        <f>A11*0.0414</f>
      </c>
      <c r="E11" s="3">
        <f>IF(A11*0.0237&lt;6000,6000,A11*0.0237)</f>
      </c>
      <c r="F11" s="3">
        <f>A11*0.1149</f>
      </c>
      <c r="G11" s="3">
        <f>H11-SUM(A11:F11)</f>
      </c>
      <c r="H11" s="3">
        <f>J11-I11</f>
      </c>
      <c r="I11" s="3">
        <f>J11*H17</f>
      </c>
      <c r="J11" s="20">
        <v>200000</v>
      </c>
      <c r="K11" s="10">
        <v>0.11</v>
      </c>
      <c r="L11" s="11">
        <v>210</v>
      </c>
      <c r="M11" s="12">
        <f>L11/6*F$14</f>
      </c>
      <c r="N11" s="13">
        <f>M11*G$14*0.55</f>
      </c>
      <c r="O11" s="14">
        <f>U11/A$8</f>
      </c>
      <c r="P11" s="15" t="s">
        <v>40</v>
      </c>
      <c r="Q11" s="15" t="s">
        <v>57</v>
      </c>
      <c r="R11" s="15" t="s">
        <v>42</v>
      </c>
      <c r="S11" s="16">
        <f>S$6*K11</f>
      </c>
      <c r="T11" s="13">
        <f>N11+M11</f>
      </c>
      <c r="U11" s="13">
        <f>T11*S11</f>
      </c>
      <c r="V11" s="14">
        <f>A$16*O11/S11</f>
      </c>
      <c r="W11" s="14">
        <f>V11*S11</f>
      </c>
    </row>
    <row r="12" spans="1:25" customHeight="1" ht="32.5" hidden="true">
      <c r="A12" s="119" t="s">
        <v>58</v>
      </c>
      <c r="B12" s="120"/>
      <c r="C12" s="120"/>
      <c r="D12" s="120"/>
      <c r="E12" s="120"/>
      <c r="F12" s="120"/>
      <c r="G12" s="120"/>
      <c r="H12" s="121"/>
      <c r="K12" s="10">
        <v>0.0143</v>
      </c>
      <c r="L12" s="11">
        <v>285</v>
      </c>
      <c r="M12" s="12">
        <f>L12/6*F$14</f>
      </c>
      <c r="N12" s="13">
        <f>M12*G$14*0.55</f>
      </c>
      <c r="O12" s="14">
        <f>U12/A$8</f>
      </c>
      <c r="P12" s="15" t="s">
        <v>40</v>
      </c>
      <c r="Q12" s="15" t="s">
        <v>59</v>
      </c>
      <c r="R12" s="15" t="s">
        <v>42</v>
      </c>
      <c r="S12" s="16">
        <f>A$14/K$14*K12</f>
      </c>
      <c r="T12" s="13">
        <f>N12+M12</f>
      </c>
      <c r="U12" s="13">
        <f>T12*S12</f>
      </c>
      <c r="V12" s="14">
        <f>A$16*O12/S12</f>
      </c>
      <c r="W12" s="14">
        <f>V12*S12</f>
      </c>
    </row>
    <row r="13" spans="1:25" customHeight="1" ht="32.5" hidden="true">
      <c r="A13" s="11" t="s">
        <v>60</v>
      </c>
      <c r="B13" s="11" t="s">
        <v>61</v>
      </c>
      <c r="C13" s="11" t="s">
        <v>62</v>
      </c>
      <c r="D13" s="22" t="s">
        <v>63</v>
      </c>
      <c r="E13" s="11" t="s">
        <v>64</v>
      </c>
      <c r="F13" s="11" t="s">
        <v>65</v>
      </c>
      <c r="G13" s="11" t="s">
        <v>66</v>
      </c>
      <c r="H13" s="11" t="s">
        <v>67</v>
      </c>
      <c r="K13" s="10">
        <v>0.008</v>
      </c>
      <c r="L13" s="11">
        <v>512</v>
      </c>
      <c r="M13" s="12">
        <f>L13/6*F$14</f>
      </c>
      <c r="N13" s="13">
        <f>M13*G$14*0.55</f>
      </c>
      <c r="O13" s="14">
        <f>U13/A$8</f>
      </c>
      <c r="P13" s="15" t="s">
        <v>40</v>
      </c>
      <c r="Q13" s="15" t="s">
        <v>68</v>
      </c>
      <c r="R13" s="15" t="s">
        <v>42</v>
      </c>
      <c r="S13" s="16">
        <f>A$14/K$14*K13</f>
      </c>
      <c r="T13" s="13">
        <f>N13+M13</f>
      </c>
      <c r="U13" s="13">
        <f>T13*S13</f>
      </c>
      <c r="V13" s="14">
        <f>A$16*O13/S13</f>
      </c>
      <c r="W13" s="14">
        <f>V13*S13</f>
      </c>
    </row>
    <row r="14" spans="1:25" customHeight="1" ht="32.5" hidden="true" s="24" customFormat="1">
      <c r="A14" s="22">
        <f>B5+C14</f>
      </c>
      <c r="B14" s="22">
        <f>C5+C14</f>
      </c>
      <c r="C14" s="23">
        <v>1.0E-6</v>
      </c>
      <c r="D14" s="22">
        <f>A14/(A14+B14)</f>
      </c>
      <c r="E14" s="23">
        <f>1-D14+0.2</f>
      </c>
      <c r="F14" s="11">
        <f>IF(AND(A5="主城"),1.5,IF(AND(A5="区县"),1.75))</f>
      </c>
      <c r="G14" s="23">
        <f>D14*1.2+E14+H14</f>
      </c>
      <c r="H14" s="11">
        <f>D5*0.027</f>
      </c>
      <c r="K14" s="10">
        <f>IF(AND(E5="酒店/宾馆"),6.85,IF(AND(E5="商场/超市"),9.31,IF(AND(E5="医疗/养老"),7.87,IF(AND(E5="学习/办公"),8.65,IF(AND(E5="娱乐/休闲"),7.52,IF(AND(E5="厂房/仓库"),9.01,0))))))</f>
      </c>
      <c r="L14" s="11">
        <v>7.5</v>
      </c>
      <c r="M14" s="25">
        <f>L14*F14</f>
      </c>
      <c r="N14" s="13">
        <f>M14*G$14*1.15</f>
      </c>
      <c r="O14" s="14">
        <f>U14/A$8</f>
      </c>
      <c r="P14" s="15" t="s">
        <v>69</v>
      </c>
      <c r="Q14" s="15" t="s">
        <v>70</v>
      </c>
      <c r="R14" s="15" t="s">
        <v>71</v>
      </c>
      <c r="S14" s="26">
        <f>(A14+B14)/K14</f>
      </c>
      <c r="T14" s="13">
        <f>N14+M14</f>
      </c>
      <c r="U14" s="13">
        <f>T14*S14</f>
      </c>
      <c r="V14" s="14">
        <f>A$16*O14/S14</f>
      </c>
      <c r="W14" s="14">
        <f>V14*S14</f>
      </c>
    </row>
    <row r="15" spans="1:25" customHeight="1" ht="32.5" hidden="true" s="24" customFormat="1">
      <c r="A15" s="108" t="s">
        <v>72</v>
      </c>
      <c r="B15" s="109"/>
      <c r="C15" s="109"/>
      <c r="D15" s="109"/>
      <c r="E15" s="109"/>
      <c r="F15" s="109"/>
      <c r="G15" s="109"/>
      <c r="H15" s="110"/>
      <c r="K15" s="10">
        <v>2000</v>
      </c>
      <c r="L15" s="11">
        <v>114</v>
      </c>
      <c r="M15" s="25">
        <f>L15*F$14</f>
      </c>
      <c r="N15" s="13">
        <f>M15*G$14*0.55</f>
      </c>
      <c r="O15" s="14">
        <f>U15/A$8</f>
      </c>
      <c r="P15" s="15" t="s">
        <v>73</v>
      </c>
      <c r="Q15" s="15" t="s">
        <v>41</v>
      </c>
      <c r="R15" s="15" t="s">
        <v>71</v>
      </c>
      <c r="S15" s="26">
        <f>IF((A14+B14)/K15&lt;D5,D5,(A14+B14)/K15)</f>
      </c>
      <c r="T15" s="13">
        <f>N15+M15</f>
      </c>
      <c r="U15" s="13">
        <f>T15*S15</f>
      </c>
      <c r="V15" s="14">
        <f>A$16*O15/S15</f>
      </c>
      <c r="W15" s="14">
        <f>V15*S15</f>
      </c>
    </row>
    <row r="16" spans="1:25" customHeight="1" ht="32.5" hidden="true" s="24" customFormat="1">
      <c r="A16" s="1">
        <f>H11*A17</f>
      </c>
      <c r="B16" s="1">
        <f>H11*B17</f>
      </c>
      <c r="C16" s="1">
        <f>H11*C17</f>
      </c>
      <c r="D16" s="1">
        <f>H11*D17</f>
      </c>
      <c r="E16" s="1">
        <f>H11*E17</f>
      </c>
      <c r="F16" s="1">
        <f>H11*F17</f>
      </c>
      <c r="G16" s="1">
        <f>H$11*G17</f>
      </c>
      <c r="H16" s="3"/>
      <c r="K16" s="10"/>
      <c r="L16" s="11">
        <v>25</v>
      </c>
      <c r="M16" s="25">
        <f>L16*F$14</f>
      </c>
      <c r="N16" s="13">
        <f>M16*G$14*0.55</f>
      </c>
      <c r="O16" s="14">
        <f>U16/A$8</f>
      </c>
      <c r="P16" s="15" t="s">
        <v>74</v>
      </c>
      <c r="Q16" s="15" t="s">
        <v>41</v>
      </c>
      <c r="R16" s="15" t="s">
        <v>71</v>
      </c>
      <c r="S16" s="26">
        <f>S15</f>
      </c>
      <c r="T16" s="13">
        <f>N16+M16</f>
      </c>
      <c r="U16" s="13">
        <f>T16*S16</f>
      </c>
      <c r="V16" s="14">
        <f>A$16*O16/S16</f>
      </c>
      <c r="W16" s="14">
        <f>V16*S16</f>
      </c>
    </row>
    <row r="17" spans="1:25" customHeight="1" ht="32.5" hidden="true" s="24" customFormat="1">
      <c r="A17" s="73">
        <f>A8/H8</f>
      </c>
      <c r="B17" s="73">
        <f>B8/H8</f>
      </c>
      <c r="C17" s="73">
        <f>C8/H8</f>
      </c>
      <c r="D17" s="73">
        <f>D8/H8</f>
      </c>
      <c r="E17" s="73">
        <f>E8/H8</f>
      </c>
      <c r="F17" s="73">
        <f>F8/H8</f>
      </c>
      <c r="G17" s="73">
        <f>G8/H8</f>
      </c>
      <c r="H17" s="73">
        <f>I8/J8</f>
      </c>
      <c r="K17" s="10" t="s">
        <v>75</v>
      </c>
      <c r="L17" s="11">
        <v>231</v>
      </c>
      <c r="M17" s="25">
        <f>L17*F$14</f>
      </c>
      <c r="N17" s="13">
        <f>M17*G$14*0.55</f>
      </c>
      <c r="O17" s="14">
        <f>U17/A$8</f>
      </c>
      <c r="P17" s="15" t="s">
        <v>76</v>
      </c>
      <c r="Q17" s="15" t="str">
        <f>IF(AND(S13&gt;2),"DN150",IF(AND(S12&gt;2),"DN100","无"))</f>
      </c>
      <c r="R17" s="15" t="s">
        <v>71</v>
      </c>
      <c r="S17" s="26">
        <f>ABS(ABS(A14/K15-S15)-S15)</f>
      </c>
      <c r="T17" s="13">
        <f>N17+M17</f>
      </c>
      <c r="U17" s="13">
        <f>T17*S17</f>
      </c>
      <c r="V17" s="14">
        <f>A$16*O17/S17</f>
      </c>
      <c r="W17" s="14">
        <f>V17*S17</f>
      </c>
    </row>
    <row r="18" spans="1:25" customHeight="1" ht="32.5" s="24" customFormat="1">
      <c r="A18" s="30" t="s">
        <v>77</v>
      </c>
      <c r="B18" s="30">
        <v>400000</v>
      </c>
      <c r="C18" s="2" t="s">
        <v>78</v>
      </c>
      <c r="D18" s="105">
        <f>清单报价表!F71+清单报价表!F72+清单报价表!F73+清单报价表!F74+清单报价表!F76+清单报价表!F83+清单报价表!F84+清单报价表!F85+清单报价表!F86+清单报价表!F115+清单报价表!F116+清单报价表!F117+清单报价表!F118</f>
      </c>
      <c r="E18" s="2" t="s">
        <v>79</v>
      </c>
      <c r="F18" s="24" t="s">
        <v>80</v>
      </c>
      <c r="K18" s="10" t="s">
        <v>75</v>
      </c>
      <c r="L18" s="11">
        <v>355</v>
      </c>
      <c r="M18" s="25">
        <f>L18*F$14</f>
      </c>
      <c r="N18" s="13">
        <f>M18*G$14*0.55</f>
      </c>
      <c r="O18" s="14">
        <f>U18/A$8</f>
      </c>
      <c r="P18" s="15" t="s">
        <v>81</v>
      </c>
      <c r="Q18" s="15" t="str">
        <f>IF(AND(S13&gt;2),"DN150",IF(AND(S12&gt;2),"DN100","无"))</f>
      </c>
      <c r="R18" s="15" t="s">
        <v>71</v>
      </c>
      <c r="S18" s="26">
        <f>S17</f>
      </c>
      <c r="T18" s="13">
        <f>N18+M18</f>
      </c>
      <c r="U18" s="13">
        <f>T18*S18</f>
      </c>
      <c r="V18" s="14">
        <f>A$16*O18/S18</f>
      </c>
      <c r="W18" s="14">
        <f>V18*S18</f>
      </c>
    </row>
    <row r="19" spans="1:25" customHeight="1" ht="32.5" s="24" customFormat="1">
      <c r="A19" s="30" t="s">
        <v>50</v>
      </c>
      <c r="B19" s="30">
        <f>IF(J11=0,J8,J11)</f>
      </c>
      <c r="C19" s="2" t="s">
        <v>82</v>
      </c>
      <c r="D19" s="105">
        <f>清单报价表!F12+清单报价表!F17+清单报价表!F18</f>
      </c>
      <c r="E19" s="2">
        <f>J8/(C5+B5)</f>
      </c>
      <c r="F19" s="24">
        <f>(D19+D18)*90+清单报价表!F45*600</f>
      </c>
      <c r="K19" s="10" t="s">
        <v>75</v>
      </c>
      <c r="L19" s="11">
        <v>68</v>
      </c>
      <c r="M19" s="25">
        <f>L19*F$14</f>
      </c>
      <c r="N19" s="13">
        <f>M19*G$14*0.55</f>
      </c>
      <c r="O19" s="14">
        <f>U19/A$8</f>
      </c>
      <c r="P19" s="15" t="s">
        <v>83</v>
      </c>
      <c r="Q19" s="15" t="str">
        <f>IF(AND(S13&gt;2),"DN150",IF(AND(S12&gt;2),"DN100","无"))</f>
      </c>
      <c r="R19" s="15" t="s">
        <v>71</v>
      </c>
      <c r="S19" s="26">
        <f>S18*2</f>
      </c>
      <c r="T19" s="13">
        <f>N19+M19</f>
      </c>
      <c r="U19" s="13">
        <f>T19*S19</f>
      </c>
      <c r="V19" s="14">
        <f>A$16*O19/S19</f>
      </c>
      <c r="W19" s="14">
        <f>V19*S19</f>
      </c>
    </row>
    <row r="20" spans="1:25" customHeight="1" ht="32.5" s="24" customFormat="1">
      <c r="K20" s="10">
        <f>1.5*1.8</f>
      </c>
      <c r="L20" s="11">
        <v>5.38</v>
      </c>
      <c r="M20" s="25">
        <f>L20*F$14</f>
      </c>
      <c r="N20" s="13">
        <f>M20*G$14*0.55</f>
      </c>
      <c r="O20" s="14">
        <f>U20/A$8</f>
      </c>
      <c r="P20" s="15" t="s">
        <v>84</v>
      </c>
      <c r="Q20" s="15" t="s">
        <v>85</v>
      </c>
      <c r="R20" s="15" t="s">
        <v>86</v>
      </c>
      <c r="S20" s="16">
        <f>SUM(S6:S13)/K20</f>
      </c>
      <c r="T20" s="13">
        <f>N20+M20</f>
      </c>
      <c r="U20" s="13">
        <f>T20*S20</f>
      </c>
      <c r="V20" s="14">
        <f>A$16*O20/S20</f>
      </c>
      <c r="W20" s="14">
        <f>V20*S20</f>
      </c>
    </row>
    <row r="21" spans="1:25" customHeight="1" ht="32.5" s="24" customFormat="1">
      <c r="K21" s="10" t="s">
        <v>75</v>
      </c>
      <c r="L21" s="11">
        <v>0.84</v>
      </c>
      <c r="M21" s="25">
        <f>L21*F$14</f>
      </c>
      <c r="N21" s="13">
        <f>M21*G$14*0.55</f>
      </c>
      <c r="O21" s="14">
        <f>U21/A$8</f>
      </c>
      <c r="P21" s="15" t="s">
        <v>87</v>
      </c>
      <c r="Q21" s="15" t="s">
        <v>88</v>
      </c>
      <c r="R21" s="15" t="s">
        <v>86</v>
      </c>
      <c r="S21" s="16">
        <f>S20</f>
      </c>
      <c r="T21" s="13">
        <f>N21+M21</f>
      </c>
      <c r="U21" s="13">
        <f>T21*S21</f>
      </c>
      <c r="V21" s="14">
        <f>A$16*O21/S21</f>
      </c>
      <c r="W21" s="14">
        <f>V21*S21</f>
      </c>
    </row>
    <row r="22" spans="1:25" customHeight="1" ht="32.5" s="24" customFormat="1">
      <c r="K22" s="10"/>
      <c r="L22" s="11"/>
      <c r="M22" s="25"/>
      <c r="N22" s="13"/>
      <c r="O22" s="27"/>
      <c r="P22" s="15"/>
      <c r="Q22" s="15"/>
      <c r="R22" s="15"/>
      <c r="S22" s="16"/>
      <c r="T22" s="27" t="s">
        <v>89</v>
      </c>
      <c r="U22" s="27">
        <f>IF(G5=TRUE,SUM(U6:U21),0)</f>
      </c>
      <c r="V22" s="27"/>
      <c r="W22" s="27">
        <f>IF(G5=TRUE,SUM(W6:W21),0)</f>
      </c>
    </row>
    <row r="23" spans="1:25" customHeight="1" ht="32.5" s="24" customFormat="1">
      <c r="K23" s="28"/>
      <c r="L23" s="28"/>
      <c r="M23" s="28"/>
      <c r="N23" s="28"/>
      <c r="O23" s="14"/>
      <c r="P23" s="28" t="s">
        <v>90</v>
      </c>
      <c r="Q23" s="28"/>
      <c r="R23" s="28"/>
      <c r="S23" s="28"/>
      <c r="T23" s="28"/>
      <c r="U23" s="28"/>
      <c r="V23" s="14"/>
      <c r="W23" s="14"/>
    </row>
    <row r="24" spans="1:25" customHeight="1" ht="32.5" s="24" customFormat="1">
      <c r="K24" s="10">
        <v>3.4</v>
      </c>
      <c r="L24" s="11">
        <v>178</v>
      </c>
      <c r="M24" s="12">
        <f>L24/6*F$14</f>
      </c>
      <c r="N24" s="13">
        <f>M24*G$14*0.55</f>
      </c>
      <c r="O24" s="14">
        <f>U24/A$8</f>
      </c>
      <c r="P24" s="15" t="s">
        <v>40</v>
      </c>
      <c r="Q24" s="15" t="s">
        <v>56</v>
      </c>
      <c r="R24" s="15" t="s">
        <v>42</v>
      </c>
      <c r="S24" s="16">
        <f>S26*K24</f>
      </c>
      <c r="T24" s="13">
        <f>N24+M24</f>
      </c>
      <c r="U24" s="13">
        <f>T24*S24</f>
      </c>
      <c r="V24" s="14">
        <f>A$16*O24/S24</f>
      </c>
      <c r="W24" s="14">
        <f>V24*S24</f>
      </c>
    </row>
    <row r="25" spans="1:25" customHeight="1" ht="32.5" s="24" customFormat="1">
      <c r="K25" s="10">
        <v>10.8</v>
      </c>
      <c r="L25" s="11">
        <v>285</v>
      </c>
      <c r="M25" s="12">
        <f>L25/6*F$14</f>
      </c>
      <c r="N25" s="13">
        <f>M25*G$14*0.55</f>
      </c>
      <c r="O25" s="14">
        <f>U25/A$8</f>
      </c>
      <c r="P25" s="15" t="s">
        <v>40</v>
      </c>
      <c r="Q25" s="15" t="s">
        <v>59</v>
      </c>
      <c r="R25" s="15" t="s">
        <v>42</v>
      </c>
      <c r="S25" s="16">
        <f>A14/K26*K25</f>
      </c>
      <c r="T25" s="13">
        <f>N25+M25</f>
      </c>
      <c r="U25" s="13">
        <f>T25*S25</f>
      </c>
      <c r="V25" s="14">
        <f>A$16*O25/S25</f>
      </c>
      <c r="W25" s="14">
        <f>V25*S25</f>
      </c>
    </row>
    <row r="26" spans="1:25" customHeight="1" ht="32.5" s="24" customFormat="1">
      <c r="K26" s="10">
        <v>298</v>
      </c>
      <c r="L26" s="11">
        <v>430</v>
      </c>
      <c r="M26" s="25">
        <f>L26*F$14</f>
      </c>
      <c r="N26" s="13">
        <f>M26*G$14*0.55</f>
      </c>
      <c r="O26" s="14">
        <f>U26/A$8</f>
      </c>
      <c r="P26" s="15" t="s">
        <v>91</v>
      </c>
      <c r="Q26" s="15" t="s">
        <v>92</v>
      </c>
      <c r="R26" s="15" t="s">
        <v>93</v>
      </c>
      <c r="S26" s="26">
        <f>A14/K26+B14/K26</f>
      </c>
      <c r="T26" s="13">
        <f>N26+M26</f>
      </c>
      <c r="U26" s="13">
        <f>T26*S26</f>
      </c>
      <c r="V26" s="14">
        <f>A$16*O26/S26</f>
      </c>
      <c r="W26" s="14">
        <f>V26*S26</f>
      </c>
    </row>
    <row r="27" spans="1:25" customHeight="1" ht="32.5" s="24" customFormat="1">
      <c r="K27" s="10">
        <v>298</v>
      </c>
      <c r="L27" s="11">
        <v>118</v>
      </c>
      <c r="M27" s="25">
        <f>L27*F$14</f>
      </c>
      <c r="N27" s="13">
        <f>M27*G$14*0.55</f>
      </c>
      <c r="O27" s="14">
        <f>U27/A$8</f>
      </c>
      <c r="P27" s="15" t="s">
        <v>94</v>
      </c>
      <c r="Q27" s="15" t="s">
        <v>95</v>
      </c>
      <c r="R27" s="15" t="s">
        <v>93</v>
      </c>
      <c r="S27" s="26">
        <f>S26</f>
      </c>
      <c r="T27" s="13">
        <f>N27+M27</f>
      </c>
      <c r="U27" s="13">
        <f>T27*S27</f>
      </c>
      <c r="V27" s="14">
        <f>A$16*O27/S27</f>
      </c>
      <c r="W27" s="14">
        <f>V27*S27</f>
      </c>
    </row>
    <row r="28" spans="1:25" customHeight="1" ht="32.5" s="24" customFormat="1">
      <c r="K28" s="10">
        <v>2.7</v>
      </c>
      <c r="L28" s="11">
        <v>13.66</v>
      </c>
      <c r="M28" s="25">
        <f>L28*F$14</f>
      </c>
      <c r="N28" s="13">
        <f>M28*G$14*0.55</f>
      </c>
      <c r="O28" s="14">
        <f>U28/A$8</f>
      </c>
      <c r="P28" s="15" t="s">
        <v>84</v>
      </c>
      <c r="Q28" s="15" t="s">
        <v>85</v>
      </c>
      <c r="R28" s="15" t="s">
        <v>86</v>
      </c>
      <c r="S28" s="16">
        <f>(S25+S24)*K28</f>
      </c>
      <c r="T28" s="13">
        <f>N28+M28</f>
      </c>
      <c r="U28" s="13">
        <f>T28*S28</f>
      </c>
      <c r="V28" s="14">
        <f>A$16*O28/S28</f>
      </c>
      <c r="W28" s="14">
        <f>V28*S28</f>
      </c>
    </row>
    <row r="29" spans="1:25" customHeight="1" ht="32.5" s="24" customFormat="1">
      <c r="K29" s="10" t="s">
        <v>75</v>
      </c>
      <c r="L29" s="11">
        <v>0.84</v>
      </c>
      <c r="M29" s="25">
        <f>L29*F$14</f>
      </c>
      <c r="N29" s="13">
        <f>M29*G$14*0.55</f>
      </c>
      <c r="O29" s="14">
        <f>U29/A$8</f>
      </c>
      <c r="P29" s="15" t="s">
        <v>87</v>
      </c>
      <c r="Q29" s="15" t="s">
        <v>96</v>
      </c>
      <c r="R29" s="15" t="s">
        <v>86</v>
      </c>
      <c r="S29" s="16">
        <f>S28</f>
      </c>
      <c r="T29" s="13">
        <f>N29+M29</f>
      </c>
      <c r="U29" s="13">
        <f>T29*S29</f>
      </c>
      <c r="V29" s="14">
        <f>A$16*O29/S29</f>
      </c>
      <c r="W29" s="14">
        <f>V29*S29</f>
      </c>
    </row>
    <row r="30" spans="1:25" customHeight="1" ht="32.5" s="24" customFormat="1">
      <c r="K30" s="15"/>
      <c r="L30" s="29"/>
      <c r="M30" s="25"/>
      <c r="N30" s="13"/>
      <c r="O30" s="14"/>
      <c r="P30" s="15"/>
      <c r="Q30" s="15"/>
      <c r="R30" s="15"/>
      <c r="S30" s="16"/>
      <c r="T30" s="27" t="s">
        <v>89</v>
      </c>
      <c r="U30" s="27">
        <f>IF(H5=TRUE,SUM(U24:U29),0)</f>
      </c>
      <c r="V30" s="14"/>
      <c r="W30" s="14">
        <f>IF(H5=TRUE,SUM(W24:W29),0)</f>
      </c>
    </row>
    <row r="31" spans="1:25" customHeight="1" ht="32.5" s="24" customFormat="1">
      <c r="K31" s="28"/>
      <c r="L31" s="28"/>
      <c r="M31" s="28"/>
      <c r="N31" s="28"/>
      <c r="O31" s="14"/>
      <c r="P31" s="28" t="s">
        <v>90</v>
      </c>
      <c r="Q31" s="28"/>
      <c r="R31" s="28"/>
      <c r="S31" s="28"/>
      <c r="T31" s="28"/>
      <c r="U31" s="28"/>
      <c r="V31" s="14"/>
      <c r="W31" s="14"/>
    </row>
    <row r="32" spans="1:25" customHeight="1" ht="32.5" s="24" customFormat="1">
      <c r="K32" s="10">
        <f>IF(AND(E5="酒店/宾馆"),27.17,IF(AND(E5="商场/超市"),33.43,IF(AND(E5="医疗/养老"),30.48,IF(AND(E5="学习/办公"),32.25,IF(AND(E5="娱乐/休闲"),29.76,IF(AND(E5="厂房/仓库"),38.25,0))))))</f>
      </c>
      <c r="L32" s="11">
        <v>55</v>
      </c>
      <c r="M32" s="25">
        <f>L32*F$14</f>
      </c>
      <c r="N32" s="13">
        <f>M32*G$14*0.55</f>
      </c>
      <c r="O32" s="14">
        <f>U32/A$8</f>
      </c>
      <c r="P32" s="15" t="s">
        <v>97</v>
      </c>
      <c r="Q32" s="15"/>
      <c r="R32" s="15" t="s">
        <v>71</v>
      </c>
      <c r="S32" s="26">
        <f>(A14+B14)/K32</f>
      </c>
      <c r="T32" s="13">
        <f>N32+M32</f>
      </c>
      <c r="U32" s="13">
        <f>T32*S32</f>
      </c>
      <c r="V32" s="14">
        <f>A$16*O32/S32</f>
      </c>
      <c r="W32" s="14">
        <f>V32*S32</f>
      </c>
    </row>
    <row r="33" spans="1:25" customHeight="1" ht="32.5" s="24" customFormat="1">
      <c r="K33" s="10">
        <f>D5</f>
      </c>
      <c r="L33" s="11">
        <v>322</v>
      </c>
      <c r="M33" s="25">
        <f>L33*F$14</f>
      </c>
      <c r="N33" s="13">
        <f>M33*G$14*0.55</f>
      </c>
      <c r="O33" s="14">
        <f>U33/A$8</f>
      </c>
      <c r="P33" s="15" t="s">
        <v>98</v>
      </c>
      <c r="Q33" s="15"/>
      <c r="R33" s="15" t="s">
        <v>71</v>
      </c>
      <c r="S33" s="26">
        <f>K33</f>
      </c>
      <c r="T33" s="13">
        <f>N33+M33</f>
      </c>
      <c r="U33" s="13">
        <f>T33*S33</f>
      </c>
      <c r="V33" s="14">
        <f>A$16*O33/S33</f>
      </c>
      <c r="W33" s="14">
        <f>V33*S33</f>
      </c>
    </row>
    <row r="34" spans="1:25" customHeight="1" ht="32.5" s="24" customFormat="1">
      <c r="K34" s="10">
        <f>K32*0.06</f>
      </c>
      <c r="L34" s="11">
        <v>66</v>
      </c>
      <c r="M34" s="25">
        <f>L34*F$14</f>
      </c>
      <c r="N34" s="13">
        <f>M34*G$14*0.55</f>
      </c>
      <c r="O34" s="14">
        <f>U34/A$8</f>
      </c>
      <c r="P34" s="15" t="s">
        <v>99</v>
      </c>
      <c r="Q34" s="15"/>
      <c r="R34" s="15" t="s">
        <v>71</v>
      </c>
      <c r="S34" s="26">
        <f>S32*0.06</f>
      </c>
      <c r="T34" s="13">
        <f>N34+M34</f>
      </c>
      <c r="U34" s="13">
        <f>T34*S34</f>
      </c>
      <c r="V34" s="14">
        <f>A$16*O34/S34</f>
      </c>
      <c r="W34" s="14">
        <f>V34*S34</f>
      </c>
    </row>
    <row r="35" spans="1:25" customHeight="1" ht="32.5" s="24" customFormat="1">
      <c r="K35" s="10">
        <f>K34*0.43</f>
      </c>
      <c r="L35" s="11">
        <v>66</v>
      </c>
      <c r="M35" s="25">
        <f>L35*F$14</f>
      </c>
      <c r="N35" s="13">
        <f>M35*G$14*0.55</f>
      </c>
      <c r="O35" s="14">
        <f>U35/A$8</f>
      </c>
      <c r="P35" s="15" t="s">
        <v>100</v>
      </c>
      <c r="Q35" s="15"/>
      <c r="R35" s="15" t="s">
        <v>71</v>
      </c>
      <c r="S35" s="26">
        <f>S34*0.43</f>
      </c>
      <c r="T35" s="13">
        <f>N35+M35</f>
      </c>
      <c r="U35" s="13">
        <f>T35*S35</f>
      </c>
      <c r="V35" s="14">
        <f>A$16*O35/S35</f>
      </c>
      <c r="W35" s="14">
        <f>V35*S35</f>
      </c>
    </row>
    <row r="36" spans="1:25" customHeight="1" ht="32.5" s="24" customFormat="1">
      <c r="K36" s="10">
        <f>K33</f>
      </c>
      <c r="L36" s="11">
        <v>66</v>
      </c>
      <c r="M36" s="25">
        <f>L36*F$14</f>
      </c>
      <c r="N36" s="13">
        <f>M36*G$14*0.55</f>
      </c>
      <c r="O36" s="14">
        <f>U36/A$8</f>
      </c>
      <c r="P36" s="15" t="s">
        <v>101</v>
      </c>
      <c r="Q36" s="15"/>
      <c r="R36" s="15" t="s">
        <v>71</v>
      </c>
      <c r="S36" s="26">
        <f>K36</f>
      </c>
      <c r="T36" s="13">
        <f>N36+M36</f>
      </c>
      <c r="U36" s="13">
        <f>T36*S36</f>
      </c>
      <c r="V36" s="14">
        <f>A$16*O36/S36</f>
      </c>
      <c r="W36" s="14">
        <f>V36*S36</f>
      </c>
    </row>
    <row r="37" spans="1:25" customHeight="1" ht="32.5" s="24" customFormat="1">
      <c r="K37" s="10">
        <v>150</v>
      </c>
      <c r="L37" s="11">
        <v>75</v>
      </c>
      <c r="M37" s="25">
        <f>L37*F$14</f>
      </c>
      <c r="N37" s="13">
        <f>M37*G$14*0.55</f>
      </c>
      <c r="O37" s="14">
        <f>U37/A$8</f>
      </c>
      <c r="P37" s="15" t="s">
        <v>102</v>
      </c>
      <c r="Q37" s="15"/>
      <c r="R37" s="15" t="s">
        <v>71</v>
      </c>
      <c r="S37" s="26">
        <f>(A14+B14)/K37</f>
      </c>
      <c r="T37" s="13">
        <f>N37+M37</f>
      </c>
      <c r="U37" s="13">
        <f>T37*S37</f>
      </c>
      <c r="V37" s="14">
        <f>A$16*O37/S37</f>
      </c>
      <c r="W37" s="14">
        <f>V37*S37</f>
      </c>
    </row>
    <row r="38" spans="1:25" customHeight="1" ht="32.5" s="24" customFormat="1">
      <c r="K38" s="10">
        <f>K40</f>
      </c>
      <c r="L38" s="11">
        <v>75</v>
      </c>
      <c r="M38" s="25">
        <f>L38*F$14</f>
      </c>
      <c r="N38" s="13">
        <f>M38*G$14*0.55</f>
      </c>
      <c r="O38" s="14">
        <f>U38/A$8</f>
      </c>
      <c r="P38" s="15" t="s">
        <v>103</v>
      </c>
      <c r="Q38" s="15"/>
      <c r="R38" s="15" t="s">
        <v>71</v>
      </c>
      <c r="S38" s="26">
        <f>(A14+B14)/K38</f>
      </c>
      <c r="T38" s="13">
        <f>N38+M38</f>
      </c>
      <c r="U38" s="13">
        <f>T38*S38</f>
      </c>
      <c r="V38" s="14">
        <f>A$16*O38/S38</f>
      </c>
      <c r="W38" s="14">
        <f>V38*S38</f>
      </c>
    </row>
    <row r="39" spans="1:25" customHeight="1" ht="32.5" s="24" customFormat="1">
      <c r="K39" s="10">
        <f>D5</f>
      </c>
      <c r="L39" s="11">
        <v>231</v>
      </c>
      <c r="M39" s="25">
        <f>L39*F$14</f>
      </c>
      <c r="N39" s="13">
        <f>M39*G$14*0.55</f>
      </c>
      <c r="O39" s="14">
        <f>U39/A$8</f>
      </c>
      <c r="P39" s="15" t="s">
        <v>104</v>
      </c>
      <c r="Q39" s="15"/>
      <c r="R39" s="15" t="s">
        <v>71</v>
      </c>
      <c r="S39" s="26">
        <f>K39</f>
      </c>
      <c r="T39" s="13">
        <f>N39+M39</f>
      </c>
      <c r="U39" s="13">
        <f>T39*S39</f>
      </c>
      <c r="V39" s="14">
        <f>A$16*O39/S39</f>
      </c>
      <c r="W39" s="14">
        <f>V39*S39</f>
      </c>
    </row>
    <row r="40" spans="1:25" customHeight="1" ht="32.5" s="24" customFormat="1">
      <c r="K40" s="10">
        <v>298</v>
      </c>
      <c r="L40" s="11">
        <v>66</v>
      </c>
      <c r="M40" s="25">
        <f>L40*F$14</f>
      </c>
      <c r="N40" s="13">
        <f>M40*G$14*0.55</f>
      </c>
      <c r="O40" s="14">
        <f>U40/A$8</f>
      </c>
      <c r="P40" s="15" t="s">
        <v>105</v>
      </c>
      <c r="Q40" s="15"/>
      <c r="R40" s="15" t="s">
        <v>71</v>
      </c>
      <c r="S40" s="26">
        <f>(A14+B14)/K40</f>
      </c>
      <c r="T40" s="13">
        <f>N40+M40</f>
      </c>
      <c r="U40" s="13">
        <f>T40*S40</f>
      </c>
      <c r="V40" s="14">
        <f>A$16*O40/S40</f>
      </c>
      <c r="W40" s="14">
        <f>V40*S40</f>
      </c>
    </row>
    <row r="41" spans="1:25" customHeight="1" ht="32.5" s="24" customFormat="1">
      <c r="K41" s="10">
        <v>567</v>
      </c>
      <c r="L41" s="11">
        <v>66</v>
      </c>
      <c r="M41" s="25">
        <f>L41*F$14</f>
      </c>
      <c r="N41" s="13">
        <f>M41*G$14*0.55</f>
      </c>
      <c r="O41" s="14">
        <f>U41/A$8</f>
      </c>
      <c r="P41" s="15" t="s">
        <v>106</v>
      </c>
      <c r="Q41" s="15"/>
      <c r="R41" s="15" t="s">
        <v>71</v>
      </c>
      <c r="S41" s="26">
        <f>(A14+B14)/K41</f>
      </c>
      <c r="T41" s="13">
        <f>N41+M41</f>
      </c>
      <c r="U41" s="13">
        <f>T41*S41</f>
      </c>
      <c r="V41" s="14">
        <f>A$16*O41/S41</f>
      </c>
      <c r="W41" s="14">
        <f>V41*S41</f>
      </c>
    </row>
    <row r="42" spans="1:25" customHeight="1" ht="32.5" s="24" customFormat="1">
      <c r="K42" s="10" t="s">
        <v>75</v>
      </c>
      <c r="L42" s="11">
        <v>2.3</v>
      </c>
      <c r="M42" s="25">
        <f>L42*F$14</f>
      </c>
      <c r="N42" s="13">
        <f>M42*G$14*0.55</f>
      </c>
      <c r="O42" s="14">
        <f>U42/A$8</f>
      </c>
      <c r="P42" s="15" t="s">
        <v>107</v>
      </c>
      <c r="Q42" s="15"/>
      <c r="R42" s="15" t="s">
        <v>42</v>
      </c>
      <c r="S42" s="16">
        <f>SUM(S43:S45)+S46/2</f>
      </c>
      <c r="T42" s="13">
        <f>N42+M42</f>
      </c>
      <c r="U42" s="13">
        <f>T42*S42</f>
      </c>
      <c r="V42" s="14">
        <f>A$16*O42/S42</f>
      </c>
      <c r="W42" s="14">
        <f>V42*S42</f>
      </c>
    </row>
    <row r="43" spans="1:25" customHeight="1" ht="32.5" s="24" customFormat="1">
      <c r="K43" s="10">
        <v>8</v>
      </c>
      <c r="L43" s="11">
        <v>1.75</v>
      </c>
      <c r="M43" s="25">
        <f>L43*F$14</f>
      </c>
      <c r="N43" s="13">
        <f>M43*G$14*0.55</f>
      </c>
      <c r="O43" s="14">
        <f>U43/A$8</f>
      </c>
      <c r="P43" s="15" t="s">
        <v>108</v>
      </c>
      <c r="Q43" s="15" t="s">
        <v>109</v>
      </c>
      <c r="R43" s="15" t="s">
        <v>42</v>
      </c>
      <c r="S43" s="16">
        <f>(S41+S40+S39+S36+S35+S34+S33+S32)*K43</f>
      </c>
      <c r="T43" s="13">
        <f>N43+M43</f>
      </c>
      <c r="U43" s="13">
        <f>T43*S43</f>
      </c>
      <c r="V43" s="14">
        <f>A$16*O43/S43</f>
      </c>
      <c r="W43" s="14">
        <f>V43*S43</f>
      </c>
    </row>
    <row r="44" spans="1:25" customHeight="1" ht="32.5" s="24" customFormat="1">
      <c r="K44" s="10">
        <v>16</v>
      </c>
      <c r="L44" s="11">
        <v>5.5</v>
      </c>
      <c r="M44" s="25">
        <f>L44*F$14</f>
      </c>
      <c r="N44" s="13">
        <f>M44*G$14*0.55</f>
      </c>
      <c r="O44" s="14">
        <f>U44/A$8</f>
      </c>
      <c r="P44" s="15" t="s">
        <v>108</v>
      </c>
      <c r="Q44" s="15" t="s">
        <v>110</v>
      </c>
      <c r="R44" s="15" t="s">
        <v>42</v>
      </c>
      <c r="S44" s="16">
        <f>K33*K44</f>
      </c>
      <c r="T44" s="13">
        <f>N44+M44</f>
      </c>
      <c r="U44" s="13">
        <f>T44*S44</f>
      </c>
      <c r="V44" s="14">
        <f>A$16*O44/S44</f>
      </c>
      <c r="W44" s="14">
        <f>V44*S44</f>
      </c>
    </row>
    <row r="45" spans="1:25" customHeight="1" ht="32.5" s="24" customFormat="1">
      <c r="K45" s="10">
        <v>31.5</v>
      </c>
      <c r="L45" s="11">
        <v>3.5</v>
      </c>
      <c r="M45" s="25">
        <f>L45*F$14</f>
      </c>
      <c r="N45" s="13">
        <f>M45*G$14*0.55</f>
      </c>
      <c r="O45" s="14">
        <f>U45/A$8</f>
      </c>
      <c r="P45" s="15" t="s">
        <v>108</v>
      </c>
      <c r="Q45" s="15" t="s">
        <v>111</v>
      </c>
      <c r="R45" s="15" t="s">
        <v>42</v>
      </c>
      <c r="S45" s="16">
        <f>(S41+S40+S39+S38)*K45</f>
      </c>
      <c r="T45" s="13">
        <f>N45+M45</f>
      </c>
      <c r="U45" s="13">
        <f>T45*S45</f>
      </c>
      <c r="V45" s="14">
        <f>A$16*O45/S45</f>
      </c>
      <c r="W45" s="14">
        <f>V45*S45</f>
      </c>
    </row>
    <row r="46" spans="1:25" customHeight="1" ht="32.5" s="24" customFormat="1">
      <c r="K46" s="10">
        <v>8</v>
      </c>
      <c r="L46" s="11">
        <v>2.25</v>
      </c>
      <c r="M46" s="25">
        <f>L46*F$14</f>
      </c>
      <c r="N46" s="13">
        <f>M46*G$14*0.55</f>
      </c>
      <c r="O46" s="14">
        <f>U46/A$8</f>
      </c>
      <c r="P46" s="15" t="s">
        <v>108</v>
      </c>
      <c r="Q46" s="15" t="s">
        <v>112</v>
      </c>
      <c r="R46" s="15" t="s">
        <v>42</v>
      </c>
      <c r="S46" s="16">
        <f>(S39+S37+S38+S33)*K46</f>
      </c>
      <c r="T46" s="13">
        <f>N46+M46</f>
      </c>
      <c r="U46" s="13">
        <f>T46*S46</f>
      </c>
      <c r="V46" s="14">
        <f>A$16*O46/S46</f>
      </c>
      <c r="W46" s="14">
        <f>V46*S46</f>
      </c>
    </row>
    <row r="47" spans="1:25" customHeight="1" ht="32.5" s="24" customFormat="1">
      <c r="K47" s="15"/>
      <c r="L47" s="29"/>
      <c r="M47" s="25"/>
      <c r="N47" s="13"/>
      <c r="O47" s="14"/>
      <c r="P47" s="15"/>
      <c r="Q47" s="15"/>
      <c r="R47" s="15"/>
      <c r="S47" s="16"/>
      <c r="T47" s="27" t="s">
        <v>89</v>
      </c>
      <c r="U47" s="27">
        <f>IF(I5=TRUE,SUM(U32:U46),0)</f>
      </c>
      <c r="V47" s="14"/>
      <c r="W47" s="14">
        <f>IF(I5=TRUE,SUM(W32:W46),0)</f>
      </c>
    </row>
    <row r="48" spans="1:25" customHeight="1" ht="32.5" s="24" customFormat="1">
      <c r="K48" s="28"/>
      <c r="L48" s="28"/>
      <c r="M48" s="28"/>
      <c r="N48" s="28"/>
      <c r="O48" s="14"/>
      <c r="P48" s="28" t="s">
        <v>113</v>
      </c>
      <c r="Q48" s="28"/>
      <c r="R48" s="28"/>
      <c r="S48" s="28"/>
      <c r="T48" s="28"/>
      <c r="U48" s="28"/>
      <c r="V48" s="14"/>
      <c r="W48" s="14"/>
    </row>
    <row r="49" spans="1:25" customHeight="1" ht="32.5" s="24" customFormat="1">
      <c r="K49" s="10">
        <v>86</v>
      </c>
      <c r="L49" s="11">
        <v>65</v>
      </c>
      <c r="M49" s="25">
        <f>L49*F$14</f>
      </c>
      <c r="N49" s="13">
        <f>M49*G$14*0.55</f>
      </c>
      <c r="O49" s="14">
        <f>U49/A$8</f>
      </c>
      <c r="P49" s="15" t="s">
        <v>114</v>
      </c>
      <c r="Q49" s="15"/>
      <c r="R49" s="15" t="s">
        <v>71</v>
      </c>
      <c r="S49" s="26">
        <f>(A14+B14)/K49</f>
      </c>
      <c r="T49" s="13">
        <f>N49+M49</f>
      </c>
      <c r="U49" s="13">
        <f>T49*S49</f>
      </c>
      <c r="V49" s="14">
        <f>A$16*O49/S49</f>
      </c>
      <c r="W49" s="14">
        <f>V49*S49</f>
      </c>
    </row>
    <row r="50" spans="1:25" customHeight="1" ht="32.5" s="24" customFormat="1">
      <c r="K50" s="10">
        <v>136</v>
      </c>
      <c r="L50" s="11">
        <v>65</v>
      </c>
      <c r="M50" s="25">
        <f>L50*F$14</f>
      </c>
      <c r="N50" s="13">
        <f>M50*G$14*0.55</f>
      </c>
      <c r="O50" s="14">
        <f>U50/A$8</f>
      </c>
      <c r="P50" s="15" t="s">
        <v>115</v>
      </c>
      <c r="Q50" s="15"/>
      <c r="R50" s="15" t="s">
        <v>71</v>
      </c>
      <c r="S50" s="26">
        <f>(A14+B14)/K50</f>
      </c>
      <c r="T50" s="13">
        <f>N50+M50</f>
      </c>
      <c r="U50" s="13">
        <f>T50*S50</f>
      </c>
      <c r="V50" s="14">
        <f>A$16*O50/S50</f>
      </c>
      <c r="W50" s="14">
        <f>V50*S50</f>
      </c>
    </row>
    <row r="51" spans="1:25" customHeight="1" ht="32.5" s="24" customFormat="1">
      <c r="K51" s="10">
        <v>150</v>
      </c>
      <c r="L51" s="11">
        <v>65</v>
      </c>
      <c r="M51" s="25">
        <f>L51*F$14</f>
      </c>
      <c r="N51" s="13">
        <f>M51*G$14*0.55</f>
      </c>
      <c r="O51" s="14">
        <f>U51/A$8</f>
      </c>
      <c r="P51" s="15" t="s">
        <v>116</v>
      </c>
      <c r="Q51" s="15"/>
      <c r="R51" s="15" t="s">
        <v>71</v>
      </c>
      <c r="S51" s="26">
        <f>(A14+B14)/K51</f>
      </c>
      <c r="T51" s="13">
        <f>N51+M51</f>
      </c>
      <c r="U51" s="13">
        <f>T51*S51</f>
      </c>
      <c r="V51" s="14">
        <f>A$16*O51/S51</f>
      </c>
      <c r="W51" s="14">
        <f>V51*S51</f>
      </c>
    </row>
    <row r="52" spans="1:25" customHeight="1" ht="32.5" s="24" customFormat="1">
      <c r="K52" s="10">
        <v>625</v>
      </c>
      <c r="L52" s="11">
        <v>65</v>
      </c>
      <c r="M52" s="25">
        <f>L52*F$14</f>
      </c>
      <c r="N52" s="13">
        <f>M52*G$14*0.55</f>
      </c>
      <c r="O52" s="14">
        <f>U52/A$8</f>
      </c>
      <c r="P52" s="15" t="s">
        <v>117</v>
      </c>
      <c r="Q52" s="15"/>
      <c r="R52" s="15" t="s">
        <v>71</v>
      </c>
      <c r="S52" s="26">
        <f>(A14+B14)/K52</f>
      </c>
      <c r="T52" s="13">
        <f>N52+M52</f>
      </c>
      <c r="U52" s="13">
        <f>T52*S52</f>
      </c>
      <c r="V52" s="14">
        <f>A$16*O52/S52</f>
      </c>
      <c r="W52" s="14">
        <f>V52*S52</f>
      </c>
    </row>
    <row r="53" spans="1:25" customHeight="1" ht="32.5" s="24" customFormat="1">
      <c r="K53" s="10">
        <v>12.12</v>
      </c>
      <c r="L53" s="11">
        <v>2.25</v>
      </c>
      <c r="M53" s="25">
        <f>L53*F$14</f>
      </c>
      <c r="N53" s="13">
        <f>M53*G$14*0.55</f>
      </c>
      <c r="O53" s="14">
        <f>U53/A$8</f>
      </c>
      <c r="P53" s="15" t="s">
        <v>108</v>
      </c>
      <c r="Q53" s="15" t="s">
        <v>112</v>
      </c>
      <c r="R53" s="15" t="s">
        <v>71</v>
      </c>
      <c r="S53" s="16">
        <f>SUM(S49:S52)*K53</f>
      </c>
      <c r="T53" s="13">
        <f>N53+M53</f>
      </c>
      <c r="U53" s="13">
        <f>T53*S53</f>
      </c>
      <c r="V53" s="14">
        <f>A$16*O53/S53</f>
      </c>
      <c r="W53" s="14">
        <f>V53*S53</f>
      </c>
    </row>
    <row r="54" spans="1:25" customHeight="1" ht="32.5" s="24" customFormat="1">
      <c r="K54" s="10"/>
      <c r="L54" s="11">
        <v>2.3</v>
      </c>
      <c r="M54" s="25">
        <f>L54*F$14</f>
      </c>
      <c r="N54" s="13">
        <f>M54*G$14*0.55</f>
      </c>
      <c r="O54" s="14">
        <f>U54/A$8</f>
      </c>
      <c r="P54" s="15" t="s">
        <v>107</v>
      </c>
      <c r="Q54" s="15" t="s">
        <v>118</v>
      </c>
      <c r="R54" s="15" t="s">
        <v>71</v>
      </c>
      <c r="S54" s="16">
        <f>S53/2</f>
      </c>
      <c r="T54" s="13">
        <f>N54+M54</f>
      </c>
      <c r="U54" s="13">
        <f>T54*S54</f>
      </c>
      <c r="V54" s="14">
        <f>A$16*O54/S54</f>
      </c>
      <c r="W54" s="14">
        <f>V54*S54</f>
      </c>
    </row>
    <row r="55" spans="1:25" customHeight="1" ht="32.5" s="24" customFormat="1">
      <c r="K55" s="30"/>
      <c r="L55" s="30"/>
      <c r="M55" s="31"/>
      <c r="N55" s="31"/>
      <c r="O55" s="30"/>
      <c r="P55" s="30"/>
      <c r="Q55" s="30"/>
      <c r="R55" s="30"/>
      <c r="S55" s="16"/>
      <c r="T55" s="32" t="s">
        <v>89</v>
      </c>
      <c r="U55" s="32">
        <f>IF(J5=TRUE,SUM(U49:U54),0)</f>
      </c>
      <c r="V55" s="30"/>
      <c r="W55" s="33">
        <f>IF(J5=TRUE,SUM(W49:W54),0)</f>
      </c>
    </row>
    <row r="56" spans="1:25" customHeight="1" ht="21" s="24" customFormat="1"/>
    <row r="57" spans="1:25" customHeight="1" ht="21" s="24" customFormat="1"/>
    <row r="58" spans="1:25" customHeight="1" ht="21" s="24" customFormat="1"/>
    <row r="59" spans="1:25" customHeight="1" ht="21" s="24" customFormat="1"/>
    <row r="60" spans="1:25" customHeight="1" ht="21" s="24" customFormat="1"/>
    <row r="61" spans="1:25" customHeight="1" ht="21" s="24" customFormat="1"/>
    <row r="62" spans="1:25" customHeight="1" ht="21" s="24" customFormat="1"/>
    <row r="63" spans="1:25" customHeight="1" ht="21"/>
    <row r="64" spans="1:25" customHeight="1" ht="21">
      <c r="E64" s="34"/>
    </row>
    <row r="65" spans="1:25" customHeight="1" ht="21">
      <c r="E65" s="35"/>
    </row>
    <row r="66" spans="1:25" customHeight="1" ht="21">
      <c r="E66" s="35"/>
    </row>
    <row r="67" spans="1:25" customHeight="1" ht="21"/>
    <row r="68" spans="1:25" customHeight="1" ht="21"/>
    <row r="69" spans="1:25" customHeight="1" ht="21"/>
    <row r="70" spans="1:25" customHeight="1" ht="21"/>
    <row r="71" spans="1:25" customHeight="1" ht="21"/>
    <row r="72" spans="1:25" customHeight="1" ht="21"/>
    <row r="73" spans="1:25" customHeight="1" ht="21"/>
    <row r="74" spans="1:25" customHeight="1" ht="21"/>
    <row r="75" spans="1:25" customHeight="1" ht="21"/>
    <row r="76" spans="1:25" customHeight="1" ht="21"/>
    <row r="77" spans="1:25" customHeight="1" ht="21"/>
    <row r="78" spans="1:25" customHeight="1" ht="21"/>
    <row r="79" spans="1:25" customHeight="1" ht="21"/>
    <row r="80" spans="1:25" customHeight="1" ht="21"/>
    <row r="81" spans="1:25" customHeight="1" ht="21"/>
    <row r="82" spans="1:25" customHeight="1" ht="21"/>
    <row r="83" spans="1:25" customHeight="1" ht="21"/>
    <row r="84" spans="1:25" customHeight="1" ht="21"/>
    <row r="85" spans="1:25" customHeight="1" ht="21"/>
    <row r="86" spans="1:25" customHeight="1" ht="21"/>
    <row r="87" spans="1:25" customHeight="1" ht="21"/>
    <row r="88" spans="1:25" customHeight="1" ht="21"/>
    <row r="89" spans="1:25" customHeight="1" ht="21"/>
    <row r="90" spans="1:25" customHeight="1" ht="21"/>
    <row r="91" spans="1:25" customHeight="1" ht="21"/>
    <row r="92" spans="1:25" customHeight="1" ht="21"/>
    <row r="93" spans="1:25" customHeight="1" ht="21"/>
    <row r="94" spans="1:25" customHeight="1" ht="21"/>
    <row r="95" spans="1:25" customHeight="1" ht="21"/>
    <row r="96" spans="1:25" customHeight="1" ht="21"/>
    <row r="97" spans="1:25" customHeight="1" ht="21"/>
    <row r="98" spans="1:25" customHeight="1" ht="21"/>
    <row r="99" spans="1:25" customHeight="1" ht="21"/>
    <row r="100" spans="1:25" customHeight="1" ht="21"/>
    <row r="101" spans="1:25" customHeight="1" ht="21"/>
    <row r="102" spans="1:25" customHeight="1" ht="21"/>
    <row r="103" spans="1:25" customHeight="1" ht="21"/>
    <row r="104" spans="1:25" customHeight="1" ht="21"/>
    <row r="105" spans="1:25" customHeight="1" ht="21"/>
    <row r="106" spans="1:25" customHeight="1" ht="21"/>
    <row r="107" spans="1:25" customHeight="1" ht="21"/>
    <row r="108" spans="1:25" customHeight="1" ht="21"/>
    <row r="109" spans="1:25" customHeight="1" ht="21"/>
    <row r="110" spans="1:25" customHeight="1" ht="21"/>
    <row r="111" spans="1:25" customHeight="1" ht="21"/>
    <row r="112" spans="1:25" customHeight="1" ht="21"/>
    <row r="113" spans="1:25" customHeight="1" ht="21"/>
    <row r="114" spans="1:25" customHeight="1" ht="21"/>
    <row r="115" spans="1:25" customHeight="1" ht="21"/>
    <row r="116" spans="1:25" customHeight="1" ht="21"/>
    <row r="117" spans="1:25" customHeight="1" ht="21"/>
    <row r="118" spans="1:25" customHeight="1" ht="21"/>
    <row r="119" spans="1:25" customHeight="1" ht="21"/>
    <row r="120" spans="1:25" customHeight="1" ht="21"/>
    <row r="121" spans="1:25" customHeight="1" ht="21"/>
    <row r="122" spans="1:25" customHeight="1" ht="21"/>
    <row r="123" spans="1:25" customHeight="1" ht="21"/>
    <row r="124" spans="1:25" customHeight="1" ht="21"/>
    <row r="125" spans="1:25" customHeight="1" ht="21"/>
    <row r="126" spans="1:25" customHeight="1" ht="21"/>
    <row r="127" spans="1:25" customHeight="1" ht="21"/>
    <row r="128" spans="1:25" customHeight="1" ht="21"/>
    <row r="129" spans="1:25" customHeight="1" ht="21"/>
    <row r="130" spans="1:25" customHeight="1" ht="21"/>
    <row r="131" spans="1:25" customHeight="1" ht="21"/>
    <row r="132" spans="1:25" customHeight="1" ht="21"/>
    <row r="133" spans="1:25" customHeight="1" ht="21"/>
    <row r="134" spans="1:25" customHeight="1" ht="21"/>
    <row r="135" spans="1:25" customHeight="1" ht="21"/>
    <row r="136" spans="1:25" customHeight="1" ht="21"/>
    <row r="137" spans="1:25" customHeight="1" ht="21"/>
    <row r="138" spans="1:25" customHeight="1" ht="21"/>
    <row r="139" spans="1:25" customHeight="1" ht="21"/>
    <row r="140" spans="1:25" customHeight="1" ht="21"/>
    <row r="141" spans="1:25" customHeight="1" ht="21"/>
    <row r="142" spans="1:25" customHeight="1" ht="21"/>
    <row r="143" spans="1:25" customHeight="1" ht="21"/>
    <row r="144" spans="1:25" customHeight="1" ht="21"/>
    <row r="145" spans="1:25" customHeight="1" ht="21"/>
    <row r="146" spans="1:25" customHeight="1" ht="21"/>
    <row r="147" spans="1:25" customHeight="1" ht="21"/>
    <row r="148" spans="1:25" customHeight="1" ht="21"/>
    <row r="149" spans="1:25" customHeight="1" ht="21"/>
    <row r="150" spans="1:25" customHeight="1" ht="21"/>
    <row r="151" spans="1:25" customHeight="1" ht="21"/>
    <row r="152" spans="1:25" customHeight="1" ht="21"/>
    <row r="153" spans="1:25" customHeight="1" ht="21"/>
    <row r="154" spans="1:25" customHeight="1" ht="21"/>
    <row r="155" spans="1:25" customHeight="1" ht="21"/>
    <row r="156" spans="1:25" customHeight="1" ht="21"/>
    <row r="157" spans="1:25" customHeight="1" ht="21"/>
    <row r="158" spans="1:25" customHeight="1" ht="21"/>
    <row r="159" spans="1:25" customHeight="1" ht="21"/>
    <row r="160" spans="1:25" customHeight="1" ht="21"/>
    <row r="161" spans="1:25" customHeight="1" ht="21"/>
    <row r="162" spans="1:25" customHeight="1" ht="21"/>
    <row r="163" spans="1:25" customHeight="1" ht="21"/>
    <row r="164" spans="1:25" customHeight="1" ht="21"/>
    <row r="165" spans="1:25" customHeight="1" ht="21"/>
    <row r="166" spans="1:25" customHeight="1" ht="21"/>
    <row r="167" spans="1:25" customHeight="1" ht="21"/>
    <row r="168" spans="1:25" customHeight="1" ht="21"/>
    <row r="169" spans="1:25" customHeight="1" ht="21"/>
    <row r="170" spans="1:25" customHeight="1" ht="21"/>
    <row r="171" spans="1:25" customHeight="1" ht="21"/>
    <row r="172" spans="1:25" customHeight="1" ht="21"/>
    <row r="173" spans="1:25" customHeight="1" ht="21"/>
    <row r="174" spans="1:25" customHeight="1" ht="21"/>
    <row r="175" spans="1:25" customHeight="1" ht="21"/>
    <row r="176" spans="1:25" customHeight="1" ht="21"/>
    <row r="177" spans="1:25" customHeight="1" ht="21"/>
    <row r="178" spans="1:25" customHeight="1" ht="21"/>
    <row r="179" spans="1:25" customHeight="1" ht="21"/>
    <row r="180" spans="1:25" customHeight="1" ht="21"/>
    <row r="181" spans="1:25" customHeight="1" ht="21"/>
    <row r="182" spans="1:25" customHeight="1" ht="21"/>
    <row r="183" spans="1:25" customHeight="1" ht="21"/>
    <row r="184" spans="1:25" customHeight="1" ht="21"/>
    <row r="185" spans="1:25" customHeight="1" ht="21"/>
    <row r="186" spans="1:25" customHeight="1" ht="21"/>
    <row r="187" spans="1:25" customHeight="1" ht="21"/>
    <row r="188" spans="1:25" customHeight="1" ht="21"/>
    <row r="189" spans="1:25" customHeight="1" ht="21"/>
    <row r="190" spans="1:25" customHeight="1" ht="21"/>
    <row r="191" spans="1:25" customHeight="1" ht="21"/>
    <row r="192" spans="1:25" customHeight="1" ht="21"/>
    <row r="193" spans="1:25" customHeight="1" ht="21"/>
    <row r="194" spans="1:25" customHeight="1" ht="21"/>
    <row r="195" spans="1:25" customHeight="1" ht="21"/>
    <row r="196" spans="1:25" customHeight="1" ht="21"/>
    <row r="197" spans="1:25" customHeight="1" ht="21"/>
    <row r="198" spans="1:25" customHeight="1" ht="21"/>
    <row r="199" spans="1:25" customHeight="1" ht="21"/>
    <row r="200" spans="1:25" customHeight="1" ht="21"/>
    <row r="201" spans="1:25" customHeight="1" ht="21"/>
    <row r="202" spans="1:25" customHeight="1" ht="21"/>
    <row r="203" spans="1:25" customHeight="1" ht="21"/>
    <row r="204" spans="1:25" customHeight="1" ht="21"/>
    <row r="205" spans="1:25" customHeight="1" ht="21"/>
    <row r="206" spans="1:25" customHeight="1" ht="21"/>
    <row r="207" spans="1:25" customHeight="1" ht="21"/>
    <row r="208" spans="1:25" customHeight="1" ht="21"/>
    <row r="209" spans="1:25" customHeight="1" ht="21"/>
    <row r="210" spans="1:25" customHeight="1" ht="21"/>
    <row r="211" spans="1:25" customHeight="1" ht="21"/>
    <row r="212" spans="1:25" customHeight="1" ht="21"/>
    <row r="213" spans="1:25" customHeight="1" ht="21"/>
    <row r="214" spans="1:25" customHeight="1" ht="21"/>
    <row r="215" spans="1:25" customHeight="1" ht="21"/>
    <row r="216" spans="1:25" customHeight="1" ht="21"/>
    <row r="217" spans="1:25" customHeight="1" ht="21"/>
    <row r="218" spans="1:25" customHeight="1" ht="21"/>
    <row r="219" spans="1:25" customHeight="1" ht="21"/>
    <row r="220" spans="1:25" customHeight="1" ht="21"/>
    <row r="221" spans="1:25" customHeight="1" ht="21"/>
    <row r="222" spans="1:25" customHeight="1" ht="21"/>
    <row r="223" spans="1:25" customHeight="1" ht="21"/>
    <row r="224" spans="1:25" customHeight="1" ht="21"/>
    <row r="225" spans="1:25" customHeight="1" ht="21"/>
    <row r="226" spans="1:25" customHeight="1" ht="21"/>
    <row r="227" spans="1:25" customHeight="1" ht="21"/>
    <row r="228" spans="1:25" customHeight="1" ht="21"/>
    <row r="229" spans="1:25" customHeight="1" ht="21"/>
    <row r="230" spans="1:25" customHeight="1" ht="21"/>
    <row r="231" spans="1:25" customHeight="1" ht="21"/>
    <row r="232" spans="1:25" customHeight="1" ht="21"/>
    <row r="233" spans="1:25" customHeight="1" ht="21"/>
    <row r="234" spans="1:25" customHeight="1" ht="21"/>
    <row r="235" spans="1:25" customHeight="1" ht="21"/>
    <row r="236" spans="1:25" customHeight="1" ht="21"/>
    <row r="237" spans="1:25" customHeight="1" ht="21"/>
    <row r="238" spans="1:25" customHeight="1" ht="21"/>
    <row r="239" spans="1:25" customHeight="1" ht="2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  <mergeCell ref="C1:F1"/>
    <mergeCell ref="C2:F2"/>
    <mergeCell ref="H1:J1"/>
    <mergeCell ref="A15:H15"/>
    <mergeCell ref="K3:N3"/>
    <mergeCell ref="P3:U3"/>
    <mergeCell ref="V3:W3"/>
    <mergeCell ref="A6:J6"/>
    <mergeCell ref="A3:J3"/>
    <mergeCell ref="A12:H12"/>
    <mergeCell ref="A9:J9"/>
  </mergeCells>
  <dataValidations count="3">
    <dataValidation type="list" allowBlank="1" showDropDown="0" showInputMessage="1" showErrorMessage="1" sqref="A5">
      <formula1>"主城,区县"</formula1>
    </dataValidation>
    <dataValidation type="list" allowBlank="1" showDropDown="0" showInputMessage="1" showErrorMessage="1" sqref="E5">
      <formula1>"酒店/宾馆,商场/超市,医疗/养老,学习/办公,娱乐/休闲,厂房/仓库"</formula1>
    </dataValidation>
    <dataValidation type="list" allowBlank="1" showDropDown="0" showInputMessage="1" showErrorMessage="1" sqref="F5">
      <formula1>"开票,不开票"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6</xdr:col>
                    <xdr:colOff>44450</xdr:colOff>
                    <xdr:row>3</xdr:row>
                    <xdr:rowOff>127000</xdr:rowOff>
                  </from>
                  <to>
                    <xdr:col>6</xdr:col>
                    <xdr:colOff>628650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101600</xdr:colOff>
                    <xdr:row>3</xdr:row>
                    <xdr:rowOff>69850</xdr:rowOff>
                  </from>
                  <to>
                    <xdr:col>7</xdr:col>
                    <xdr:colOff>679450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8</xdr:col>
                    <xdr:colOff>63500</xdr:colOff>
                    <xdr:row>3</xdr:row>
                    <xdr:rowOff>88900</xdr:rowOff>
                  </from>
                  <to>
                    <xdr:col>8</xdr:col>
                    <xdr:colOff>692150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9</xdr:col>
                    <xdr:colOff>50800</xdr:colOff>
                    <xdr:row>3</xdr:row>
                    <xdr:rowOff>120650</xdr:rowOff>
                  </from>
                  <to>
                    <xdr:col>9</xdr:col>
                    <xdr:colOff>723900</xdr:colOff>
                    <xdr:row>3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9"/>
  <sheetViews>
    <sheetView tabSelected="0" workbookViewId="0" zoomScale="40" zoomScaleNormal="40" showGridLines="true" showRowColHeaders="1">
      <selection activeCell="Y2" sqref="Y2"/>
    </sheetView>
  </sheetViews>
  <sheetFormatPr defaultRowHeight="14.4" defaultColWidth="8.6640625" outlineLevelRow="0" outlineLevelCol="0"/>
  <cols>
    <col min="1" max="1" width="31.6640625" customWidth="true" style="38"/>
    <col min="2" max="2" width="20.6640625" customWidth="true" style="38"/>
    <col min="3" max="3" width="20.6640625" customWidth="true" style="38"/>
    <col min="4" max="4" width="12.25" customWidth="true" style="38"/>
    <col min="5" max="5" width="8.6640625" style="38"/>
    <col min="6" max="6" width="11.9140625" customWidth="true" style="38"/>
    <col min="7" max="7" width="11.9140625" customWidth="true" style="38"/>
    <col min="8" max="8" width="11.9140625" customWidth="true" style="38"/>
    <col min="9" max="9" width="11.9140625" customWidth="true" style="38"/>
    <col min="10" max="10" width="11.9140625" customWidth="true" style="38"/>
    <col min="11" max="11" width="8.6640625" style="38"/>
  </cols>
  <sheetData>
    <row r="1" spans="1:11" customHeight="1" ht="59.5">
      <c r="A1" s="94"/>
      <c r="B1" s="94"/>
      <c r="C1" s="94"/>
      <c r="D1" s="94"/>
      <c r="E1" s="37"/>
      <c r="F1" s="37"/>
      <c r="G1" s="37"/>
      <c r="H1" s="37"/>
      <c r="I1" s="37"/>
      <c r="J1" s="37"/>
    </row>
    <row r="2" spans="1:11" customHeight="1" ht="51.65">
      <c r="A2" s="127" t="str">
        <f>数据区!H1</f>
      </c>
      <c r="B2" s="127"/>
      <c r="C2" s="127"/>
      <c r="D2" s="127"/>
      <c r="E2" s="39"/>
      <c r="F2" s="37"/>
      <c r="G2" s="37"/>
      <c r="H2" s="37"/>
    </row>
    <row r="3" spans="1:11" customHeight="1" ht="51.65">
      <c r="A3" s="127" t="s">
        <v>119</v>
      </c>
      <c r="B3" s="127"/>
      <c r="C3" s="127"/>
      <c r="D3" s="127"/>
    </row>
    <row r="4" spans="1:11" customHeight="1" ht="409.6">
      <c r="A4" s="128" t="s">
        <v>120</v>
      </c>
      <c r="B4" s="128"/>
      <c r="C4" s="128"/>
      <c r="D4" s="128"/>
    </row>
    <row r="5" spans="1:11" customHeight="1" ht="82">
      <c r="A5" s="95"/>
      <c r="B5" s="95"/>
      <c r="C5" s="95"/>
      <c r="D5" s="95"/>
    </row>
    <row r="6" spans="1:11" customHeight="1" ht="42">
      <c r="A6" s="96" t="s">
        <v>121</v>
      </c>
      <c r="B6" s="129" t="str">
        <f>数据区!C2</f>
      </c>
      <c r="C6" s="129"/>
      <c r="D6" s="129"/>
    </row>
    <row r="7" spans="1:11" customHeight="1" ht="42">
      <c r="A7" s="96" t="s">
        <v>122</v>
      </c>
      <c r="B7" s="130" t="s">
        <v>123</v>
      </c>
      <c r="C7" s="130"/>
      <c r="D7" s="130"/>
    </row>
    <row r="8" spans="1:11" customHeight="1" ht="42">
      <c r="A8" s="96" t="s">
        <v>124</v>
      </c>
      <c r="B8" s="126">
        <f>TODAY()</f>
      </c>
      <c r="C8" s="126"/>
      <c r="D8" s="126"/>
    </row>
    <row r="9" spans="1:11">
      <c r="A9" s="63"/>
      <c r="B9" s="63"/>
      <c r="C9" s="63"/>
      <c r="D9" s="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A2:D2"/>
    <mergeCell ref="A4:D4"/>
    <mergeCell ref="B6:D6"/>
    <mergeCell ref="B7:D7"/>
    <mergeCell ref="A3:D3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8"/>
  <sheetViews>
    <sheetView tabSelected="0" workbookViewId="0" showGridLines="true" showRowColHeaders="1">
      <selection activeCell="M15" sqref="M15"/>
    </sheetView>
  </sheetViews>
  <sheetFormatPr defaultRowHeight="14.4" defaultColWidth="8.6640625" outlineLevelRow="0" outlineLevelCol="0"/>
  <cols>
    <col min="1" max="1" width="4.5" customWidth="true" style="41"/>
    <col min="2" max="2" width="7.33203125" customWidth="true" style="41"/>
    <col min="3" max="3" width="4.5" customWidth="true" style="41"/>
    <col min="4" max="4" width="12.58203125" customWidth="true" style="41"/>
    <col min="5" max="5" width="7.9140625" customWidth="true" style="41"/>
    <col min="6" max="6" width="5.4140625" customWidth="true" style="41"/>
    <col min="7" max="7" width="12.9140625" customWidth="true" style="41"/>
    <col min="8" max="8" width="8.6640625" style="41"/>
    <col min="9" max="9" width="5.6640625" customWidth="true" style="41"/>
    <col min="10" max="10" width="9.83203125" customWidth="true" style="41"/>
    <col min="11" max="11" width="8.6640625" style="41"/>
  </cols>
  <sheetData>
    <row r="1" spans="1:11" customHeight="1" ht="70">
      <c r="A1" s="135" t="s">
        <v>125</v>
      </c>
      <c r="B1" s="135"/>
      <c r="C1" s="135"/>
      <c r="D1" s="135"/>
      <c r="E1" s="135"/>
      <c r="F1" s="135"/>
      <c r="G1" s="135"/>
      <c r="H1" s="135"/>
      <c r="I1" s="135"/>
      <c r="J1" s="135"/>
      <c r="K1" s="40"/>
    </row>
    <row r="2" spans="1:11" customHeight="1" ht="34.5">
      <c r="A2" s="42" t="s">
        <v>126</v>
      </c>
      <c r="B2" s="136" t="str">
        <f>数据区!C1</f>
      </c>
      <c r="C2" s="136"/>
      <c r="D2" s="136"/>
      <c r="E2" s="136"/>
      <c r="F2" s="136"/>
      <c r="G2" s="136"/>
    </row>
    <row r="3" spans="1:11" customHeight="1" ht="34.5">
      <c r="B3" s="131" t="s">
        <v>127</v>
      </c>
      <c r="C3" s="131"/>
      <c r="D3" s="131"/>
      <c r="E3" s="131"/>
      <c r="F3" s="131"/>
      <c r="G3" s="131"/>
      <c r="H3" s="131"/>
      <c r="I3" s="131"/>
      <c r="J3" s="131"/>
      <c r="K3" s="43"/>
    </row>
    <row r="4" spans="1:11" customHeight="1" ht="34.5">
      <c r="B4" s="137">
        <f>数据区!B5+数据区!C5</f>
      </c>
      <c r="C4" s="137"/>
      <c r="D4" s="138" t="s">
        <v>128</v>
      </c>
      <c r="E4" s="138"/>
      <c r="F4" s="138"/>
      <c r="G4" s="139" t="str">
        <f>报价函附表!D4</f>
      </c>
      <c r="H4" s="136"/>
      <c r="I4" s="136"/>
      <c r="J4" s="136"/>
    </row>
    <row r="5" spans="1:11" customHeight="1" ht="34.5">
      <c r="B5" s="138" t="s">
        <v>129</v>
      </c>
      <c r="C5" s="138"/>
      <c r="D5" s="44">
        <f>数据区!B19</f>
      </c>
      <c r="E5" s="131" t="s">
        <v>130</v>
      </c>
      <c r="F5" s="131"/>
      <c r="G5" s="131"/>
      <c r="H5" s="131"/>
      <c r="I5" s="131"/>
      <c r="J5" s="131"/>
    </row>
    <row r="6" spans="1:11" customHeight="1" ht="34.5">
      <c r="B6" s="140" t="str">
        <f>数据区!H1</f>
      </c>
      <c r="C6" s="140"/>
      <c r="D6" s="140"/>
      <c r="E6" s="140"/>
      <c r="F6" s="131" t="s">
        <v>131</v>
      </c>
      <c r="G6" s="131"/>
      <c r="H6" s="131"/>
      <c r="I6" s="131"/>
      <c r="J6" s="131"/>
    </row>
    <row r="7" spans="1:11" customHeight="1" ht="34.5">
      <c r="B7" s="131" t="s">
        <v>132</v>
      </c>
      <c r="C7" s="131"/>
      <c r="D7" s="131"/>
      <c r="E7" s="131"/>
      <c r="F7" s="131"/>
      <c r="G7" s="131"/>
      <c r="H7" s="131"/>
      <c r="I7" s="131"/>
      <c r="J7" s="131"/>
    </row>
    <row r="8" spans="1:11" customHeight="1" ht="34.5">
      <c r="B8" s="131" t="s">
        <v>133</v>
      </c>
      <c r="C8" s="131"/>
      <c r="D8" s="131"/>
      <c r="E8" s="131"/>
      <c r="F8" s="131"/>
      <c r="G8" s="131"/>
      <c r="H8" s="131"/>
      <c r="I8" s="131"/>
      <c r="J8" s="131"/>
    </row>
    <row r="9" spans="1:11" customHeight="1" ht="34.5">
      <c r="B9" s="131" t="s">
        <v>134</v>
      </c>
      <c r="C9" s="131"/>
      <c r="D9" s="131"/>
      <c r="E9" s="131"/>
      <c r="F9" s="131"/>
      <c r="G9" s="131"/>
      <c r="H9" s="131"/>
      <c r="I9" s="131"/>
      <c r="J9" s="131"/>
    </row>
    <row r="10" spans="1:11" customHeight="1" ht="34">
      <c r="B10" s="131" t="s">
        <v>135</v>
      </c>
      <c r="C10" s="131"/>
      <c r="D10" s="131"/>
      <c r="E10" s="131"/>
      <c r="F10" s="131"/>
      <c r="G10" s="131"/>
      <c r="H10" s="131"/>
      <c r="I10" s="131"/>
      <c r="J10" s="131"/>
    </row>
    <row r="11" spans="1:11" customHeight="1" ht="48">
      <c r="B11" s="45"/>
      <c r="C11" s="45"/>
      <c r="D11" s="45"/>
      <c r="E11" s="45"/>
      <c r="F11" s="45"/>
      <c r="G11" s="45"/>
      <c r="H11" s="45"/>
      <c r="I11" s="45"/>
      <c r="J11" s="45"/>
    </row>
    <row r="12" spans="1:11" customHeight="1" ht="34.5">
      <c r="A12" s="131" t="s">
        <v>121</v>
      </c>
      <c r="B12" s="131"/>
      <c r="C12" s="133" t="str">
        <f>封面!B6</f>
      </c>
      <c r="D12" s="133"/>
      <c r="E12" s="133"/>
      <c r="F12" s="133"/>
      <c r="G12" s="133"/>
      <c r="H12" s="133"/>
      <c r="I12" s="133"/>
      <c r="J12" s="133"/>
    </row>
    <row r="13" spans="1:11" customHeight="1" ht="34.5">
      <c r="A13" s="134" t="s">
        <v>136</v>
      </c>
      <c r="B13" s="134"/>
      <c r="C13" s="134"/>
      <c r="D13" s="134"/>
      <c r="E13" s="131" t="s">
        <v>137</v>
      </c>
      <c r="F13" s="131"/>
      <c r="G13" s="131"/>
      <c r="H13" s="131"/>
      <c r="I13" s="131"/>
      <c r="J13" s="131"/>
    </row>
    <row r="14" spans="1:11" customHeight="1" ht="34.5">
      <c r="A14" s="131" t="s">
        <v>138</v>
      </c>
      <c r="B14" s="131"/>
      <c r="C14" s="131">
        <f>数据区!H2</f>
      </c>
      <c r="D14" s="131"/>
      <c r="E14" s="43" t="s">
        <v>139</v>
      </c>
      <c r="F14" s="131">
        <f>C14</f>
      </c>
      <c r="G14" s="131"/>
      <c r="H14" s="78" t="s">
        <v>140</v>
      </c>
      <c r="I14" s="131">
        <f>数据区!B18</f>
      </c>
      <c r="J14" s="131"/>
    </row>
    <row r="15" spans="1:11" customHeight="1" ht="34.5">
      <c r="A15" s="131" t="s">
        <v>141</v>
      </c>
      <c r="B15" s="131"/>
      <c r="C15" s="132">
        <f>TODAY()</f>
      </c>
      <c r="D15" s="132"/>
      <c r="E15" s="132"/>
      <c r="F15" s="132"/>
      <c r="G15" s="43"/>
      <c r="H15" s="43"/>
      <c r="I15" s="43"/>
      <c r="J15" s="43"/>
    </row>
    <row r="16" spans="1:11" customHeight="1" ht="24">
      <c r="B16" s="43"/>
      <c r="C16" s="43"/>
      <c r="D16" s="43"/>
      <c r="E16" s="43"/>
      <c r="F16" s="43"/>
      <c r="G16" s="43"/>
      <c r="H16" s="43"/>
      <c r="I16" s="43"/>
      <c r="J16" s="43"/>
    </row>
    <row r="17" spans="1:11" customHeight="1" ht="24"/>
    <row r="18" spans="1:11" customHeight="1" ht="24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B8:J8"/>
    <mergeCell ref="A1:J1"/>
    <mergeCell ref="B2:G2"/>
    <mergeCell ref="B3:J3"/>
    <mergeCell ref="B4:C4"/>
    <mergeCell ref="D4:F4"/>
    <mergeCell ref="G4:J4"/>
    <mergeCell ref="B5:C5"/>
    <mergeCell ref="E5:J5"/>
    <mergeCell ref="B6:E6"/>
    <mergeCell ref="F6:J6"/>
    <mergeCell ref="B7:J7"/>
    <mergeCell ref="A15:B15"/>
    <mergeCell ref="C15:F15"/>
    <mergeCell ref="B9:J9"/>
    <mergeCell ref="B10:J10"/>
    <mergeCell ref="A12:B12"/>
    <mergeCell ref="C12:J12"/>
    <mergeCell ref="A13:D13"/>
    <mergeCell ref="E13:J13"/>
    <mergeCell ref="A14:B14"/>
    <mergeCell ref="C14:D14"/>
    <mergeCell ref="I14:J14"/>
    <mergeCell ref="F14:G14"/>
  </mergeCells>
  <printOptions gridLines="false" gridLinesSet="true" horizontalCentered="true"/>
  <pageMargins left="1.1811023622047" right="0.98425196850394" top="0.98425196850394" bottom="0.98425196850394" header="0.51181102362205" footer="0.51181102362205"/>
  <pageSetup paperSize="9" orientation="portrait" scale="95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5"/>
  <sheetViews>
    <sheetView tabSelected="0" workbookViewId="0" showGridLines="true" showRowColHeaders="1">
      <selection activeCell="AR11" sqref="AR11"/>
    </sheetView>
  </sheetViews>
  <sheetFormatPr defaultRowHeight="14.4" defaultColWidth="8.6640625" outlineLevelRow="0" outlineLevelCol="0"/>
  <cols>
    <col min="1" max="1" width="8.6640625" style="42"/>
    <col min="2" max="2" width="26.25" customWidth="true" style="42"/>
    <col min="3" max="3" width="6.33203125" customWidth="true" style="42"/>
    <col min="4" max="4" width="38.9140625" customWidth="true" style="42"/>
    <col min="5" max="5" width="8.6640625" style="42"/>
  </cols>
  <sheetData>
    <row r="1" spans="1:10" customHeight="1" ht="65.5">
      <c r="A1" s="141" t="s">
        <v>142</v>
      </c>
      <c r="B1" s="141"/>
      <c r="C1" s="141"/>
      <c r="D1" s="141"/>
      <c r="E1" s="43"/>
      <c r="F1" s="43"/>
      <c r="G1" s="43"/>
      <c r="H1" s="43"/>
      <c r="I1" s="43"/>
      <c r="J1" s="43"/>
    </row>
    <row r="2" spans="1:10" customHeight="1" ht="33.65">
      <c r="A2" s="46" t="s">
        <v>143</v>
      </c>
      <c r="B2" s="142" t="str">
        <f>数据区!C2</f>
      </c>
      <c r="C2" s="142"/>
      <c r="D2" s="142"/>
      <c r="E2" s="43"/>
      <c r="F2" s="43"/>
      <c r="G2" s="43"/>
      <c r="H2" s="43"/>
      <c r="I2" s="43"/>
      <c r="J2" s="43"/>
    </row>
    <row r="3" spans="1:10" customHeight="1" ht="34.5">
      <c r="A3" s="47" t="s">
        <v>144</v>
      </c>
      <c r="B3" s="47" t="s">
        <v>145</v>
      </c>
      <c r="C3" s="48"/>
      <c r="D3" s="49" t="str">
        <f>数据区!H1</f>
      </c>
    </row>
    <row r="4" spans="1:10" customHeight="1" ht="31">
      <c r="A4" s="143">
        <v>1</v>
      </c>
      <c r="B4" s="143" t="s">
        <v>146</v>
      </c>
      <c r="C4" s="47" t="s">
        <v>147</v>
      </c>
      <c r="D4" s="50" t="str">
        <f>预算书!E11</f>
      </c>
    </row>
    <row r="5" spans="1:10" customHeight="1" ht="31">
      <c r="A5" s="143"/>
      <c r="B5" s="143"/>
      <c r="C5" s="47" t="s">
        <v>148</v>
      </c>
      <c r="D5" s="51">
        <f>数据区!B19</f>
      </c>
    </row>
    <row r="6" spans="1:10" customHeight="1" ht="71.5">
      <c r="A6" s="47">
        <v>2</v>
      </c>
      <c r="B6" s="47" t="s">
        <v>149</v>
      </c>
      <c r="C6" s="47"/>
      <c r="D6" s="52" t="s">
        <v>150</v>
      </c>
    </row>
    <row r="7" spans="1:10" customHeight="1" ht="33.65">
      <c r="A7" s="47">
        <v>3</v>
      </c>
      <c r="B7" s="47" t="s">
        <v>151</v>
      </c>
      <c r="C7" s="47"/>
      <c r="D7" s="47" t="s">
        <v>152</v>
      </c>
    </row>
    <row r="8" spans="1:10" customHeight="1" ht="33.65">
      <c r="A8" s="47">
        <v>4</v>
      </c>
      <c r="B8" s="47" t="s">
        <v>153</v>
      </c>
      <c r="C8" s="47"/>
      <c r="D8" s="47" t="s">
        <v>154</v>
      </c>
    </row>
    <row r="9" spans="1:10" customHeight="1" ht="33.65">
      <c r="A9" s="47">
        <v>5</v>
      </c>
      <c r="B9" s="47" t="s">
        <v>155</v>
      </c>
      <c r="C9" s="47"/>
      <c r="D9" s="47"/>
    </row>
    <row r="10" spans="1:10" customHeight="1" ht="73.5">
      <c r="A10" s="53" t="s">
        <v>156</v>
      </c>
      <c r="B10" s="144" t="str">
        <f>B2</f>
      </c>
      <c r="C10" s="144"/>
      <c r="D10" s="144"/>
    </row>
    <row r="11" spans="1:10" customHeight="1" ht="30.65">
      <c r="A11" s="145" t="s">
        <v>157</v>
      </c>
      <c r="B11" s="145"/>
      <c r="C11" s="145"/>
      <c r="D11" s="145"/>
    </row>
    <row r="12" spans="1:10" customHeight="1" ht="30.65">
      <c r="A12" s="53" t="s">
        <v>158</v>
      </c>
      <c r="B12" s="54">
        <f>TODAY()</f>
      </c>
      <c r="C12" s="53"/>
      <c r="D12" s="53"/>
    </row>
    <row r="13" spans="1:10" customHeight="1" ht="22.5">
      <c r="A13" s="134"/>
      <c r="B13" s="134"/>
      <c r="C13" s="134"/>
      <c r="D13" s="134"/>
    </row>
    <row r="14" spans="1:10" customHeight="1" ht="22.5">
      <c r="A14" s="134"/>
      <c r="B14" s="134"/>
      <c r="C14" s="134"/>
      <c r="D14" s="134"/>
    </row>
    <row r="15" spans="1:10" customHeight="1" ht="22.5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13:D13"/>
    <mergeCell ref="A14:D14"/>
    <mergeCell ref="A1:D1"/>
    <mergeCell ref="B2:D2"/>
    <mergeCell ref="A4:A5"/>
    <mergeCell ref="B4:B5"/>
    <mergeCell ref="B10:D10"/>
    <mergeCell ref="A11:D11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4"/>
  <sheetViews>
    <sheetView tabSelected="0" workbookViewId="0" zoomScale="85" zoomScaleNormal="85" showGridLines="true" showRowColHeaders="1">
      <selection activeCell="L10" sqref="L10"/>
    </sheetView>
  </sheetViews>
  <sheetFormatPr defaultRowHeight="14.4" defaultColWidth="8.6640625" outlineLevelRow="0" outlineLevelCol="0"/>
  <cols>
    <col min="1" max="1" width="9.1640625" customWidth="true" style="55"/>
    <col min="2" max="2" width="7.6640625" customWidth="true" style="55"/>
    <col min="3" max="3" width="12.4140625" customWidth="true" style="55"/>
    <col min="4" max="4" width="9.1640625" customWidth="true" style="55"/>
    <col min="5" max="5" width="9.1640625" customWidth="true" style="55"/>
    <col min="6" max="6" width="9.1640625" customWidth="true" style="55"/>
    <col min="7" max="7" width="5.6640625" customWidth="true" style="55"/>
    <col min="8" max="8" width="16.6640625" customWidth="true" style="55"/>
    <col min="9" max="9" width="9.1640625" customWidth="true" style="55"/>
    <col min="10" max="10" width="8.6640625" style="55"/>
  </cols>
  <sheetData>
    <row r="1" spans="1:10" customHeight="1" ht="44.15"/>
    <row r="2" spans="1:10" customHeight="1" ht="44.15"/>
    <row r="3" spans="1:10" customHeight="1" ht="44.15"/>
    <row r="4" spans="1:10" customHeight="1" ht="44.15"/>
    <row r="5" spans="1:10" customHeight="1" ht="35.5">
      <c r="A5" s="147" t="s">
        <v>159</v>
      </c>
      <c r="B5" s="147"/>
      <c r="C5" s="147"/>
      <c r="D5" s="147"/>
      <c r="E5" s="147"/>
      <c r="F5" s="147"/>
      <c r="G5" s="147"/>
      <c r="H5" s="147"/>
      <c r="I5" s="59"/>
    </row>
    <row r="6" spans="1:10" customHeight="1" ht="52.5"/>
    <row r="7" spans="1:10" customHeight="1" ht="52.5"/>
    <row r="8" spans="1:10" customHeight="1" ht="52.5"/>
    <row r="9" spans="1:10" customHeight="1" ht="42.65" s="56" customFormat="1">
      <c r="C9" s="77" t="s">
        <v>160</v>
      </c>
      <c r="D9" s="148" t="str">
        <f>数据区!H1</f>
      </c>
      <c r="E9" s="148"/>
      <c r="F9" s="148"/>
      <c r="G9" s="148"/>
      <c r="H9" s="148"/>
      <c r="I9" s="58"/>
    </row>
    <row r="10" spans="1:10" customHeight="1" ht="42.65" s="56" customFormat="1">
      <c r="C10" s="77" t="s">
        <v>161</v>
      </c>
      <c r="D10" s="77" t="s">
        <v>162</v>
      </c>
      <c r="E10" s="149">
        <f>数据区!B19</f>
      </c>
      <c r="F10" s="149"/>
      <c r="G10" s="77" t="s">
        <v>163</v>
      </c>
      <c r="H10" s="77"/>
      <c r="I10" s="57"/>
    </row>
    <row r="11" spans="1:10" customHeight="1" ht="42.65" s="56" customFormat="1">
      <c r="C11" s="77"/>
      <c r="D11" s="77" t="s">
        <v>164</v>
      </c>
      <c r="E11" s="150" t="str">
        <f>IF(E10=0,"",IF(E10&lt;0,"负","")&amp;SUBSTITUTE(SUBSTITUTE(SUBSTITUTE(SUBSTITUTE(TEXT(INT(ABS(E10)),"[DBNum2]")&amp;"元"&amp;TEXT(RIGHT(TEXT(E10,".00"),2),"[DBNum2]0角0分"),"零角零分","整"),"零分","整"),"零角","零"),"零元零",""))</f>
      </c>
      <c r="F11" s="148"/>
      <c r="G11" s="148"/>
      <c r="H11" s="148"/>
      <c r="I11" s="57"/>
    </row>
    <row r="12" spans="1:10" customHeight="1" ht="42.65" s="56" customFormat="1">
      <c r="C12" s="77" t="s">
        <v>165</v>
      </c>
      <c r="D12" s="148" t="str">
        <f>数据区!C2</f>
      </c>
      <c r="E12" s="148"/>
      <c r="F12" s="148"/>
      <c r="G12" s="148"/>
      <c r="H12" s="148"/>
      <c r="I12" s="58"/>
    </row>
    <row r="13" spans="1:10" customHeight="1" ht="42.65" s="56" customFormat="1">
      <c r="C13" s="77" t="s">
        <v>166</v>
      </c>
      <c r="D13" s="151" t="s">
        <v>167</v>
      </c>
      <c r="E13" s="151"/>
      <c r="F13" s="151"/>
      <c r="G13" s="151"/>
      <c r="H13" s="151"/>
      <c r="I13" s="57"/>
    </row>
    <row r="14" spans="1:10" customHeight="1" ht="42.65" s="56" customFormat="1">
      <c r="C14" s="77" t="s">
        <v>168</v>
      </c>
      <c r="D14" s="146">
        <f>TODAY()</f>
      </c>
      <c r="E14" s="146"/>
      <c r="F14" s="146"/>
      <c r="G14" s="146"/>
      <c r="H14" s="146"/>
      <c r="I14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H14"/>
    <mergeCell ref="A5:H5"/>
    <mergeCell ref="D9:H9"/>
    <mergeCell ref="E10:F10"/>
    <mergeCell ref="E11:H11"/>
    <mergeCell ref="D12:H12"/>
    <mergeCell ref="D13:H13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3"/>
  <sheetViews>
    <sheetView tabSelected="0" workbookViewId="0" zoomScale="85" zoomScaleNormal="85" showGridLines="true" showRowColHeaders="1">
      <selection activeCell="H16" sqref="H16"/>
    </sheetView>
  </sheetViews>
  <sheetFormatPr defaultRowHeight="14.4" defaultColWidth="8.6640625" outlineLevelRow="0" outlineLevelCol="0"/>
  <cols>
    <col min="1" max="1" width="4" customWidth="true" style="60"/>
    <col min="2" max="2" width="6.08203125" customWidth="true" style="60"/>
    <col min="3" max="3" width="8.6640625" style="60"/>
    <col min="4" max="4" width="8.6640625" style="60"/>
    <col min="5" max="5" width="8.6640625" style="60"/>
    <col min="6" max="6" width="8.6640625" style="60"/>
    <col min="7" max="7" width="8.6640625" style="60"/>
    <col min="8" max="8" width="8.6640625" style="60"/>
    <col min="9" max="9" width="15.4140625" customWidth="true" style="60"/>
    <col min="10" max="10" width="9.1640625" customWidth="true" style="60"/>
    <col min="11" max="11" width="8.6640625" style="60"/>
  </cols>
  <sheetData>
    <row r="1" spans="1:11" customHeight="1" ht="57">
      <c r="A1" s="155" t="s">
        <v>169</v>
      </c>
      <c r="B1" s="155"/>
      <c r="C1" s="155"/>
      <c r="D1" s="155"/>
      <c r="E1" s="155"/>
      <c r="F1" s="155"/>
      <c r="G1" s="155"/>
      <c r="H1" s="155"/>
      <c r="I1" s="155"/>
    </row>
    <row r="2" spans="1:11" customHeight="1" ht="38.5">
      <c r="A2" s="76" t="s">
        <v>126</v>
      </c>
      <c r="B2" s="156" t="str">
        <f>数据区!C1</f>
      </c>
      <c r="C2" s="156"/>
      <c r="D2" s="156"/>
      <c r="E2" s="156"/>
      <c r="F2" s="156"/>
      <c r="G2" s="156"/>
      <c r="H2" s="156"/>
      <c r="I2" s="156"/>
    </row>
    <row r="3" spans="1:11" customHeight="1" ht="38.5">
      <c r="A3" s="152" t="s">
        <v>170</v>
      </c>
      <c r="B3" s="152"/>
      <c r="C3" s="152"/>
      <c r="D3" s="152"/>
      <c r="E3" s="152"/>
      <c r="F3" s="152"/>
      <c r="G3" s="152"/>
      <c r="H3" s="152"/>
      <c r="I3" s="152"/>
    </row>
    <row r="4" spans="1:11" customHeight="1" ht="38.5">
      <c r="A4" s="152" t="s">
        <v>171</v>
      </c>
      <c r="B4" s="152"/>
      <c r="C4" s="152"/>
      <c r="D4" s="152"/>
      <c r="E4" s="152"/>
      <c r="F4" s="152"/>
      <c r="G4" s="152"/>
      <c r="H4" s="152"/>
      <c r="I4" s="152"/>
    </row>
    <row r="5" spans="1:11" customHeight="1" ht="38.5">
      <c r="A5" s="152" t="s">
        <v>172</v>
      </c>
      <c r="B5" s="152"/>
      <c r="C5" s="152"/>
      <c r="D5" s="152"/>
      <c r="E5" s="152"/>
      <c r="F5" s="152"/>
      <c r="G5" s="152"/>
      <c r="H5" s="152"/>
      <c r="I5" s="152"/>
    </row>
    <row r="6" spans="1:11" customHeight="1" ht="38.5">
      <c r="A6" s="152" t="s">
        <v>173</v>
      </c>
      <c r="B6" s="152"/>
      <c r="C6" s="152"/>
      <c r="D6" s="152"/>
      <c r="E6" s="152"/>
      <c r="F6" s="152"/>
      <c r="G6" s="152"/>
      <c r="H6" s="152"/>
      <c r="I6" s="152"/>
    </row>
    <row r="7" spans="1:11" customHeight="1" ht="38.5">
      <c r="A7" s="152" t="s">
        <v>174</v>
      </c>
      <c r="B7" s="152"/>
      <c r="C7" s="152"/>
      <c r="D7" s="152"/>
      <c r="E7" s="152"/>
      <c r="F7" s="152"/>
      <c r="G7" s="152"/>
      <c r="H7" s="152"/>
      <c r="I7" s="152"/>
    </row>
    <row r="8" spans="1:11" customHeight="1" ht="38.5">
      <c r="A8" s="152" t="s">
        <v>175</v>
      </c>
      <c r="B8" s="152"/>
      <c r="C8" s="152"/>
      <c r="D8" s="152"/>
      <c r="E8" s="152"/>
      <c r="F8" s="152"/>
      <c r="G8" s="152"/>
      <c r="H8" s="152"/>
      <c r="I8" s="152"/>
    </row>
    <row r="9" spans="1:11" customHeight="1" ht="38.5">
      <c r="A9" s="61"/>
      <c r="B9" s="61"/>
      <c r="C9" s="61"/>
      <c r="D9" s="61"/>
      <c r="E9" s="61"/>
      <c r="F9" s="61"/>
      <c r="G9" s="61"/>
      <c r="H9" s="61"/>
      <c r="I9" s="61"/>
    </row>
    <row r="10" spans="1:11" customHeight="1" ht="38.5">
      <c r="A10" s="152" t="s">
        <v>121</v>
      </c>
      <c r="B10" s="152"/>
      <c r="C10" s="154" t="str">
        <f>数据区!C2</f>
      </c>
      <c r="D10" s="154"/>
      <c r="E10" s="154"/>
      <c r="F10" s="154"/>
      <c r="G10" s="154"/>
      <c r="H10" s="154"/>
      <c r="I10" s="154"/>
    </row>
    <row r="11" spans="1:11" customHeight="1" ht="38.5">
      <c r="A11" s="152" t="s">
        <v>122</v>
      </c>
      <c r="B11" s="152"/>
      <c r="C11" s="154" t="s">
        <v>176</v>
      </c>
      <c r="D11" s="154"/>
      <c r="E11" s="154"/>
      <c r="F11" s="154"/>
      <c r="G11" s="154"/>
      <c r="H11" s="154"/>
      <c r="I11" s="154"/>
    </row>
    <row r="12" spans="1:11" customHeight="1" ht="38.5">
      <c r="A12" s="152" t="s">
        <v>177</v>
      </c>
      <c r="B12" s="152"/>
      <c r="C12" s="153">
        <f>TODAY()</f>
      </c>
      <c r="D12" s="153"/>
      <c r="E12" s="153"/>
      <c r="F12" s="153"/>
      <c r="G12" s="153"/>
      <c r="H12" s="153"/>
      <c r="I12" s="153"/>
    </row>
    <row r="13" spans="1:11">
      <c r="A13" s="62"/>
      <c r="B13" s="62"/>
      <c r="C13" s="62"/>
      <c r="D13" s="62"/>
      <c r="E13" s="62"/>
      <c r="F13" s="62"/>
      <c r="G13" s="62"/>
      <c r="H13" s="62"/>
      <c r="I13" s="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I6"/>
    <mergeCell ref="A1:I1"/>
    <mergeCell ref="B2:I2"/>
    <mergeCell ref="A3:I3"/>
    <mergeCell ref="A4:I4"/>
    <mergeCell ref="A5:I5"/>
    <mergeCell ref="A12:B12"/>
    <mergeCell ref="C12:I12"/>
    <mergeCell ref="A7:I7"/>
    <mergeCell ref="A8:I8"/>
    <mergeCell ref="A10:B10"/>
    <mergeCell ref="C10:I10"/>
    <mergeCell ref="A11:B11"/>
    <mergeCell ref="C11:I11"/>
  </mergeCells>
  <printOptions gridLines="false" gridLinesSet="true"/>
  <pageMargins left="1" right="1" top="1" bottom="1" header="0.5" footer="0.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8"/>
  <sheetViews>
    <sheetView tabSelected="0" workbookViewId="0" showGridLines="true" showRowColHeaders="1">
      <selection activeCell="H8" sqref="H8"/>
    </sheetView>
  </sheetViews>
  <sheetFormatPr defaultRowHeight="14.4" defaultColWidth="8.6640625" outlineLevelRow="0" outlineLevelCol="0"/>
  <cols>
    <col min="1" max="1" width="9.58203125" customWidth="true" style="63"/>
    <col min="2" max="2" width="21.25" customWidth="true" style="69"/>
    <col min="3" max="3" width="29" customWidth="true" style="63"/>
    <col min="4" max="4" width="11.5" customWidth="true" style="63"/>
    <col min="5" max="5" width="11.5" customWidth="true" style="72"/>
    <col min="6" max="6" width="8.6640625" style="63"/>
  </cols>
  <sheetData>
    <row r="1" spans="1:6" customHeight="1" ht="39.65">
      <c r="A1" s="158" t="s">
        <v>178</v>
      </c>
      <c r="B1" s="158"/>
      <c r="C1" s="158"/>
      <c r="D1" s="158"/>
      <c r="E1" s="158"/>
    </row>
    <row r="2" spans="1:6" customHeight="1" ht="26.15">
      <c r="A2" s="65" t="s">
        <v>160</v>
      </c>
      <c r="B2" s="157" t="str">
        <f>数据区!H1</f>
      </c>
      <c r="C2" s="157"/>
      <c r="D2" s="65" t="s">
        <v>179</v>
      </c>
      <c r="E2" s="71" t="s">
        <v>180</v>
      </c>
      <c r="F2" s="65"/>
    </row>
    <row r="3" spans="1:6" customHeight="1" ht="28">
      <c r="A3" s="97" t="s">
        <v>144</v>
      </c>
      <c r="B3" s="98" t="s">
        <v>181</v>
      </c>
      <c r="C3" s="98" t="s">
        <v>182</v>
      </c>
      <c r="D3" s="98" t="s">
        <v>183</v>
      </c>
      <c r="E3" s="99" t="s">
        <v>184</v>
      </c>
      <c r="F3" s="65"/>
    </row>
    <row r="4" spans="1:6" customHeight="1" ht="28">
      <c r="A4" s="91">
        <v>1</v>
      </c>
      <c r="B4" s="67" t="s">
        <v>46</v>
      </c>
      <c r="C4" s="75" t="s">
        <v>185</v>
      </c>
      <c r="D4" s="74">
        <f>E4/E$28</f>
      </c>
      <c r="E4" s="100">
        <f>IF(数据区!J11=0,数据区!D8,数据区!D11)</f>
      </c>
      <c r="F4" s="65"/>
    </row>
    <row r="5" spans="1:6" customHeight="1" ht="28">
      <c r="A5" s="91">
        <v>2</v>
      </c>
      <c r="B5" s="67" t="s">
        <v>47</v>
      </c>
      <c r="C5" s="75" t="s">
        <v>186</v>
      </c>
      <c r="D5" s="74">
        <f>E5/E$28</f>
      </c>
      <c r="E5" s="100">
        <f>IF(数据区!J11=0,数据区!E8,数据区!E11)</f>
      </c>
      <c r="F5" s="65"/>
    </row>
    <row r="6" spans="1:6" customHeight="1" ht="28">
      <c r="A6" s="91">
        <v>3</v>
      </c>
      <c r="B6" s="67" t="s">
        <v>187</v>
      </c>
      <c r="C6" s="75" t="s">
        <v>188</v>
      </c>
      <c r="D6" s="74">
        <f>E6/E$28</f>
      </c>
      <c r="E6" s="100">
        <f>IF(数据区!J11=0,数据区!A8,数据区!A11)</f>
      </c>
      <c r="F6" s="65"/>
    </row>
    <row r="7" spans="1:6" customHeight="1" ht="28">
      <c r="A7" s="91">
        <v>4</v>
      </c>
      <c r="B7" s="67" t="s">
        <v>44</v>
      </c>
      <c r="C7" s="75" t="s">
        <v>189</v>
      </c>
      <c r="D7" s="74">
        <f>E7/E$28</f>
      </c>
      <c r="E7" s="100">
        <f>IF(数据区!J11=0,数据区!B8,数据区!B11)</f>
      </c>
      <c r="F7" s="65"/>
    </row>
    <row r="8" spans="1:6" customHeight="1" ht="28">
      <c r="A8" s="91">
        <v>5</v>
      </c>
      <c r="B8" s="67" t="s">
        <v>45</v>
      </c>
      <c r="C8" s="75" t="s">
        <v>190</v>
      </c>
      <c r="D8" s="74">
        <f>E8/E$28</f>
      </c>
      <c r="E8" s="100">
        <f>IF(数据区!J11=0,数据区!C8,数据区!C11)</f>
      </c>
      <c r="F8" s="65"/>
    </row>
    <row r="9" spans="1:6" customHeight="1" ht="28">
      <c r="A9" s="91">
        <v>6</v>
      </c>
      <c r="B9" s="67" t="s">
        <v>48</v>
      </c>
      <c r="C9" s="75" t="s">
        <v>191</v>
      </c>
      <c r="D9" s="74">
        <f>E9/E$28</f>
      </c>
      <c r="E9" s="100">
        <f>IF(数据区!J11=0,数据区!F8,数据区!F11)</f>
      </c>
      <c r="F9" s="65"/>
    </row>
    <row r="10" spans="1:6" customHeight="1" ht="28">
      <c r="A10" s="91">
        <v>7</v>
      </c>
      <c r="B10" s="67" t="s">
        <v>49</v>
      </c>
      <c r="C10" s="75" t="s">
        <v>192</v>
      </c>
      <c r="D10" s="74">
        <f>E10/E$28</f>
      </c>
      <c r="E10" s="100">
        <f>IF(数据区!J11=0,数据区!G8,数据区!G11)</f>
      </c>
      <c r="F10" s="65"/>
    </row>
    <row r="11" spans="1:6" customHeight="1" ht="28">
      <c r="A11" s="91">
        <v>8</v>
      </c>
      <c r="B11" s="67" t="s">
        <v>51</v>
      </c>
      <c r="C11" s="75" t="s">
        <v>193</v>
      </c>
      <c r="D11" s="74">
        <f>E11/E$28</f>
      </c>
      <c r="E11" s="100">
        <f>IF(数据区!J11=0,数据区!I8,数据区!I11)</f>
      </c>
      <c r="F11" s="65"/>
    </row>
    <row r="12" spans="1:6" customHeight="1" ht="28">
      <c r="A12" s="91"/>
      <c r="B12" s="67"/>
      <c r="C12" s="66"/>
      <c r="D12" s="70"/>
      <c r="E12" s="100"/>
      <c r="F12" s="65"/>
    </row>
    <row r="13" spans="1:6" customHeight="1" ht="28">
      <c r="A13" s="91"/>
      <c r="B13" s="67"/>
      <c r="C13" s="66"/>
      <c r="D13" s="66"/>
      <c r="E13" s="101"/>
      <c r="F13" s="65"/>
    </row>
    <row r="14" spans="1:6" customHeight="1" ht="28">
      <c r="A14" s="91"/>
      <c r="B14" s="67"/>
      <c r="C14" s="66"/>
      <c r="D14" s="66"/>
      <c r="E14" s="101"/>
      <c r="F14" s="65"/>
    </row>
    <row r="15" spans="1:6" customHeight="1" ht="28">
      <c r="A15" s="91"/>
      <c r="B15" s="67"/>
      <c r="C15" s="66"/>
      <c r="D15" s="66"/>
      <c r="E15" s="101"/>
      <c r="F15" s="65"/>
    </row>
    <row r="16" spans="1:6" customHeight="1" ht="28">
      <c r="A16" s="91"/>
      <c r="B16" s="67"/>
      <c r="C16" s="66"/>
      <c r="D16" s="66"/>
      <c r="E16" s="101"/>
      <c r="F16" s="65"/>
    </row>
    <row r="17" spans="1:6" customHeight="1" ht="28">
      <c r="A17" s="91"/>
      <c r="B17" s="67"/>
      <c r="C17" s="66"/>
      <c r="D17" s="66"/>
      <c r="E17" s="101"/>
      <c r="F17" s="65"/>
    </row>
    <row r="18" spans="1:6" customHeight="1" ht="28">
      <c r="A18" s="91"/>
      <c r="B18" s="67"/>
      <c r="C18" s="66"/>
      <c r="D18" s="66"/>
      <c r="E18" s="101"/>
      <c r="F18" s="65"/>
    </row>
    <row r="19" spans="1:6" customHeight="1" ht="28">
      <c r="A19" s="91"/>
      <c r="B19" s="67"/>
      <c r="C19" s="66"/>
      <c r="D19" s="66"/>
      <c r="E19" s="101"/>
      <c r="F19" s="65"/>
    </row>
    <row r="20" spans="1:6" customHeight="1" ht="28">
      <c r="A20" s="91"/>
      <c r="B20" s="67"/>
      <c r="C20" s="66"/>
      <c r="D20" s="66"/>
      <c r="E20" s="101"/>
      <c r="F20" s="65"/>
    </row>
    <row r="21" spans="1:6" customHeight="1" ht="28">
      <c r="A21" s="91"/>
      <c r="B21" s="67"/>
      <c r="C21" s="66"/>
      <c r="D21" s="66"/>
      <c r="E21" s="101"/>
      <c r="F21" s="65"/>
    </row>
    <row r="22" spans="1:6" customHeight="1" ht="28">
      <c r="A22" s="91"/>
      <c r="B22" s="67"/>
      <c r="C22" s="66"/>
      <c r="D22" s="66"/>
      <c r="E22" s="101"/>
      <c r="F22" s="65"/>
    </row>
    <row r="23" spans="1:6" customHeight="1" ht="28">
      <c r="A23" s="91"/>
      <c r="B23" s="67"/>
      <c r="C23" s="66"/>
      <c r="D23" s="66"/>
      <c r="E23" s="101"/>
      <c r="F23" s="65"/>
    </row>
    <row r="24" spans="1:6" customHeight="1" ht="28">
      <c r="A24" s="91"/>
      <c r="B24" s="67"/>
      <c r="C24" s="66"/>
      <c r="D24" s="66"/>
      <c r="E24" s="101"/>
      <c r="F24" s="65"/>
    </row>
    <row r="25" spans="1:6" customHeight="1" ht="28">
      <c r="A25" s="91"/>
      <c r="B25" s="67"/>
      <c r="C25" s="66"/>
      <c r="D25" s="66"/>
      <c r="E25" s="101"/>
      <c r="F25" s="65"/>
    </row>
    <row r="26" spans="1:6" customHeight="1" ht="28">
      <c r="A26" s="102"/>
      <c r="B26" s="68"/>
      <c r="C26" s="64"/>
      <c r="D26" s="64"/>
      <c r="E26" s="103"/>
    </row>
    <row r="27" spans="1:6" customHeight="1" ht="28">
      <c r="A27" s="102"/>
      <c r="B27" s="68"/>
      <c r="C27" s="64"/>
      <c r="D27" s="64"/>
      <c r="E27" s="103"/>
    </row>
    <row r="28" spans="1:6" customHeight="1" ht="28">
      <c r="A28" s="159" t="s">
        <v>89</v>
      </c>
      <c r="B28" s="160"/>
      <c r="C28" s="160"/>
      <c r="D28" s="161"/>
      <c r="E28" s="104">
        <f>SUM(E4:E11)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A1:E1"/>
    <mergeCell ref="A28:D28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25"/>
  <sheetViews>
    <sheetView tabSelected="0" workbookViewId="0" showGridLines="true" showRowColHeaders="1">
      <selection activeCell="F12" sqref="F12"/>
    </sheetView>
  </sheetViews>
  <sheetFormatPr defaultRowHeight="14.4" defaultColWidth="8.6640625" outlineLevelRow="0" outlineLevelCol="0"/>
  <cols>
    <col min="1" max="1" width="4.1640625" customWidth="true" style="65"/>
    <col min="2" max="2" width="11.4140625" customWidth="true" style="65"/>
    <col min="3" max="3" width="7.6640625" customWidth="true" style="65"/>
    <col min="4" max="4" width="26.1640625" customWidth="true" style="83"/>
    <col min="5" max="5" width="7.08203125" customWidth="true" style="65"/>
    <col min="6" max="6" width="7.6640625" customWidth="true" style="65"/>
    <col min="7" max="7" width="11.4140625" customWidth="true" style="65"/>
    <col min="8" max="8" width="8.6640625" style="65"/>
  </cols>
  <sheetData>
    <row r="1" spans="1:8" customHeight="1" ht="43.5">
      <c r="A1" s="167" t="s">
        <v>194</v>
      </c>
      <c r="B1" s="167"/>
      <c r="C1" s="167"/>
      <c r="D1" s="167"/>
      <c r="E1" s="167"/>
      <c r="F1" s="167"/>
      <c r="G1" s="167"/>
      <c r="H1" s="167"/>
    </row>
    <row r="2" spans="1:8" customHeight="1" ht="23.15">
      <c r="A2" s="168" t="s">
        <v>195</v>
      </c>
      <c r="B2" s="168"/>
      <c r="C2" s="168"/>
      <c r="D2" s="168"/>
      <c r="E2" s="168"/>
      <c r="F2" s="87"/>
      <c r="G2" s="87" t="s">
        <v>179</v>
      </c>
      <c r="H2" s="87" t="s">
        <v>196</v>
      </c>
    </row>
    <row r="3" spans="1:8" customHeight="1" ht="23.15">
      <c r="A3" s="88" t="s">
        <v>144</v>
      </c>
      <c r="B3" s="89" t="s">
        <v>181</v>
      </c>
      <c r="C3" s="89" t="s">
        <v>26</v>
      </c>
      <c r="D3" s="89" t="s">
        <v>197</v>
      </c>
      <c r="E3" s="89" t="s">
        <v>27</v>
      </c>
      <c r="F3" s="89" t="s">
        <v>28</v>
      </c>
      <c r="G3" s="89" t="s">
        <v>198</v>
      </c>
      <c r="H3" s="90" t="s">
        <v>199</v>
      </c>
    </row>
    <row r="4" spans="1:8" customHeight="1" ht="76">
      <c r="A4" s="91">
        <v>1</v>
      </c>
      <c r="B4" s="79" t="s">
        <v>40</v>
      </c>
      <c r="C4" s="79" t="s">
        <v>41</v>
      </c>
      <c r="D4" s="80" t="s">
        <v>200</v>
      </c>
      <c r="E4" s="79" t="s">
        <v>42</v>
      </c>
      <c r="F4" s="81">
        <f>数据区!S6</f>
      </c>
      <c r="G4" s="13">
        <f>IF(数据区!J$11=0,数据区!T6,数据区!V6)</f>
      </c>
      <c r="H4" s="92">
        <f>IF(数据区!J$11=0,数据区!U6,数据区!W6)</f>
      </c>
    </row>
    <row r="5" spans="1:8" customHeight="1" ht="76">
      <c r="A5" s="91">
        <v>2</v>
      </c>
      <c r="B5" s="79" t="s">
        <v>40</v>
      </c>
      <c r="C5" s="79" t="s">
        <v>52</v>
      </c>
      <c r="D5" s="80" t="s">
        <v>200</v>
      </c>
      <c r="E5" s="79" t="s">
        <v>42</v>
      </c>
      <c r="F5" s="81">
        <f>数据区!S7</f>
      </c>
      <c r="G5" s="13">
        <f>IF(数据区!J$11=0,数据区!T7,数据区!V7)</f>
      </c>
      <c r="H5" s="92">
        <f>IF(数据区!J$11=0,数据区!U7,数据区!W7)</f>
      </c>
    </row>
    <row r="6" spans="1:8" customHeight="1" ht="76">
      <c r="A6" s="91">
        <v>3</v>
      </c>
      <c r="B6" s="79" t="s">
        <v>40</v>
      </c>
      <c r="C6" s="79" t="s">
        <v>53</v>
      </c>
      <c r="D6" s="80" t="s">
        <v>200</v>
      </c>
      <c r="E6" s="79" t="s">
        <v>42</v>
      </c>
      <c r="F6" s="81">
        <f>数据区!S8</f>
      </c>
      <c r="G6" s="13">
        <f>IF(数据区!J$11=0,数据区!T8,数据区!V8)</f>
      </c>
      <c r="H6" s="92">
        <f>IF(数据区!J$11=0,数据区!U8,数据区!W8)</f>
      </c>
    </row>
    <row r="7" spans="1:8" customHeight="1" ht="76">
      <c r="A7" s="91">
        <v>4</v>
      </c>
      <c r="B7" s="79" t="s">
        <v>40</v>
      </c>
      <c r="C7" s="79" t="s">
        <v>55</v>
      </c>
      <c r="D7" s="80" t="s">
        <v>200</v>
      </c>
      <c r="E7" s="79" t="s">
        <v>42</v>
      </c>
      <c r="F7" s="81">
        <f>数据区!S9</f>
      </c>
      <c r="G7" s="13">
        <f>IF(数据区!J$11=0,数据区!T9,数据区!V9)</f>
      </c>
      <c r="H7" s="92">
        <f>IF(数据区!J$11=0,数据区!U9,数据区!W9)</f>
      </c>
    </row>
    <row r="8" spans="1:8" customHeight="1" ht="76">
      <c r="A8" s="91">
        <v>5</v>
      </c>
      <c r="B8" s="79" t="s">
        <v>40</v>
      </c>
      <c r="C8" s="79" t="s">
        <v>56</v>
      </c>
      <c r="D8" s="80" t="s">
        <v>200</v>
      </c>
      <c r="E8" s="79" t="s">
        <v>42</v>
      </c>
      <c r="F8" s="81">
        <f>数据区!S10</f>
      </c>
      <c r="G8" s="13">
        <f>IF(数据区!J$11=0,数据区!T10,数据区!V10)</f>
      </c>
      <c r="H8" s="92">
        <f>IF(数据区!J$11=0,数据区!U10,数据区!W10)</f>
      </c>
    </row>
    <row r="9" spans="1:8" customHeight="1" ht="76">
      <c r="A9" s="91">
        <v>6</v>
      </c>
      <c r="B9" s="79" t="s">
        <v>40</v>
      </c>
      <c r="C9" s="79" t="s">
        <v>57</v>
      </c>
      <c r="D9" s="80" t="s">
        <v>200</v>
      </c>
      <c r="E9" s="79" t="s">
        <v>42</v>
      </c>
      <c r="F9" s="81">
        <f>数据区!S11</f>
      </c>
      <c r="G9" s="13">
        <f>IF(数据区!J$11=0,数据区!T11,数据区!V11)</f>
      </c>
      <c r="H9" s="92">
        <f>IF(数据区!J$11=0,数据区!U11,数据区!W11)</f>
      </c>
    </row>
    <row r="10" spans="1:8" customHeight="1" ht="76">
      <c r="A10" s="91">
        <v>7</v>
      </c>
      <c r="B10" s="79" t="s">
        <v>40</v>
      </c>
      <c r="C10" s="79" t="s">
        <v>59</v>
      </c>
      <c r="D10" s="80" t="s">
        <v>200</v>
      </c>
      <c r="E10" s="79" t="s">
        <v>42</v>
      </c>
      <c r="F10" s="81">
        <f>数据区!S12</f>
      </c>
      <c r="G10" s="13">
        <f>IF(数据区!J$11=0,数据区!T12,数据区!V12)</f>
      </c>
      <c r="H10" s="92">
        <f>IF(数据区!J$11=0,数据区!U12,数据区!W12)</f>
      </c>
    </row>
    <row r="11" spans="1:8" customHeight="1" ht="76">
      <c r="A11" s="91">
        <v>8</v>
      </c>
      <c r="B11" s="79" t="s">
        <v>40</v>
      </c>
      <c r="C11" s="79" t="s">
        <v>68</v>
      </c>
      <c r="D11" s="80" t="s">
        <v>200</v>
      </c>
      <c r="E11" s="79" t="s">
        <v>42</v>
      </c>
      <c r="F11" s="81">
        <f>数据区!S13</f>
      </c>
      <c r="G11" s="13">
        <f>IF(数据区!J$11=0,数据区!T13,数据区!V13)</f>
      </c>
      <c r="H11" s="92">
        <f>IF(数据区!J$11=0,数据区!U13,数据区!W13)</f>
      </c>
    </row>
    <row r="12" spans="1:8" customHeight="1" ht="75.65">
      <c r="A12" s="91">
        <v>9</v>
      </c>
      <c r="B12" s="79" t="s">
        <v>69</v>
      </c>
      <c r="C12" s="79" t="s">
        <v>201</v>
      </c>
      <c r="D12" s="80" t="s">
        <v>202</v>
      </c>
      <c r="E12" s="79" t="s">
        <v>71</v>
      </c>
      <c r="F12" s="82">
        <f>数据区!S14</f>
      </c>
      <c r="G12" s="13">
        <f>IF(数据区!J$11=0,数据区!T14,数据区!V14)</f>
      </c>
      <c r="H12" s="92">
        <f>IF(数据区!J$11=0,数据区!U14,数据区!W14)</f>
      </c>
    </row>
    <row r="13" spans="1:8" customHeight="1" ht="36.65">
      <c r="A13" s="169" t="s">
        <v>203</v>
      </c>
      <c r="B13" s="170"/>
      <c r="C13" s="170"/>
      <c r="D13" s="170"/>
      <c r="E13" s="170"/>
      <c r="F13" s="170"/>
      <c r="G13" s="171"/>
      <c r="H13" s="93">
        <f>SUM(H4:H12)</f>
      </c>
    </row>
    <row r="14" spans="1:8" customHeight="1" ht="42.65">
      <c r="A14" s="167" t="s">
        <v>194</v>
      </c>
      <c r="B14" s="167"/>
      <c r="C14" s="167"/>
      <c r="D14" s="167"/>
      <c r="E14" s="167"/>
      <c r="F14" s="167"/>
      <c r="G14" s="167"/>
      <c r="H14" s="167"/>
    </row>
    <row r="15" spans="1:8" customHeight="1" ht="20.15">
      <c r="A15" s="168" t="s">
        <v>195</v>
      </c>
      <c r="B15" s="168"/>
      <c r="C15" s="168"/>
      <c r="D15" s="168"/>
      <c r="E15" s="168"/>
      <c r="F15" s="87"/>
      <c r="G15" s="87" t="s">
        <v>204</v>
      </c>
      <c r="H15" s="87" t="s">
        <v>196</v>
      </c>
    </row>
    <row r="16" spans="1:8" customHeight="1" ht="20.15">
      <c r="A16" s="88" t="s">
        <v>144</v>
      </c>
      <c r="B16" s="89" t="s">
        <v>181</v>
      </c>
      <c r="C16" s="89" t="s">
        <v>26</v>
      </c>
      <c r="D16" s="89" t="s">
        <v>197</v>
      </c>
      <c r="E16" s="89" t="s">
        <v>27</v>
      </c>
      <c r="F16" s="89" t="s">
        <v>28</v>
      </c>
      <c r="G16" s="89" t="s">
        <v>198</v>
      </c>
      <c r="H16" s="90" t="s">
        <v>199</v>
      </c>
    </row>
    <row r="17" spans="1:8" customHeight="1" ht="49.5">
      <c r="A17" s="91">
        <v>1</v>
      </c>
      <c r="B17" s="79" t="s">
        <v>73</v>
      </c>
      <c r="C17" s="79" t="s">
        <v>41</v>
      </c>
      <c r="D17" s="80" t="s">
        <v>205</v>
      </c>
      <c r="E17" s="79" t="s">
        <v>71</v>
      </c>
      <c r="F17" s="82">
        <f>数据区!S15</f>
      </c>
      <c r="G17" s="13">
        <f>IF(数据区!J$11=0,数据区!T15,数据区!V15)</f>
      </c>
      <c r="H17" s="92">
        <f>IF(数据区!J$11=0,数据区!U15,数据区!W15)</f>
      </c>
    </row>
    <row r="18" spans="1:8" customHeight="1" ht="49.5">
      <c r="A18" s="91">
        <v>2</v>
      </c>
      <c r="B18" s="79" t="s">
        <v>74</v>
      </c>
      <c r="C18" s="79" t="s">
        <v>41</v>
      </c>
      <c r="D18" s="80" t="s">
        <v>205</v>
      </c>
      <c r="E18" s="79" t="s">
        <v>71</v>
      </c>
      <c r="F18" s="82">
        <f>数据区!S16</f>
      </c>
      <c r="G18" s="13">
        <f>IF(数据区!J$11=0,数据区!T16,数据区!V16)</f>
      </c>
      <c r="H18" s="92">
        <f>IF(数据区!J$11=0,数据区!U16,数据区!W16)</f>
      </c>
    </row>
    <row r="19" spans="1:8" customHeight="1" ht="49.5">
      <c r="A19" s="91">
        <v>3</v>
      </c>
      <c r="B19" s="79" t="s">
        <v>76</v>
      </c>
      <c r="C19" s="79" t="str">
        <f>数据区!Q17</f>
      </c>
      <c r="D19" s="80" t="s">
        <v>205</v>
      </c>
      <c r="E19" s="79" t="s">
        <v>71</v>
      </c>
      <c r="F19" s="82">
        <f>数据区!S17</f>
      </c>
      <c r="G19" s="13">
        <f>IF(数据区!J$11=0,数据区!T17,数据区!V17)</f>
      </c>
      <c r="H19" s="92">
        <f>IF(数据区!J$11=0,数据区!U17,数据区!W17)</f>
      </c>
    </row>
    <row r="20" spans="1:8" customHeight="1" ht="49.5">
      <c r="A20" s="91">
        <v>4</v>
      </c>
      <c r="B20" s="79" t="s">
        <v>81</v>
      </c>
      <c r="C20" s="79" t="str">
        <f>数据区!Q18</f>
      </c>
      <c r="D20" s="80" t="s">
        <v>205</v>
      </c>
      <c r="E20" s="79" t="s">
        <v>71</v>
      </c>
      <c r="F20" s="82">
        <f>数据区!S18</f>
      </c>
      <c r="G20" s="13">
        <f>IF(数据区!J$11=0,数据区!T18,数据区!V18)</f>
      </c>
      <c r="H20" s="92">
        <f>IF(数据区!J$11=0,数据区!U18,数据区!W18)</f>
      </c>
    </row>
    <row r="21" spans="1:8" customHeight="1" ht="49.5">
      <c r="A21" s="91">
        <v>5</v>
      </c>
      <c r="B21" s="79" t="s">
        <v>83</v>
      </c>
      <c r="C21" s="79" t="str">
        <f>数据区!Q19</f>
      </c>
      <c r="D21" s="80" t="s">
        <v>205</v>
      </c>
      <c r="E21" s="79" t="s">
        <v>71</v>
      </c>
      <c r="F21" s="82">
        <f>数据区!S19</f>
      </c>
      <c r="G21" s="13">
        <f>IF(数据区!J$11=0,数据区!T19,数据区!V19)</f>
      </c>
      <c r="H21" s="92">
        <f>IF(数据区!J$11=0,数据区!U19,数据区!W19)</f>
      </c>
    </row>
    <row r="22" spans="1:8" customHeight="1" ht="64.5">
      <c r="A22" s="91">
        <v>6</v>
      </c>
      <c r="B22" s="79" t="s">
        <v>84</v>
      </c>
      <c r="C22" s="79" t="s">
        <v>85</v>
      </c>
      <c r="D22" s="80" t="s">
        <v>206</v>
      </c>
      <c r="E22" s="79" t="s">
        <v>86</v>
      </c>
      <c r="F22" s="81">
        <f>数据区!S20</f>
      </c>
      <c r="G22" s="13">
        <f>IF(数据区!J$11=0,数据区!T20,数据区!V20)</f>
      </c>
      <c r="H22" s="92">
        <f>IF(数据区!J$11=0,数据区!U20,数据区!W20)</f>
      </c>
    </row>
    <row r="23" spans="1:8" customHeight="1" ht="25.5">
      <c r="A23" s="91">
        <v>7</v>
      </c>
      <c r="B23" s="79" t="s">
        <v>87</v>
      </c>
      <c r="C23" s="79" t="s">
        <v>88</v>
      </c>
      <c r="D23" s="80" t="s">
        <v>207</v>
      </c>
      <c r="E23" s="79" t="s">
        <v>86</v>
      </c>
      <c r="F23" s="81">
        <f>数据区!S21</f>
      </c>
      <c r="G23" s="13">
        <f>IF(数据区!J$11=0,数据区!T21,数据区!V21)</f>
      </c>
      <c r="H23" s="92">
        <f>IF(数据区!J$11=0,数据区!U21,数据区!W21)</f>
      </c>
    </row>
    <row r="24" spans="1:8" customHeight="1" ht="25.5">
      <c r="A24" s="91"/>
      <c r="B24" s="79"/>
      <c r="C24" s="79"/>
      <c r="D24" s="80"/>
      <c r="E24" s="79"/>
      <c r="F24" s="81"/>
      <c r="G24" s="13"/>
      <c r="H24" s="92"/>
    </row>
    <row r="25" spans="1:8" customHeight="1" ht="25.5">
      <c r="A25" s="91"/>
      <c r="B25" s="79"/>
      <c r="C25" s="79"/>
      <c r="D25" s="80"/>
      <c r="E25" s="79"/>
      <c r="F25" s="81"/>
      <c r="G25" s="13"/>
      <c r="H25" s="92"/>
    </row>
    <row r="26" spans="1:8" customHeight="1" ht="25.5">
      <c r="A26" s="91"/>
      <c r="B26" s="79"/>
      <c r="C26" s="79"/>
      <c r="D26" s="80"/>
      <c r="E26" s="79"/>
      <c r="F26" s="81"/>
      <c r="G26" s="13"/>
      <c r="H26" s="92"/>
    </row>
    <row r="27" spans="1:8" customHeight="1" ht="25.5">
      <c r="A27" s="91"/>
      <c r="B27" s="79"/>
      <c r="C27" s="79"/>
      <c r="D27" s="80"/>
      <c r="E27" s="79"/>
      <c r="F27" s="81"/>
      <c r="G27" s="13"/>
      <c r="H27" s="92"/>
    </row>
    <row r="28" spans="1:8" customHeight="1" ht="25.5">
      <c r="A28" s="91"/>
      <c r="B28" s="79"/>
      <c r="C28" s="79"/>
      <c r="D28" s="80"/>
      <c r="E28" s="79"/>
      <c r="F28" s="81"/>
      <c r="G28" s="13"/>
      <c r="H28" s="92"/>
    </row>
    <row r="29" spans="1:8" customHeight="1" ht="25.5">
      <c r="A29" s="91"/>
      <c r="B29" s="79"/>
      <c r="C29" s="79"/>
      <c r="D29" s="80"/>
      <c r="E29" s="79"/>
      <c r="F29" s="81"/>
      <c r="G29" s="13"/>
      <c r="H29" s="92"/>
    </row>
    <row r="30" spans="1:8" customHeight="1" ht="25.5">
      <c r="A30" s="91"/>
      <c r="B30" s="79"/>
      <c r="C30" s="79"/>
      <c r="D30" s="80"/>
      <c r="E30" s="79"/>
      <c r="F30" s="81"/>
      <c r="G30" s="13"/>
      <c r="H30" s="92"/>
    </row>
    <row r="31" spans="1:8" customHeight="1" ht="25.5">
      <c r="A31" s="91"/>
      <c r="B31" s="79"/>
      <c r="C31" s="79"/>
      <c r="D31" s="80"/>
      <c r="E31" s="79"/>
      <c r="F31" s="81"/>
      <c r="G31" s="13"/>
      <c r="H31" s="92"/>
    </row>
    <row r="32" spans="1:8" customHeight="1" ht="25.5">
      <c r="A32" s="91"/>
      <c r="B32" s="79"/>
      <c r="C32" s="79"/>
      <c r="D32" s="80"/>
      <c r="E32" s="79"/>
      <c r="F32" s="81"/>
      <c r="G32" s="13"/>
      <c r="H32" s="92"/>
    </row>
    <row r="33" spans="1:8" customHeight="1" ht="25.5">
      <c r="A33" s="91"/>
      <c r="B33" s="79"/>
      <c r="C33" s="79"/>
      <c r="D33" s="80"/>
      <c r="E33" s="79"/>
      <c r="F33" s="81"/>
      <c r="G33" s="13"/>
      <c r="H33" s="92"/>
    </row>
    <row r="34" spans="1:8" customHeight="1" ht="25.5">
      <c r="A34" s="91"/>
      <c r="B34" s="79"/>
      <c r="C34" s="79"/>
      <c r="D34" s="80"/>
      <c r="E34" s="79"/>
      <c r="F34" s="81"/>
      <c r="G34" s="13"/>
      <c r="H34" s="92"/>
    </row>
    <row r="35" spans="1:8" customHeight="1" ht="25.5">
      <c r="A35" s="91"/>
      <c r="B35" s="79"/>
      <c r="C35" s="79"/>
      <c r="D35" s="80"/>
      <c r="E35" s="79"/>
      <c r="F35" s="81"/>
      <c r="G35" s="13"/>
      <c r="H35" s="92"/>
    </row>
    <row r="36" spans="1:8" customHeight="1" ht="25.5">
      <c r="A36" s="91"/>
      <c r="B36" s="79"/>
      <c r="C36" s="79"/>
      <c r="D36" s="80"/>
      <c r="E36" s="79"/>
      <c r="F36" s="81"/>
      <c r="G36" s="13"/>
      <c r="H36" s="92"/>
    </row>
    <row r="37" spans="1:8" customHeight="1" ht="25.5">
      <c r="A37" s="91"/>
      <c r="B37" s="79"/>
      <c r="C37" s="79"/>
      <c r="D37" s="80"/>
      <c r="E37" s="79"/>
      <c r="F37" s="81"/>
      <c r="G37" s="13"/>
      <c r="H37" s="92"/>
    </row>
    <row r="38" spans="1:8" customHeight="1" ht="25.5">
      <c r="A38" s="91"/>
      <c r="B38" s="79"/>
      <c r="C38" s="79"/>
      <c r="D38" s="80"/>
      <c r="E38" s="79"/>
      <c r="F38" s="81"/>
      <c r="G38" s="13"/>
      <c r="H38" s="92"/>
    </row>
    <row r="39" spans="1:8" customHeight="1" ht="20.5">
      <c r="A39" s="164" t="s">
        <v>203</v>
      </c>
      <c r="B39" s="165"/>
      <c r="C39" s="165"/>
      <c r="D39" s="165"/>
      <c r="E39" s="165"/>
      <c r="F39" s="165"/>
      <c r="G39" s="166"/>
      <c r="H39" s="93">
        <f>SUM(H17:H23)</f>
      </c>
    </row>
    <row r="40" spans="1:8" customHeight="1" ht="42">
      <c r="A40" s="167" t="s">
        <v>194</v>
      </c>
      <c r="B40" s="167"/>
      <c r="C40" s="167"/>
      <c r="D40" s="167"/>
      <c r="E40" s="167"/>
      <c r="F40" s="167"/>
      <c r="G40" s="167"/>
      <c r="H40" s="167"/>
    </row>
    <row r="41" spans="1:8" customHeight="1" ht="20.5">
      <c r="A41" s="168" t="s">
        <v>208</v>
      </c>
      <c r="B41" s="168"/>
      <c r="C41" s="168"/>
      <c r="D41" s="168"/>
      <c r="E41" s="168"/>
      <c r="F41" s="87"/>
      <c r="G41" s="87" t="s">
        <v>179</v>
      </c>
      <c r="H41" s="87" t="s">
        <v>180</v>
      </c>
    </row>
    <row r="42" spans="1:8" customHeight="1" ht="20.5">
      <c r="A42" s="88" t="s">
        <v>144</v>
      </c>
      <c r="B42" s="89" t="s">
        <v>181</v>
      </c>
      <c r="C42" s="89" t="s">
        <v>26</v>
      </c>
      <c r="D42" s="89" t="s">
        <v>197</v>
      </c>
      <c r="E42" s="89" t="s">
        <v>27</v>
      </c>
      <c r="F42" s="89" t="s">
        <v>28</v>
      </c>
      <c r="G42" s="89" t="s">
        <v>198</v>
      </c>
      <c r="H42" s="90" t="s">
        <v>199</v>
      </c>
    </row>
    <row r="43" spans="1:8" customHeight="1" ht="69.65">
      <c r="A43" s="91">
        <v>1</v>
      </c>
      <c r="B43" s="79" t="s">
        <v>40</v>
      </c>
      <c r="C43" s="79" t="s">
        <v>56</v>
      </c>
      <c r="D43" s="80" t="s">
        <v>200</v>
      </c>
      <c r="E43" s="79" t="s">
        <v>42</v>
      </c>
      <c r="F43" s="81">
        <f>数据区!S24</f>
      </c>
      <c r="G43" s="13">
        <f>IF(数据区!J$11=0,数据区!T24,数据区!V24)</f>
      </c>
      <c r="H43" s="92">
        <f>IF(数据区!J$11=0,数据区!U24,数据区!W24)</f>
      </c>
    </row>
    <row r="44" spans="1:8" customHeight="1" ht="69.65">
      <c r="A44" s="91">
        <v>2</v>
      </c>
      <c r="B44" s="79" t="s">
        <v>40</v>
      </c>
      <c r="C44" s="79" t="s">
        <v>59</v>
      </c>
      <c r="D44" s="80" t="s">
        <v>200</v>
      </c>
      <c r="E44" s="79" t="s">
        <v>42</v>
      </c>
      <c r="F44" s="81">
        <f>数据区!S25</f>
      </c>
      <c r="G44" s="13">
        <f>IF(数据区!J$11=0,数据区!T25,数据区!V25)</f>
      </c>
      <c r="H44" s="92">
        <f>IF(数据区!J$11=0,数据区!U25,数据区!W25)</f>
      </c>
    </row>
    <row r="45" spans="1:8" customHeight="1" ht="69.65">
      <c r="A45" s="91">
        <v>3</v>
      </c>
      <c r="B45" s="79" t="s">
        <v>91</v>
      </c>
      <c r="C45" s="79" t="s">
        <v>92</v>
      </c>
      <c r="D45" s="84" t="s">
        <v>209</v>
      </c>
      <c r="E45" s="79" t="s">
        <v>93</v>
      </c>
      <c r="F45" s="82">
        <f>数据区!S26</f>
      </c>
      <c r="G45" s="13">
        <f>IF(数据区!J$11=0,数据区!T26,数据区!V26)</f>
      </c>
      <c r="H45" s="92">
        <f>IF(数据区!J$11=0,数据区!U26,数据区!W26)</f>
      </c>
    </row>
    <row r="46" spans="1:8" customHeight="1" ht="24">
      <c r="A46" s="91">
        <v>4</v>
      </c>
      <c r="B46" s="79" t="s">
        <v>94</v>
      </c>
      <c r="C46" s="79" t="s">
        <v>95</v>
      </c>
      <c r="D46" s="80" t="s">
        <v>210</v>
      </c>
      <c r="E46" s="79" t="s">
        <v>93</v>
      </c>
      <c r="F46" s="82">
        <f>数据区!S27</f>
      </c>
      <c r="G46" s="13">
        <f>IF(数据区!J$11=0,数据区!T27,数据区!V27)</f>
      </c>
      <c r="H46" s="92">
        <f>IF(数据区!J$11=0,数据区!U27,数据区!W27)</f>
      </c>
    </row>
    <row r="47" spans="1:8" customHeight="1" ht="24">
      <c r="A47" s="91">
        <v>5</v>
      </c>
      <c r="B47" s="79" t="s">
        <v>84</v>
      </c>
      <c r="C47" s="79" t="s">
        <v>85</v>
      </c>
      <c r="D47" s="80" t="s">
        <v>211</v>
      </c>
      <c r="E47" s="79" t="s">
        <v>86</v>
      </c>
      <c r="F47" s="81">
        <f>数据区!S28</f>
      </c>
      <c r="G47" s="13">
        <f>IF(数据区!J$11=0,数据区!T28,数据区!V28)</f>
      </c>
      <c r="H47" s="92">
        <f>IF(数据区!J$11=0,数据区!U28,数据区!W28)</f>
      </c>
    </row>
    <row r="48" spans="1:8" customHeight="1" ht="24">
      <c r="A48" s="91">
        <v>6</v>
      </c>
      <c r="B48" s="79" t="s">
        <v>87</v>
      </c>
      <c r="C48" s="79" t="s">
        <v>96</v>
      </c>
      <c r="D48" s="80" t="s">
        <v>212</v>
      </c>
      <c r="E48" s="79" t="s">
        <v>86</v>
      </c>
      <c r="F48" s="81">
        <f>数据区!S29</f>
      </c>
      <c r="G48" s="13">
        <f>IF(数据区!J$11=0,数据区!T29,数据区!V29)</f>
      </c>
      <c r="H48" s="92">
        <f>IF(数据区!J$11=0,数据区!U29,数据区!W29)</f>
      </c>
    </row>
    <row r="49" spans="1:8" customHeight="1" ht="24">
      <c r="A49" s="91"/>
      <c r="B49" s="79"/>
      <c r="C49" s="79"/>
      <c r="D49" s="80"/>
      <c r="E49" s="79"/>
      <c r="F49" s="81"/>
      <c r="G49" s="13"/>
      <c r="H49" s="92"/>
    </row>
    <row r="50" spans="1:8" customHeight="1" ht="24">
      <c r="A50" s="91"/>
      <c r="B50" s="79"/>
      <c r="C50" s="79"/>
      <c r="D50" s="80"/>
      <c r="E50" s="79"/>
      <c r="F50" s="81"/>
      <c r="G50" s="13"/>
      <c r="H50" s="92"/>
    </row>
    <row r="51" spans="1:8" customHeight="1" ht="24">
      <c r="A51" s="91"/>
      <c r="B51" s="79"/>
      <c r="C51" s="79"/>
      <c r="D51" s="80"/>
      <c r="E51" s="79"/>
      <c r="F51" s="81"/>
      <c r="G51" s="13"/>
      <c r="H51" s="92"/>
    </row>
    <row r="52" spans="1:8" customHeight="1" ht="24">
      <c r="A52" s="91"/>
      <c r="B52" s="79"/>
      <c r="C52" s="79"/>
      <c r="D52" s="80"/>
      <c r="E52" s="79"/>
      <c r="F52" s="81"/>
      <c r="G52" s="13"/>
      <c r="H52" s="92"/>
    </row>
    <row r="53" spans="1:8" customHeight="1" ht="24">
      <c r="A53" s="91"/>
      <c r="B53" s="79"/>
      <c r="C53" s="79"/>
      <c r="D53" s="80"/>
      <c r="E53" s="79"/>
      <c r="F53" s="81"/>
      <c r="G53" s="13"/>
      <c r="H53" s="92"/>
    </row>
    <row r="54" spans="1:8" customHeight="1" ht="24">
      <c r="A54" s="91"/>
      <c r="B54" s="79"/>
      <c r="C54" s="79"/>
      <c r="D54" s="80"/>
      <c r="E54" s="79"/>
      <c r="F54" s="81"/>
      <c r="G54" s="13"/>
      <c r="H54" s="92"/>
    </row>
    <row r="55" spans="1:8" customHeight="1" ht="24">
      <c r="A55" s="91"/>
      <c r="B55" s="79"/>
      <c r="C55" s="79"/>
      <c r="D55" s="80"/>
      <c r="E55" s="79"/>
      <c r="F55" s="81"/>
      <c r="G55" s="13"/>
      <c r="H55" s="92"/>
    </row>
    <row r="56" spans="1:8" customHeight="1" ht="24">
      <c r="A56" s="91"/>
      <c r="B56" s="79"/>
      <c r="C56" s="79"/>
      <c r="D56" s="80"/>
      <c r="E56" s="79"/>
      <c r="F56" s="81"/>
      <c r="G56" s="13"/>
      <c r="H56" s="92"/>
    </row>
    <row r="57" spans="1:8" customHeight="1" ht="24">
      <c r="A57" s="91"/>
      <c r="B57" s="79"/>
      <c r="C57" s="79"/>
      <c r="D57" s="80"/>
      <c r="E57" s="79"/>
      <c r="F57" s="81"/>
      <c r="G57" s="13"/>
      <c r="H57" s="92"/>
    </row>
    <row r="58" spans="1:8" customHeight="1" ht="24">
      <c r="A58" s="91"/>
      <c r="B58" s="79"/>
      <c r="C58" s="79"/>
      <c r="D58" s="80"/>
      <c r="E58" s="79"/>
      <c r="F58" s="81"/>
      <c r="G58" s="13"/>
      <c r="H58" s="92"/>
    </row>
    <row r="59" spans="1:8" customHeight="1" ht="24">
      <c r="A59" s="91"/>
      <c r="B59" s="79"/>
      <c r="C59" s="79"/>
      <c r="D59" s="80"/>
      <c r="E59" s="79"/>
      <c r="F59" s="81"/>
      <c r="G59" s="13"/>
      <c r="H59" s="92"/>
    </row>
    <row r="60" spans="1:8" customHeight="1" ht="24">
      <c r="A60" s="91"/>
      <c r="B60" s="79"/>
      <c r="C60" s="79"/>
      <c r="D60" s="80"/>
      <c r="E60" s="79"/>
      <c r="F60" s="81"/>
      <c r="G60" s="13"/>
      <c r="H60" s="92"/>
    </row>
    <row r="61" spans="1:8" customHeight="1" ht="24">
      <c r="A61" s="91"/>
      <c r="B61" s="79"/>
      <c r="C61" s="79"/>
      <c r="D61" s="80"/>
      <c r="E61" s="79"/>
      <c r="F61" s="81"/>
      <c r="G61" s="13"/>
      <c r="H61" s="92"/>
    </row>
    <row r="62" spans="1:8" customHeight="1" ht="24">
      <c r="A62" s="91"/>
      <c r="B62" s="79"/>
      <c r="C62" s="79"/>
      <c r="D62" s="80"/>
      <c r="E62" s="79"/>
      <c r="F62" s="81"/>
      <c r="G62" s="13"/>
      <c r="H62" s="92"/>
    </row>
    <row r="63" spans="1:8" customHeight="1" ht="24">
      <c r="A63" s="91"/>
      <c r="B63" s="79"/>
      <c r="C63" s="79"/>
      <c r="D63" s="80"/>
      <c r="E63" s="79"/>
      <c r="F63" s="81"/>
      <c r="G63" s="13"/>
      <c r="H63" s="92"/>
    </row>
    <row r="64" spans="1:8" customHeight="1" ht="24">
      <c r="A64" s="91"/>
      <c r="B64" s="79"/>
      <c r="C64" s="79"/>
      <c r="D64" s="80"/>
      <c r="E64" s="79"/>
      <c r="F64" s="81"/>
      <c r="G64" s="13"/>
      <c r="H64" s="92"/>
    </row>
    <row r="65" spans="1:8" customHeight="1" ht="24">
      <c r="A65" s="91"/>
      <c r="B65" s="79"/>
      <c r="C65" s="79"/>
      <c r="D65" s="80"/>
      <c r="E65" s="79"/>
      <c r="F65" s="81"/>
      <c r="G65" s="13"/>
      <c r="H65" s="92"/>
    </row>
    <row r="66" spans="1:8" customHeight="1" ht="24">
      <c r="A66" s="91"/>
      <c r="B66" s="79"/>
      <c r="C66" s="79"/>
      <c r="D66" s="80"/>
      <c r="E66" s="79"/>
      <c r="F66" s="81"/>
      <c r="G66" s="13"/>
      <c r="H66" s="92"/>
    </row>
    <row r="67" spans="1:8" customHeight="1" ht="20.5">
      <c r="A67" s="164" t="s">
        <v>203</v>
      </c>
      <c r="B67" s="165"/>
      <c r="C67" s="165"/>
      <c r="D67" s="165"/>
      <c r="E67" s="165"/>
      <c r="F67" s="165"/>
      <c r="G67" s="166"/>
      <c r="H67" s="93">
        <f>IF(数据区!J$11=0,数据区!U30,数据区!W30)</f>
      </c>
    </row>
    <row r="68" spans="1:8" customHeight="1" ht="43">
      <c r="A68" s="167" t="s">
        <v>194</v>
      </c>
      <c r="B68" s="167"/>
      <c r="C68" s="167"/>
      <c r="D68" s="167"/>
      <c r="E68" s="167"/>
      <c r="F68" s="167"/>
      <c r="G68" s="167"/>
      <c r="H68" s="167"/>
    </row>
    <row r="69" spans="1:8" customHeight="1" ht="20.5">
      <c r="A69" s="168" t="s">
        <v>213</v>
      </c>
      <c r="B69" s="168"/>
      <c r="C69" s="168"/>
      <c r="D69" s="168"/>
      <c r="E69" s="168"/>
      <c r="F69" s="87"/>
      <c r="G69" s="87" t="s">
        <v>179</v>
      </c>
      <c r="H69" s="87" t="s">
        <v>214</v>
      </c>
    </row>
    <row r="70" spans="1:8" customHeight="1" ht="20.5">
      <c r="A70" s="88" t="s">
        <v>144</v>
      </c>
      <c r="B70" s="89" t="s">
        <v>181</v>
      </c>
      <c r="C70" s="89" t="s">
        <v>26</v>
      </c>
      <c r="D70" s="89" t="s">
        <v>197</v>
      </c>
      <c r="E70" s="89" t="s">
        <v>27</v>
      </c>
      <c r="F70" s="89" t="s">
        <v>28</v>
      </c>
      <c r="G70" s="89" t="s">
        <v>198</v>
      </c>
      <c r="H70" s="90" t="s">
        <v>199</v>
      </c>
    </row>
    <row r="71" spans="1:8" customHeight="1" ht="100.5">
      <c r="A71" s="91">
        <v>1</v>
      </c>
      <c r="B71" s="79" t="s">
        <v>97</v>
      </c>
      <c r="C71" s="79"/>
      <c r="D71" s="85" t="s">
        <v>215</v>
      </c>
      <c r="E71" s="79" t="s">
        <v>71</v>
      </c>
      <c r="F71" s="82">
        <f>数据区!S32</f>
      </c>
      <c r="G71" s="13">
        <f>IF(数据区!J$11=0,数据区!T32,数据区!V32)</f>
      </c>
      <c r="H71" s="92">
        <f>IF(数据区!J$11=0,数据区!U32,数据区!W32)</f>
      </c>
    </row>
    <row r="72" spans="1:8" customHeight="1" ht="100.5">
      <c r="A72" s="91">
        <v>2</v>
      </c>
      <c r="B72" s="79" t="s">
        <v>98</v>
      </c>
      <c r="C72" s="79"/>
      <c r="D72" s="85" t="s">
        <v>215</v>
      </c>
      <c r="E72" s="79" t="s">
        <v>71</v>
      </c>
      <c r="F72" s="82">
        <f>数据区!S33</f>
      </c>
      <c r="G72" s="13">
        <f>IF(数据区!J$11=0,数据区!T33,数据区!V33)</f>
      </c>
      <c r="H72" s="92">
        <f>IF(数据区!J$11=0,数据区!U33,数据区!W33)</f>
      </c>
    </row>
    <row r="73" spans="1:8" customHeight="1" ht="99.65">
      <c r="A73" s="91">
        <v>3</v>
      </c>
      <c r="B73" s="79" t="s">
        <v>99</v>
      </c>
      <c r="C73" s="79"/>
      <c r="D73" s="85" t="s">
        <v>215</v>
      </c>
      <c r="E73" s="79" t="s">
        <v>71</v>
      </c>
      <c r="F73" s="82">
        <f>数据区!S34</f>
      </c>
      <c r="G73" s="13">
        <f>IF(数据区!J$11=0,数据区!T34,数据区!V34)</f>
      </c>
      <c r="H73" s="92">
        <f>IF(数据区!J$11=0,数据区!U34,数据区!W34)</f>
      </c>
    </row>
    <row r="74" spans="1:8" customHeight="1" ht="99.65">
      <c r="A74" s="91">
        <v>4</v>
      </c>
      <c r="B74" s="79" t="s">
        <v>100</v>
      </c>
      <c r="C74" s="79"/>
      <c r="D74" s="85" t="s">
        <v>215</v>
      </c>
      <c r="E74" s="79" t="s">
        <v>71</v>
      </c>
      <c r="F74" s="82">
        <f>数据区!S35</f>
      </c>
      <c r="G74" s="13">
        <f>IF(数据区!J$11=0,数据区!T35,数据区!V35)</f>
      </c>
      <c r="H74" s="92">
        <f>IF(数据区!J$11=0,数据区!U35,数据区!W35)</f>
      </c>
    </row>
    <row r="75" spans="1:8" customHeight="1" ht="99.65">
      <c r="A75" s="91">
        <v>5</v>
      </c>
      <c r="B75" s="79" t="s">
        <v>101</v>
      </c>
      <c r="C75" s="79"/>
      <c r="D75" s="85" t="s">
        <v>215</v>
      </c>
      <c r="E75" s="79" t="s">
        <v>71</v>
      </c>
      <c r="F75" s="82">
        <f>数据区!S36</f>
      </c>
      <c r="G75" s="13">
        <f>IF(数据区!J$11=0,数据区!T36,数据区!V36)</f>
      </c>
      <c r="H75" s="92">
        <f>IF(数据区!J$11=0,数据区!U36,数据区!W36)</f>
      </c>
    </row>
    <row r="76" spans="1:8" customHeight="1" ht="99.65">
      <c r="A76" s="91">
        <v>6</v>
      </c>
      <c r="B76" s="79" t="s">
        <v>102</v>
      </c>
      <c r="C76" s="79"/>
      <c r="D76" s="85" t="s">
        <v>215</v>
      </c>
      <c r="E76" s="79" t="s">
        <v>71</v>
      </c>
      <c r="F76" s="82">
        <f>数据区!S37</f>
      </c>
      <c r="G76" s="13">
        <f>IF(数据区!J$11=0,数据区!T37,数据区!V37)</f>
      </c>
      <c r="H76" s="92">
        <f>IF(数据区!J$11=0,数据区!U37,数据区!W37)</f>
      </c>
    </row>
    <row r="77" spans="1:8" customHeight="1" ht="39.65">
      <c r="A77" s="91"/>
      <c r="B77" s="79"/>
      <c r="C77" s="79"/>
      <c r="D77" s="85"/>
      <c r="E77" s="79"/>
      <c r="F77" s="81"/>
      <c r="G77" s="13"/>
      <c r="H77" s="92"/>
    </row>
    <row r="78" spans="1:8" customHeight="1" ht="39.65">
      <c r="A78" s="91"/>
      <c r="B78" s="79"/>
      <c r="C78" s="79"/>
      <c r="D78" s="85"/>
      <c r="E78" s="79"/>
      <c r="F78" s="81"/>
      <c r="G78" s="13"/>
      <c r="H78" s="92"/>
    </row>
    <row r="79" spans="1:8" customHeight="1" ht="42">
      <c r="A79" s="169" t="s">
        <v>203</v>
      </c>
      <c r="B79" s="170"/>
      <c r="C79" s="170"/>
      <c r="D79" s="170"/>
      <c r="E79" s="170"/>
      <c r="F79" s="170"/>
      <c r="G79" s="171"/>
      <c r="H79" s="93">
        <f>SUM(H71:H76)</f>
      </c>
    </row>
    <row r="80" spans="1:8" customHeight="1" ht="44.5">
      <c r="A80" s="167" t="s">
        <v>194</v>
      </c>
      <c r="B80" s="167"/>
      <c r="C80" s="167"/>
      <c r="D80" s="167"/>
      <c r="E80" s="167"/>
      <c r="F80" s="167"/>
      <c r="G80" s="167"/>
      <c r="H80" s="167"/>
    </row>
    <row r="81" spans="1:8" customHeight="1" ht="26.15">
      <c r="A81" s="168" t="s">
        <v>213</v>
      </c>
      <c r="B81" s="168"/>
      <c r="C81" s="168"/>
      <c r="D81" s="168"/>
      <c r="E81" s="168"/>
      <c r="F81" s="87"/>
      <c r="G81" s="87" t="s">
        <v>204</v>
      </c>
      <c r="H81" s="87" t="s">
        <v>214</v>
      </c>
    </row>
    <row r="82" spans="1:8" customHeight="1" ht="26.15">
      <c r="A82" s="88" t="s">
        <v>144</v>
      </c>
      <c r="B82" s="89" t="s">
        <v>181</v>
      </c>
      <c r="C82" s="89" t="s">
        <v>26</v>
      </c>
      <c r="D82" s="89" t="s">
        <v>197</v>
      </c>
      <c r="E82" s="89" t="s">
        <v>27</v>
      </c>
      <c r="F82" s="89" t="s">
        <v>28</v>
      </c>
      <c r="G82" s="89" t="s">
        <v>198</v>
      </c>
      <c r="H82" s="90" t="s">
        <v>199</v>
      </c>
    </row>
    <row r="83" spans="1:8" customHeight="1" ht="99.65">
      <c r="A83" s="91">
        <v>7</v>
      </c>
      <c r="B83" s="79" t="s">
        <v>103</v>
      </c>
      <c r="C83" s="79"/>
      <c r="D83" s="85" t="s">
        <v>215</v>
      </c>
      <c r="E83" s="79" t="s">
        <v>71</v>
      </c>
      <c r="F83" s="82">
        <f>数据区!S38</f>
      </c>
      <c r="G83" s="13">
        <f>IF(数据区!J$11=0,数据区!T38,数据区!V38)</f>
      </c>
      <c r="H83" s="92">
        <f>IF(数据区!J$11=0,数据区!U38,数据区!W38)</f>
      </c>
    </row>
    <row r="84" spans="1:8" customHeight="1" ht="99.65">
      <c r="A84" s="91">
        <v>8</v>
      </c>
      <c r="B84" s="79" t="s">
        <v>104</v>
      </c>
      <c r="C84" s="79"/>
      <c r="D84" s="85" t="s">
        <v>215</v>
      </c>
      <c r="E84" s="79" t="s">
        <v>71</v>
      </c>
      <c r="F84" s="82">
        <f>数据区!S39</f>
      </c>
      <c r="G84" s="13">
        <f>IF(数据区!J$11=0,数据区!T39,数据区!V39)</f>
      </c>
      <c r="H84" s="92">
        <f>IF(数据区!J$11=0,数据区!U39,数据区!W39)</f>
      </c>
    </row>
    <row r="85" spans="1:8" customHeight="1" ht="99.65">
      <c r="A85" s="91">
        <v>9</v>
      </c>
      <c r="B85" s="79" t="s">
        <v>105</v>
      </c>
      <c r="C85" s="79"/>
      <c r="D85" s="85" t="s">
        <v>215</v>
      </c>
      <c r="E85" s="79" t="s">
        <v>71</v>
      </c>
      <c r="F85" s="82">
        <f>数据区!S40</f>
      </c>
      <c r="G85" s="13">
        <f>IF(数据区!J$11=0,数据区!T40,数据区!V40)</f>
      </c>
      <c r="H85" s="92">
        <f>IF(数据区!J$11=0,数据区!U40,数据区!W40)</f>
      </c>
    </row>
    <row r="86" spans="1:8" customHeight="1" ht="99.65">
      <c r="A86" s="91">
        <v>10</v>
      </c>
      <c r="B86" s="79" t="s">
        <v>106</v>
      </c>
      <c r="C86" s="79"/>
      <c r="D86" s="85" t="s">
        <v>215</v>
      </c>
      <c r="E86" s="79" t="s">
        <v>71</v>
      </c>
      <c r="F86" s="82">
        <f>数据区!S41</f>
      </c>
      <c r="G86" s="13">
        <f>IF(数据区!J$11=0,数据区!T41,数据区!V41)</f>
      </c>
      <c r="H86" s="92">
        <f>IF(数据区!J$11=0,数据区!U41,数据区!W41)</f>
      </c>
    </row>
    <row r="87" spans="1:8" customHeight="1" ht="98.15">
      <c r="A87" s="91">
        <v>11</v>
      </c>
      <c r="B87" s="79" t="s">
        <v>107</v>
      </c>
      <c r="C87" s="79" t="s">
        <v>118</v>
      </c>
      <c r="D87" s="86" t="s">
        <v>216</v>
      </c>
      <c r="E87" s="79" t="s">
        <v>42</v>
      </c>
      <c r="F87" s="81">
        <f>数据区!S42</f>
      </c>
      <c r="G87" s="13">
        <f>IF(数据区!J$11=0,数据区!T42,数据区!V42)</f>
      </c>
      <c r="H87" s="92">
        <f>IF(数据区!J$11=0,数据区!U42,数据区!W42)</f>
      </c>
    </row>
    <row r="88" spans="1:8" customHeight="1" ht="98.15">
      <c r="A88" s="91">
        <v>12</v>
      </c>
      <c r="B88" s="79" t="s">
        <v>108</v>
      </c>
      <c r="C88" s="79" t="s">
        <v>109</v>
      </c>
      <c r="D88" s="86" t="s">
        <v>217</v>
      </c>
      <c r="E88" s="79" t="s">
        <v>42</v>
      </c>
      <c r="F88" s="81">
        <f>数据区!S43</f>
      </c>
      <c r="G88" s="13">
        <f>IF(数据区!J$11=0,数据区!T43,数据区!V43)</f>
      </c>
      <c r="H88" s="92">
        <f>IF(数据区!J$11=0,数据区!U43,数据区!W43)</f>
      </c>
    </row>
    <row r="89" spans="1:8" customHeight="1" ht="34">
      <c r="A89" s="91"/>
      <c r="B89" s="79"/>
      <c r="C89" s="79"/>
      <c r="D89" s="86"/>
      <c r="E89" s="79"/>
      <c r="F89" s="81"/>
      <c r="G89" s="13"/>
      <c r="H89" s="92"/>
    </row>
    <row r="90" spans="1:8" customHeight="1" ht="34">
      <c r="A90" s="91"/>
      <c r="B90" s="79"/>
      <c r="C90" s="79"/>
      <c r="D90" s="86"/>
      <c r="E90" s="79"/>
      <c r="F90" s="81"/>
      <c r="G90" s="13"/>
      <c r="H90" s="92"/>
    </row>
    <row r="91" spans="1:8" customHeight="1" ht="35.5">
      <c r="A91" s="169" t="s">
        <v>203</v>
      </c>
      <c r="B91" s="170"/>
      <c r="C91" s="170"/>
      <c r="D91" s="170"/>
      <c r="E91" s="170"/>
      <c r="F91" s="170"/>
      <c r="G91" s="171"/>
      <c r="H91" s="93">
        <f>SUM(H83:H88)</f>
      </c>
    </row>
    <row r="92" spans="1:8" customHeight="1" ht="35.5">
      <c r="A92" s="167" t="s">
        <v>194</v>
      </c>
      <c r="B92" s="167"/>
      <c r="C92" s="167"/>
      <c r="D92" s="167"/>
      <c r="E92" s="167"/>
      <c r="F92" s="167"/>
      <c r="G92" s="167"/>
      <c r="H92" s="167"/>
    </row>
    <row r="93" spans="1:8" customHeight="1" ht="28">
      <c r="A93" s="168" t="s">
        <v>213</v>
      </c>
      <c r="B93" s="168"/>
      <c r="C93" s="168"/>
      <c r="D93" s="168"/>
      <c r="E93" s="168"/>
      <c r="F93" s="87"/>
      <c r="G93" s="87" t="s">
        <v>218</v>
      </c>
      <c r="H93" s="87" t="s">
        <v>214</v>
      </c>
    </row>
    <row r="94" spans="1:8" customHeight="1" ht="25.5">
      <c r="A94" s="88" t="s">
        <v>144</v>
      </c>
      <c r="B94" s="89" t="s">
        <v>181</v>
      </c>
      <c r="C94" s="89" t="s">
        <v>26</v>
      </c>
      <c r="D94" s="89" t="s">
        <v>197</v>
      </c>
      <c r="E94" s="89" t="s">
        <v>27</v>
      </c>
      <c r="F94" s="89" t="s">
        <v>28</v>
      </c>
      <c r="G94" s="89" t="s">
        <v>198</v>
      </c>
      <c r="H94" s="90" t="s">
        <v>199</v>
      </c>
    </row>
    <row r="95" spans="1:8" customHeight="1" ht="80.15">
      <c r="A95" s="91">
        <v>13</v>
      </c>
      <c r="B95" s="79" t="s">
        <v>108</v>
      </c>
      <c r="C95" s="79" t="s">
        <v>110</v>
      </c>
      <c r="D95" s="86" t="s">
        <v>219</v>
      </c>
      <c r="E95" s="79" t="s">
        <v>42</v>
      </c>
      <c r="F95" s="81">
        <f>数据区!S44</f>
      </c>
      <c r="G95" s="13">
        <f>IF(数据区!J$11=0,数据区!T44,数据区!V44)</f>
      </c>
      <c r="H95" s="92">
        <f>IF(数据区!J$11=0,数据区!U44,数据区!W44)</f>
      </c>
    </row>
    <row r="96" spans="1:8" customHeight="1" ht="80.15">
      <c r="A96" s="91">
        <v>14</v>
      </c>
      <c r="B96" s="79" t="s">
        <v>108</v>
      </c>
      <c r="C96" s="79" t="s">
        <v>111</v>
      </c>
      <c r="D96" s="86" t="s">
        <v>220</v>
      </c>
      <c r="E96" s="79" t="s">
        <v>42</v>
      </c>
      <c r="F96" s="81">
        <f>数据区!S45</f>
      </c>
      <c r="G96" s="13">
        <f>IF(数据区!J$11=0,数据区!T45,数据区!V45)</f>
      </c>
      <c r="H96" s="92">
        <f>IF(数据区!J$11=0,数据区!U45,数据区!W45)</f>
      </c>
    </row>
    <row r="97" spans="1:8" customHeight="1" ht="81">
      <c r="A97" s="91">
        <v>15</v>
      </c>
      <c r="B97" s="79" t="s">
        <v>108</v>
      </c>
      <c r="C97" s="79" t="s">
        <v>112</v>
      </c>
      <c r="D97" s="86" t="s">
        <v>221</v>
      </c>
      <c r="E97" s="79" t="s">
        <v>42</v>
      </c>
      <c r="F97" s="81">
        <f>数据区!S46</f>
      </c>
      <c r="G97" s="13">
        <f>IF(数据区!J$11=0,数据区!T46,数据区!V46)</f>
      </c>
      <c r="H97" s="92">
        <f>IF(数据区!J$11=0,数据区!U46,数据区!W46)</f>
      </c>
    </row>
    <row r="98" spans="1:8" customHeight="1" ht="34.5">
      <c r="A98" s="91"/>
      <c r="B98" s="79"/>
      <c r="C98" s="79"/>
      <c r="D98" s="86"/>
      <c r="E98" s="79"/>
      <c r="F98" s="81"/>
      <c r="G98" s="13"/>
      <c r="H98" s="92"/>
    </row>
    <row r="99" spans="1:8" customHeight="1" ht="34.5">
      <c r="A99" s="91"/>
      <c r="B99" s="79"/>
      <c r="C99" s="79"/>
      <c r="D99" s="86"/>
      <c r="E99" s="79"/>
      <c r="F99" s="81"/>
      <c r="G99" s="13"/>
      <c r="H99" s="92"/>
    </row>
    <row r="100" spans="1:8" customHeight="1" ht="34.5">
      <c r="A100" s="91"/>
      <c r="B100" s="79"/>
      <c r="C100" s="79"/>
      <c r="D100" s="86"/>
      <c r="E100" s="79"/>
      <c r="F100" s="81"/>
      <c r="G100" s="13"/>
      <c r="H100" s="92"/>
    </row>
    <row r="101" spans="1:8" customHeight="1" ht="34.5">
      <c r="A101" s="91"/>
      <c r="B101" s="79"/>
      <c r="C101" s="79"/>
      <c r="D101" s="86"/>
      <c r="E101" s="79"/>
      <c r="F101" s="81"/>
      <c r="G101" s="13"/>
      <c r="H101" s="92"/>
    </row>
    <row r="102" spans="1:8" customHeight="1" ht="34.5">
      <c r="A102" s="91"/>
      <c r="B102" s="79"/>
      <c r="C102" s="79"/>
      <c r="D102" s="86"/>
      <c r="E102" s="79"/>
      <c r="F102" s="81"/>
      <c r="G102" s="13"/>
      <c r="H102" s="92"/>
    </row>
    <row r="103" spans="1:8" customHeight="1" ht="34.5">
      <c r="A103" s="91"/>
      <c r="B103" s="79"/>
      <c r="C103" s="79"/>
      <c r="D103" s="86"/>
      <c r="E103" s="79"/>
      <c r="F103" s="81"/>
      <c r="G103" s="13"/>
      <c r="H103" s="92"/>
    </row>
    <row r="104" spans="1:8" customHeight="1" ht="34.5">
      <c r="A104" s="91"/>
      <c r="B104" s="79"/>
      <c r="C104" s="79"/>
      <c r="D104" s="86"/>
      <c r="E104" s="79"/>
      <c r="F104" s="81"/>
      <c r="G104" s="13"/>
      <c r="H104" s="92"/>
    </row>
    <row r="105" spans="1:8" customHeight="1" ht="34.5">
      <c r="A105" s="91"/>
      <c r="B105" s="79"/>
      <c r="C105" s="79"/>
      <c r="D105" s="86"/>
      <c r="E105" s="79"/>
      <c r="F105" s="81"/>
      <c r="G105" s="13"/>
      <c r="H105" s="92"/>
    </row>
    <row r="106" spans="1:8" customHeight="1" ht="34.5">
      <c r="A106" s="91"/>
      <c r="B106" s="79"/>
      <c r="C106" s="79"/>
      <c r="D106" s="86"/>
      <c r="E106" s="79"/>
      <c r="F106" s="81"/>
      <c r="G106" s="13"/>
      <c r="H106" s="92"/>
    </row>
    <row r="107" spans="1:8" customHeight="1" ht="34.5">
      <c r="A107" s="91"/>
      <c r="B107" s="79"/>
      <c r="C107" s="79"/>
      <c r="D107" s="86"/>
      <c r="E107" s="79"/>
      <c r="F107" s="81"/>
      <c r="G107" s="13"/>
      <c r="H107" s="92"/>
    </row>
    <row r="108" spans="1:8" customHeight="1" ht="34.5">
      <c r="A108" s="91"/>
      <c r="B108" s="79"/>
      <c r="C108" s="79"/>
      <c r="D108" s="86"/>
      <c r="E108" s="79"/>
      <c r="F108" s="81"/>
      <c r="G108" s="13"/>
      <c r="H108" s="92"/>
    </row>
    <row r="109" spans="1:8" customHeight="1" ht="34.5">
      <c r="A109" s="91"/>
      <c r="B109" s="79"/>
      <c r="C109" s="79"/>
      <c r="D109" s="86"/>
      <c r="E109" s="79"/>
      <c r="F109" s="81"/>
      <c r="G109" s="13"/>
      <c r="H109" s="92"/>
    </row>
    <row r="110" spans="1:8" customHeight="1" ht="34.5">
      <c r="A110" s="91"/>
      <c r="B110" s="79"/>
      <c r="C110" s="79"/>
      <c r="D110" s="86"/>
      <c r="E110" s="79"/>
      <c r="F110" s="81"/>
      <c r="G110" s="13"/>
      <c r="H110" s="92"/>
    </row>
    <row r="111" spans="1:8" customHeight="1" ht="35.15">
      <c r="A111" s="162" t="s">
        <v>203</v>
      </c>
      <c r="B111" s="163"/>
      <c r="C111" s="163"/>
      <c r="D111" s="163"/>
      <c r="E111" s="163"/>
      <c r="F111" s="163"/>
      <c r="G111" s="163"/>
      <c r="H111" s="93">
        <f>SUM(H95:H97)</f>
      </c>
    </row>
    <row r="112" spans="1:8" customHeight="1" ht="44.15">
      <c r="A112" s="167" t="s">
        <v>194</v>
      </c>
      <c r="B112" s="167"/>
      <c r="C112" s="167"/>
      <c r="D112" s="167"/>
      <c r="E112" s="167"/>
      <c r="F112" s="167"/>
      <c r="G112" s="167"/>
      <c r="H112" s="167"/>
    </row>
    <row r="113" spans="1:8" customHeight="1" ht="20.5">
      <c r="A113" s="168" t="s">
        <v>222</v>
      </c>
      <c r="B113" s="168"/>
      <c r="C113" s="168"/>
      <c r="D113" s="168"/>
      <c r="E113" s="168"/>
      <c r="F113" s="87"/>
      <c r="G113" s="87" t="s">
        <v>179</v>
      </c>
      <c r="H113" s="87" t="s">
        <v>180</v>
      </c>
    </row>
    <row r="114" spans="1:8" customHeight="1" ht="20.5">
      <c r="A114" s="88" t="s">
        <v>144</v>
      </c>
      <c r="B114" s="89" t="s">
        <v>181</v>
      </c>
      <c r="C114" s="89" t="s">
        <v>26</v>
      </c>
      <c r="D114" s="89" t="s">
        <v>197</v>
      </c>
      <c r="E114" s="89" t="s">
        <v>27</v>
      </c>
      <c r="F114" s="89" t="s">
        <v>28</v>
      </c>
      <c r="G114" s="89" t="s">
        <v>198</v>
      </c>
      <c r="H114" s="90" t="s">
        <v>199</v>
      </c>
    </row>
    <row r="115" spans="1:8" customHeight="1" ht="88">
      <c r="A115" s="91">
        <v>1</v>
      </c>
      <c r="B115" s="79" t="s">
        <v>114</v>
      </c>
      <c r="C115" s="79"/>
      <c r="D115" s="86" t="s">
        <v>223</v>
      </c>
      <c r="E115" s="79" t="s">
        <v>71</v>
      </c>
      <c r="F115" s="82">
        <f>数据区!S49</f>
      </c>
      <c r="G115" s="13">
        <f>IF(数据区!J$11=0,数据区!T49,数据区!V49)</f>
      </c>
      <c r="H115" s="92">
        <f>IF(数据区!J$11=0,数据区!U49,数据区!W49)</f>
      </c>
    </row>
    <row r="116" spans="1:8" customHeight="1" ht="88">
      <c r="A116" s="91">
        <v>2</v>
      </c>
      <c r="B116" s="79" t="s">
        <v>115</v>
      </c>
      <c r="C116" s="79"/>
      <c r="D116" s="86" t="s">
        <v>223</v>
      </c>
      <c r="E116" s="79" t="s">
        <v>71</v>
      </c>
      <c r="F116" s="82">
        <f>数据区!S50</f>
      </c>
      <c r="G116" s="13">
        <f>IF(数据区!J$11=0,数据区!T50,数据区!V50)</f>
      </c>
      <c r="H116" s="92">
        <f>IF(数据区!J$11=0,数据区!U50,数据区!W50)</f>
      </c>
    </row>
    <row r="117" spans="1:8" customHeight="1" ht="88">
      <c r="A117" s="91">
        <v>3</v>
      </c>
      <c r="B117" s="79" t="s">
        <v>116</v>
      </c>
      <c r="C117" s="79"/>
      <c r="D117" s="86" t="s">
        <v>223</v>
      </c>
      <c r="E117" s="79" t="s">
        <v>71</v>
      </c>
      <c r="F117" s="82">
        <f>数据区!S51</f>
      </c>
      <c r="G117" s="13">
        <f>IF(数据区!J$11=0,数据区!T51,数据区!V51)</f>
      </c>
      <c r="H117" s="92">
        <f>IF(数据区!J$11=0,数据区!U51,数据区!W51)</f>
      </c>
    </row>
    <row r="118" spans="1:8" customHeight="1" ht="88">
      <c r="A118" s="91">
        <v>4</v>
      </c>
      <c r="B118" s="79" t="s">
        <v>117</v>
      </c>
      <c r="C118" s="79"/>
      <c r="D118" s="86" t="s">
        <v>223</v>
      </c>
      <c r="E118" s="79" t="s">
        <v>71</v>
      </c>
      <c r="F118" s="82">
        <f>数据区!S52</f>
      </c>
      <c r="G118" s="13">
        <f>IF(数据区!J$11=0,数据区!T52,数据区!V52)</f>
      </c>
      <c r="H118" s="92">
        <f>IF(数据区!J$11=0,数据区!U52,数据区!W52)</f>
      </c>
    </row>
    <row r="119" spans="1:8" customHeight="1" ht="88">
      <c r="A119" s="91">
        <v>5</v>
      </c>
      <c r="B119" s="79" t="s">
        <v>108</v>
      </c>
      <c r="C119" s="79" t="s">
        <v>112</v>
      </c>
      <c r="D119" s="86" t="s">
        <v>216</v>
      </c>
      <c r="E119" s="79" t="s">
        <v>71</v>
      </c>
      <c r="F119" s="81">
        <f>数据区!S53</f>
      </c>
      <c r="G119" s="13">
        <f>IF(数据区!J$11=0,数据区!T53,数据区!V53)</f>
      </c>
      <c r="H119" s="92">
        <f>IF(数据区!J$11=0,数据区!U53,数据区!W53)</f>
      </c>
    </row>
    <row r="120" spans="1:8" customHeight="1" ht="88">
      <c r="A120" s="91">
        <v>6</v>
      </c>
      <c r="B120" s="79" t="s">
        <v>107</v>
      </c>
      <c r="C120" s="79" t="s">
        <v>118</v>
      </c>
      <c r="D120" s="86" t="s">
        <v>224</v>
      </c>
      <c r="E120" s="79" t="s">
        <v>71</v>
      </c>
      <c r="F120" s="81">
        <f>数据区!S54</f>
      </c>
      <c r="G120" s="13">
        <f>IF(数据区!J$11=0,数据区!T54,数据区!V54)</f>
      </c>
      <c r="H120" s="92">
        <f>IF(数据区!J$11=0,数据区!U54,数据区!W54)</f>
      </c>
    </row>
    <row r="121" spans="1:8" customHeight="1" ht="40.5">
      <c r="A121" s="91"/>
      <c r="B121" s="79"/>
      <c r="C121" s="79"/>
      <c r="D121" s="86"/>
      <c r="E121" s="79"/>
      <c r="F121" s="81"/>
      <c r="G121" s="13"/>
      <c r="H121" s="92"/>
    </row>
    <row r="122" spans="1:8" customHeight="1" ht="40.5">
      <c r="A122" s="91"/>
      <c r="B122" s="79"/>
      <c r="C122" s="79"/>
      <c r="D122" s="86"/>
      <c r="E122" s="79"/>
      <c r="F122" s="81"/>
      <c r="G122" s="13"/>
      <c r="H122" s="92"/>
    </row>
    <row r="123" spans="1:8" customHeight="1" ht="40.5">
      <c r="A123" s="91"/>
      <c r="B123" s="79"/>
      <c r="C123" s="79"/>
      <c r="D123" s="86"/>
      <c r="E123" s="79"/>
      <c r="F123" s="81"/>
      <c r="G123" s="13"/>
      <c r="H123" s="92"/>
    </row>
    <row r="124" spans="1:8" customHeight="1" ht="40.5">
      <c r="A124" s="91"/>
      <c r="B124" s="79"/>
      <c r="C124" s="79"/>
      <c r="D124" s="86"/>
      <c r="E124" s="79"/>
      <c r="F124" s="81"/>
      <c r="G124" s="13"/>
      <c r="H124" s="92"/>
    </row>
    <row r="125" spans="1:8" customHeight="1" ht="39.65">
      <c r="A125" s="162" t="s">
        <v>203</v>
      </c>
      <c r="B125" s="163"/>
      <c r="C125" s="163"/>
      <c r="D125" s="163"/>
      <c r="E125" s="163"/>
      <c r="F125" s="163"/>
      <c r="G125" s="163"/>
      <c r="H125" s="93">
        <f>IF(数据区!J$11=0,数据区!U55,数据区!W55)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1:G91"/>
    <mergeCell ref="A92:H92"/>
    <mergeCell ref="A93:E93"/>
    <mergeCell ref="A112:H112"/>
    <mergeCell ref="A113:E113"/>
    <mergeCell ref="A125:G125"/>
    <mergeCell ref="A67:G67"/>
    <mergeCell ref="A39:G39"/>
    <mergeCell ref="A111:G111"/>
    <mergeCell ref="A1:H1"/>
    <mergeCell ref="A2:E2"/>
    <mergeCell ref="A13:G13"/>
    <mergeCell ref="A14:H14"/>
    <mergeCell ref="A15:E15"/>
    <mergeCell ref="A40:H40"/>
    <mergeCell ref="A41:E41"/>
    <mergeCell ref="A68:H68"/>
    <mergeCell ref="A69:E69"/>
    <mergeCell ref="A79:G79"/>
    <mergeCell ref="A80:H80"/>
    <mergeCell ref="A81:E81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6" manualBreakCount="6">
    <brk id="13" man="1"/>
    <brk id="39" man="1"/>
    <brk id="67" man="1"/>
    <brk id="79" man="1"/>
    <brk id="91" man="1"/>
    <brk id="1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数据区</vt:lpstr>
      <vt:lpstr>封面</vt:lpstr>
      <vt:lpstr>报价函</vt:lpstr>
      <vt:lpstr>报价函附表</vt:lpstr>
      <vt:lpstr>预算书</vt:lpstr>
      <vt:lpstr>报价说明</vt:lpstr>
      <vt:lpstr>报价汇总表</vt:lpstr>
      <vt:lpstr>清单报价表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朱刚</dc:creator>
  <cp:lastModifiedBy>朱刚</cp:lastModifiedBy>
  <dcterms:created xsi:type="dcterms:W3CDTF">2019-04-23T12:13:34+08:00</dcterms:created>
  <dcterms:modified xsi:type="dcterms:W3CDTF">2019-06-11T09:25:49+08:00</dcterms:modified>
  <dc:title/>
  <dc:description/>
  <dc:subject/>
  <cp:keywords/>
  <cp:category/>
</cp:coreProperties>
</file>