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a80212fe97a76d/Documents/UC Berkeley/Analysis/Ignitions/Clone/electric-sector-wildfire/intermediate/Workbooks/"/>
    </mc:Choice>
  </mc:AlternateContent>
  <xr:revisionPtr revIDLastSave="457" documentId="8_{21BF2419-249D-49F2-A6E2-E1862F16C421}" xr6:coauthVersionLast="47" xr6:coauthVersionMax="47" xr10:uidLastSave="{3CAE630F-3E9C-4F76-976C-5696D320DAA2}"/>
  <bookViews>
    <workbookView xWindow="9960" yWindow="4425" windowWidth="20865" windowHeight="16815" xr2:uid="{83F29EFC-EF77-4FF3-840A-15C41C5E3E3A}"/>
  </bookViews>
  <sheets>
    <sheet name="Table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3" i="2"/>
  <c r="F33" i="2"/>
  <c r="E33" i="2"/>
  <c r="D33" i="2"/>
  <c r="C33" i="2"/>
  <c r="G28" i="2"/>
  <c r="F7" i="2" l="1"/>
  <c r="F8" i="2"/>
  <c r="F10" i="2" s="1"/>
  <c r="E7" i="2"/>
  <c r="E8" i="2" s="1"/>
  <c r="E10" i="2" s="1"/>
  <c r="D7" i="2"/>
  <c r="D8" i="2" s="1"/>
  <c r="D10" i="2" s="1"/>
  <c r="J18" i="2" s="1"/>
  <c r="C7" i="2"/>
  <c r="C8" i="2" s="1"/>
  <c r="F22" i="2"/>
  <c r="D22" i="2"/>
  <c r="C22" i="2"/>
  <c r="F20" i="2"/>
  <c r="F19" i="2"/>
  <c r="F18" i="2"/>
  <c r="F17" i="2"/>
  <c r="F16" i="2"/>
  <c r="D20" i="2"/>
  <c r="C20" i="2"/>
  <c r="D19" i="2"/>
  <c r="C19" i="2"/>
  <c r="D18" i="2"/>
  <c r="C18" i="2"/>
  <c r="D17" i="2"/>
  <c r="C17" i="2"/>
  <c r="D16" i="2"/>
  <c r="C16" i="2"/>
  <c r="F15" i="2"/>
  <c r="D15" i="2"/>
  <c r="C15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D32" i="2" l="1"/>
  <c r="J32" i="2" s="1"/>
  <c r="F21" i="2"/>
  <c r="J28" i="2"/>
  <c r="L26" i="2"/>
  <c r="K28" i="2"/>
  <c r="J31" i="2"/>
  <c r="I17" i="2"/>
  <c r="K27" i="2"/>
  <c r="K31" i="2"/>
  <c r="L27" i="2"/>
  <c r="L29" i="2"/>
  <c r="I28" i="2"/>
  <c r="I26" i="2"/>
  <c r="C32" i="2"/>
  <c r="I32" i="2" s="1"/>
  <c r="D21" i="2"/>
  <c r="J21" i="2" s="1"/>
  <c r="L28" i="2"/>
  <c r="G29" i="2"/>
  <c r="N29" i="2" s="1"/>
  <c r="L31" i="2"/>
  <c r="L17" i="2"/>
  <c r="I27" i="2"/>
  <c r="J27" i="2"/>
  <c r="I30" i="2"/>
  <c r="J30" i="2"/>
  <c r="L19" i="2"/>
  <c r="K30" i="2"/>
  <c r="I19" i="2"/>
  <c r="I29" i="2"/>
  <c r="L30" i="2"/>
  <c r="E32" i="2"/>
  <c r="K32" i="2" s="1"/>
  <c r="J29" i="2"/>
  <c r="I31" i="2"/>
  <c r="N28" i="2"/>
  <c r="K29" i="2"/>
  <c r="G20" i="2"/>
  <c r="N20" i="2" s="1"/>
  <c r="G16" i="2"/>
  <c r="N16" i="2" s="1"/>
  <c r="G26" i="2"/>
  <c r="F32" i="2"/>
  <c r="L32" i="2" s="1"/>
  <c r="J26" i="2"/>
  <c r="K26" i="2"/>
  <c r="G27" i="2"/>
  <c r="N27" i="2" s="1"/>
  <c r="G30" i="2"/>
  <c r="N30" i="2" s="1"/>
  <c r="G31" i="2"/>
  <c r="N31" i="2" s="1"/>
  <c r="G18" i="2"/>
  <c r="N18" i="2" s="1"/>
  <c r="C21" i="2"/>
  <c r="I21" i="2" s="1"/>
  <c r="J20" i="2"/>
  <c r="J19" i="2"/>
  <c r="G15" i="2"/>
  <c r="J17" i="2"/>
  <c r="L16" i="2"/>
  <c r="L18" i="2"/>
  <c r="L20" i="2"/>
  <c r="L15" i="2"/>
  <c r="L21" i="2"/>
  <c r="I16" i="2"/>
  <c r="I18" i="2"/>
  <c r="I20" i="2"/>
  <c r="J16" i="2"/>
  <c r="I15" i="2"/>
  <c r="J15" i="2"/>
  <c r="G17" i="2"/>
  <c r="N17" i="2" s="1"/>
  <c r="G19" i="2"/>
  <c r="N19" i="2" s="1"/>
  <c r="M17" i="2" l="1"/>
  <c r="M27" i="2"/>
  <c r="M28" i="2"/>
  <c r="M30" i="2"/>
  <c r="M29" i="2"/>
  <c r="N15" i="2"/>
  <c r="G21" i="2"/>
  <c r="N21" i="2" s="1"/>
  <c r="M26" i="2"/>
  <c r="M32" i="2"/>
  <c r="M31" i="2"/>
  <c r="N26" i="2"/>
  <c r="G32" i="2"/>
  <c r="N32" i="2" s="1"/>
  <c r="M20" i="2"/>
  <c r="M19" i="2"/>
  <c r="M18" i="2"/>
  <c r="M21" i="2"/>
  <c r="M15" i="2"/>
  <c r="M16" i="2"/>
</calcChain>
</file>

<file path=xl/sharedStrings.xml><?xml version="1.0" encoding="utf-8"?>
<sst xmlns="http://schemas.openxmlformats.org/spreadsheetml/2006/main" count="63" uniqueCount="32">
  <si>
    <t>year</t>
  </si>
  <si>
    <t>psps_customer_hours</t>
  </si>
  <si>
    <t>psps_customer_hours_res</t>
  </si>
  <si>
    <t>psps_customer_hours_ci</t>
  </si>
  <si>
    <t>psps_customer_hours_med</t>
  </si>
  <si>
    <t>psps_customer_hours_other</t>
  </si>
  <si>
    <t>epss.customer.hours</t>
  </si>
  <si>
    <t>epss.customer.hours.res</t>
  </si>
  <si>
    <t>epss.customer.hours.med</t>
  </si>
  <si>
    <t>epss.customer.hours.large.ci</t>
  </si>
  <si>
    <t>Year</t>
  </si>
  <si>
    <t>Total</t>
  </si>
  <si>
    <t>Residential</t>
  </si>
  <si>
    <t>Medical</t>
  </si>
  <si>
    <t>PSPS (Millions Customer-Hours)</t>
  </si>
  <si>
    <t>VOLL Assumptions</t>
  </si>
  <si>
    <t>Usage per Year</t>
  </si>
  <si>
    <t>kWh</t>
  </si>
  <si>
    <t>MWh</t>
  </si>
  <si>
    <t>Small C&amp;I</t>
  </si>
  <si>
    <t>Large C&amp;I</t>
  </si>
  <si>
    <t>$/kWh</t>
  </si>
  <si>
    <t>Cost per Cust-Hr</t>
  </si>
  <si>
    <t>Variables</t>
  </si>
  <si>
    <t>Units</t>
  </si>
  <si>
    <t>$</t>
  </si>
  <si>
    <t>Outage Costs ($ Millions)</t>
  </si>
  <si>
    <t>Total Assuming All Res.</t>
  </si>
  <si>
    <t>Fast-Trip (Millions Customer-Hours)</t>
  </si>
  <si>
    <t>Cost per Unserved kWh</t>
  </si>
  <si>
    <t>per Hour</t>
  </si>
  <si>
    <t>&lt;&lt;- get from PG&amp;E dynamic load profile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</si>
</sst>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0" xfId="0" applyBorder="1"/>
    <xf numFmtId="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6" fontId="0" fillId="0" borderId="0" xfId="0" applyNumberFormat="1"/>
    <xf numFmtId="0" fontId="18" fillId="0" borderId="0" xfId="0" applyFont="1" applyAlignment="1">
      <alignment horizontal="center"/>
    </xf>
    <xf numFmtId="6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 indent="1"/>
    </xf>
    <xf numFmtId="9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/>
    </xf>
    <xf numFmtId="2" fontId="0" fillId="0" borderId="0" xfId="0" applyNumberFormat="1"/>
    <xf numFmtId="44" fontId="0" fillId="0" borderId="0" xfId="43" applyFont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0" fontId="19" fillId="0" borderId="0" xfId="0" applyFont="1"/>
    <xf numFmtId="1" fontId="0" fillId="0" borderId="0" xfId="0" applyNumberFormat="1"/>
    <xf numFmtId="0" fontId="16" fillId="0" borderId="10" xfId="0" applyFont="1" applyBorder="1" applyAlignment="1">
      <alignment horizontal="center"/>
    </xf>
    <xf numFmtId="6" fontId="0" fillId="0" borderId="0" xfId="0" applyNumberFormat="1" applyFill="1"/>
    <xf numFmtId="6" fontId="18" fillId="0" borderId="0" xfId="0" applyNumberFormat="1" applyFont="1" applyFill="1" applyAlignment="1">
      <alignment horizontal="center"/>
    </xf>
    <xf numFmtId="6" fontId="0" fillId="0" borderId="10" xfId="0" applyNumberFormat="1" applyFill="1" applyBorder="1"/>
    <xf numFmtId="6" fontId="16" fillId="0" borderId="10" xfId="0" applyNumberFormat="1" applyFont="1" applyFill="1" applyBorder="1"/>
    <xf numFmtId="6" fontId="19" fillId="0" borderId="10" xfId="0" applyNumberFormat="1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0" fontId="16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6" fontId="18" fillId="0" borderId="10" xfId="0" applyNumberFormat="1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2A3E-2234-4A83-A2A9-3F8BC93D9DCB}">
  <dimension ref="A1:O65"/>
  <sheetViews>
    <sheetView tabSelected="1" topLeftCell="A3" workbookViewId="0">
      <selection activeCell="A4" sqref="A4"/>
    </sheetView>
  </sheetViews>
  <sheetFormatPr defaultRowHeight="15" x14ac:dyDescent="0.25"/>
  <cols>
    <col min="1" max="1" width="19.85546875" bestFit="1" customWidth="1"/>
    <col min="3" max="7" width="11.5703125" style="1" customWidth="1"/>
    <col min="8" max="8" width="3.7109375" customWidth="1"/>
    <col min="9" max="13" width="11.5703125" customWidth="1"/>
    <col min="14" max="14" width="25" bestFit="1" customWidth="1"/>
  </cols>
  <sheetData>
    <row r="1" spans="1:14" hidden="1" x14ac:dyDescent="0.25">
      <c r="C1" s="1" t="s">
        <v>2</v>
      </c>
      <c r="D1" s="1" t="s">
        <v>4</v>
      </c>
      <c r="E1" s="1" t="s">
        <v>3</v>
      </c>
      <c r="F1" s="1" t="s">
        <v>5</v>
      </c>
    </row>
    <row r="2" spans="1:14" hidden="1" x14ac:dyDescent="0.25">
      <c r="C2" t="s">
        <v>7</v>
      </c>
      <c r="D2" t="s">
        <v>8</v>
      </c>
      <c r="F2" t="s">
        <v>9</v>
      </c>
    </row>
    <row r="5" spans="1:14" x14ac:dyDescent="0.25">
      <c r="A5" s="4"/>
      <c r="B5" s="4"/>
      <c r="C5" s="24" t="s">
        <v>15</v>
      </c>
      <c r="D5" s="24"/>
      <c r="E5" s="24"/>
      <c r="F5" s="24"/>
      <c r="G5"/>
    </row>
    <row r="6" spans="1:14" x14ac:dyDescent="0.25">
      <c r="A6" t="s">
        <v>23</v>
      </c>
      <c r="B6" t="s">
        <v>24</v>
      </c>
      <c r="C6" s="11" t="s">
        <v>12</v>
      </c>
      <c r="D6" s="11" t="s">
        <v>13</v>
      </c>
      <c r="E6" s="11" t="s">
        <v>19</v>
      </c>
      <c r="F6" s="11" t="s">
        <v>20</v>
      </c>
      <c r="G6"/>
    </row>
    <row r="7" spans="1:14" x14ac:dyDescent="0.25">
      <c r="A7" t="s">
        <v>16</v>
      </c>
      <c r="B7" t="s">
        <v>18</v>
      </c>
      <c r="C7" s="2">
        <f>26656/1000/4</f>
        <v>6.6639999999999997</v>
      </c>
      <c r="D7" s="2">
        <f>C7</f>
        <v>6.6639999999999997</v>
      </c>
      <c r="E7" s="2">
        <f>66895/1000/4</f>
        <v>16.723749999999999</v>
      </c>
      <c r="F7" s="2">
        <f>812736/1000/4</f>
        <v>203.184</v>
      </c>
      <c r="G7" s="15" t="s">
        <v>31</v>
      </c>
    </row>
    <row r="8" spans="1:14" x14ac:dyDescent="0.25">
      <c r="A8" s="13" t="s">
        <v>30</v>
      </c>
      <c r="B8" t="s">
        <v>17</v>
      </c>
      <c r="C8" s="2">
        <f>C7*1000/8760</f>
        <v>0.76073059360730588</v>
      </c>
      <c r="D8" s="2">
        <f>D7*1000/8760</f>
        <v>0.76073059360730588</v>
      </c>
      <c r="E8" s="2">
        <f>E7*1000/8760</f>
        <v>1.9091038812785388</v>
      </c>
      <c r="F8" s="2">
        <f>F7*1000/8760</f>
        <v>23.194520547945206</v>
      </c>
    </row>
    <row r="9" spans="1:14" x14ac:dyDescent="0.25">
      <c r="A9" t="s">
        <v>29</v>
      </c>
      <c r="B9" t="s">
        <v>21</v>
      </c>
      <c r="C9" s="3">
        <v>3</v>
      </c>
      <c r="D9" s="3">
        <v>100</v>
      </c>
      <c r="E9" s="3">
        <v>25</v>
      </c>
      <c r="F9" s="3">
        <v>15</v>
      </c>
      <c r="G9" s="15"/>
    </row>
    <row r="10" spans="1:14" x14ac:dyDescent="0.25">
      <c r="A10" s="4" t="s">
        <v>22</v>
      </c>
      <c r="B10" s="4" t="s">
        <v>25</v>
      </c>
      <c r="C10" s="5">
        <f>C9*C8</f>
        <v>2.2821917808219174</v>
      </c>
      <c r="D10" s="5">
        <f>D9*D8</f>
        <v>76.073059360730582</v>
      </c>
      <c r="E10" s="5">
        <f>E9*E8</f>
        <v>47.727597031963469</v>
      </c>
      <c r="F10" s="5">
        <f>F9*F8</f>
        <v>347.91780821917808</v>
      </c>
    </row>
    <row r="13" spans="1:14" x14ac:dyDescent="0.25">
      <c r="B13" s="4"/>
      <c r="C13" s="24" t="s">
        <v>28</v>
      </c>
      <c r="D13" s="24"/>
      <c r="E13" s="24"/>
      <c r="F13" s="24"/>
      <c r="G13" s="24"/>
      <c r="I13" s="24" t="s">
        <v>26</v>
      </c>
      <c r="J13" s="24"/>
      <c r="K13" s="24"/>
      <c r="L13" s="24"/>
      <c r="M13" s="24"/>
      <c r="N13" s="4"/>
    </row>
    <row r="14" spans="1:14" x14ac:dyDescent="0.25">
      <c r="B14" s="1" t="s">
        <v>10</v>
      </c>
      <c r="C14" s="1" t="s">
        <v>12</v>
      </c>
      <c r="D14" s="1" t="s">
        <v>13</v>
      </c>
      <c r="E14" s="1" t="s">
        <v>19</v>
      </c>
      <c r="F14" s="1" t="s">
        <v>20</v>
      </c>
      <c r="G14" s="1" t="s">
        <v>11</v>
      </c>
      <c r="I14" s="1" t="s">
        <v>12</v>
      </c>
      <c r="J14" s="1" t="s">
        <v>13</v>
      </c>
      <c r="K14" s="1" t="s">
        <v>19</v>
      </c>
      <c r="L14" s="1" t="s">
        <v>20</v>
      </c>
      <c r="M14" s="1" t="s">
        <v>11</v>
      </c>
      <c r="N14" s="9" t="s">
        <v>27</v>
      </c>
    </row>
    <row r="15" spans="1:14" x14ac:dyDescent="0.25">
      <c r="B15" s="1">
        <v>2018</v>
      </c>
      <c r="C15" s="2">
        <f>INDEX(data!$1:$1048576,MATCH(Table!$B15,data!$A:$A,0),MATCH(Table!C$2,data!$1:$1,0))/1000000</f>
        <v>0</v>
      </c>
      <c r="D15" s="2">
        <f>INDEX(data!$1:$1048576,MATCH(Table!$B15,data!$A:$A,0),MATCH(Table!D$2,data!$1:$1,0))/1000000</f>
        <v>0</v>
      </c>
      <c r="E15" s="2"/>
      <c r="F15" s="2">
        <f>INDEX(data!$1:$1048576,MATCH(Table!$B15,data!$A:$A,0),MATCH(Table!F$2,data!$1:$1,0))/1000000</f>
        <v>0</v>
      </c>
      <c r="G15" s="2">
        <f t="shared" ref="G15:G20" si="0">SUM(C15:F15)</f>
        <v>0</v>
      </c>
      <c r="I15" s="8">
        <f t="shared" ref="I15:J21" si="1">C15*C$10</f>
        <v>0</v>
      </c>
      <c r="J15" s="8">
        <f t="shared" si="1"/>
        <v>0</v>
      </c>
      <c r="K15" s="8"/>
      <c r="L15" s="8">
        <f t="shared" ref="L15:L21" si="2">F15*F$10</f>
        <v>0</v>
      </c>
      <c r="M15" s="8">
        <f t="shared" ref="M15:M21" si="3">I15+J15+K15+L15</f>
        <v>0</v>
      </c>
      <c r="N15" s="10">
        <f t="shared" ref="N15:N21" si="4">G15*$C$10</f>
        <v>0</v>
      </c>
    </row>
    <row r="16" spans="1:14" x14ac:dyDescent="0.25">
      <c r="B16" s="1">
        <v>2019</v>
      </c>
      <c r="C16" s="2">
        <f>INDEX(data!$1:$1048576,MATCH(Table!$B16,data!$A:$A,0),MATCH(Table!C$2,data!$1:$1,0))/1000000</f>
        <v>0</v>
      </c>
      <c r="D16" s="2">
        <f>INDEX(data!$1:$1048576,MATCH(Table!$B16,data!$A:$A,0),MATCH(Table!D$2,data!$1:$1,0))/1000000</f>
        <v>0</v>
      </c>
      <c r="E16" s="2"/>
      <c r="F16" s="2">
        <f>INDEX(data!$1:$1048576,MATCH(Table!$B16,data!$A:$A,0),MATCH(Table!F$2,data!$1:$1,0))/1000000</f>
        <v>0</v>
      </c>
      <c r="G16" s="2">
        <f t="shared" si="0"/>
        <v>0</v>
      </c>
      <c r="I16" s="25">
        <f t="shared" si="1"/>
        <v>0</v>
      </c>
      <c r="J16" s="25">
        <f t="shared" si="1"/>
        <v>0</v>
      </c>
      <c r="K16" s="25"/>
      <c r="L16" s="25">
        <f t="shared" si="2"/>
        <v>0</v>
      </c>
      <c r="M16" s="25">
        <f t="shared" si="3"/>
        <v>0</v>
      </c>
      <c r="N16" s="26">
        <f t="shared" si="4"/>
        <v>0</v>
      </c>
    </row>
    <row r="17" spans="2:15" x14ac:dyDescent="0.25">
      <c r="B17" s="1">
        <v>2020</v>
      </c>
      <c r="C17" s="2">
        <f>INDEX(data!$1:$1048576,MATCH(Table!$B17,data!$A:$A,0),MATCH(Table!C$2,data!$1:$1,0))/1000000</f>
        <v>0</v>
      </c>
      <c r="D17" s="2">
        <f>INDEX(data!$1:$1048576,MATCH(Table!$B17,data!$A:$A,0),MATCH(Table!D$2,data!$1:$1,0))/1000000</f>
        <v>0</v>
      </c>
      <c r="E17" s="2"/>
      <c r="F17" s="2">
        <f>INDEX(data!$1:$1048576,MATCH(Table!$B17,data!$A:$A,0),MATCH(Table!F$2,data!$1:$1,0))/1000000</f>
        <v>0</v>
      </c>
      <c r="G17" s="2">
        <f t="shared" si="0"/>
        <v>0</v>
      </c>
      <c r="I17" s="25">
        <f t="shared" si="1"/>
        <v>0</v>
      </c>
      <c r="J17" s="25">
        <f t="shared" si="1"/>
        <v>0</v>
      </c>
      <c r="K17" s="25"/>
      <c r="L17" s="25">
        <f t="shared" si="2"/>
        <v>0</v>
      </c>
      <c r="M17" s="25">
        <f t="shared" si="3"/>
        <v>0</v>
      </c>
      <c r="N17" s="26">
        <f t="shared" si="4"/>
        <v>0</v>
      </c>
    </row>
    <row r="18" spans="2:15" x14ac:dyDescent="0.25">
      <c r="B18" s="1">
        <v>2021</v>
      </c>
      <c r="C18" s="2">
        <f>INDEX(data!$1:$1048576,MATCH(Table!$B18,data!$A:$A,0),MATCH(Table!C$2,data!$1:$1,0))/1000000</f>
        <v>4.2870540095892906</v>
      </c>
      <c r="D18" s="2">
        <f>INDEX(data!$1:$1048576,MATCH(Table!$B18,data!$A:$A,0),MATCH(Table!D$2,data!$1:$1,0))/1000000</f>
        <v>0.279253620282718</v>
      </c>
      <c r="E18" s="2"/>
      <c r="F18" s="2">
        <f>INDEX(data!$1:$1048576,MATCH(Table!$B18,data!$A:$A,0),MATCH(Table!F$2,data!$1:$1,0))/1000000</f>
        <v>8.0627070127988101E-2</v>
      </c>
      <c r="G18" s="2">
        <f t="shared" si="0"/>
        <v>4.6469346999999974</v>
      </c>
      <c r="I18" s="25">
        <f t="shared" si="1"/>
        <v>9.7838794246243239</v>
      </c>
      <c r="J18" s="25">
        <f>D18*D$10</f>
        <v>21.243677232466123</v>
      </c>
      <c r="K18" s="25"/>
      <c r="L18" s="25">
        <f t="shared" si="2"/>
        <v>28.051593522063587</v>
      </c>
      <c r="M18" s="25">
        <f t="shared" si="3"/>
        <v>59.079150179154034</v>
      </c>
      <c r="N18" s="26">
        <f t="shared" si="4"/>
        <v>10.605196178356156</v>
      </c>
    </row>
    <row r="19" spans="2:15" x14ac:dyDescent="0.25">
      <c r="B19" s="1">
        <v>2022</v>
      </c>
      <c r="C19" s="2">
        <f>INDEX(data!$1:$1048576,MATCH(Table!$B19,data!$A:$A,0),MATCH(Table!C$2,data!$1:$1,0))/1000000</f>
        <v>5.5073469683464893</v>
      </c>
      <c r="D19" s="2">
        <f>INDEX(data!$1:$1048576,MATCH(Table!$B19,data!$A:$A,0),MATCH(Table!D$2,data!$1:$1,0))/1000000</f>
        <v>0.38032628672032798</v>
      </c>
      <c r="E19" s="2"/>
      <c r="F19" s="2">
        <f>INDEX(data!$1:$1048576,MATCH(Table!$B19,data!$A:$A,0),MATCH(Table!F$2,data!$1:$1,0))/1000000</f>
        <v>0.10532217826651599</v>
      </c>
      <c r="G19" s="2">
        <f t="shared" si="0"/>
        <v>5.9929954333333333</v>
      </c>
      <c r="I19" s="25">
        <f t="shared" si="1"/>
        <v>12.568821985294862</v>
      </c>
      <c r="J19" s="25">
        <f t="shared" si="1"/>
        <v>28.932584186121751</v>
      </c>
      <c r="K19" s="25"/>
      <c r="L19" s="25">
        <f t="shared" si="2"/>
        <v>36.643461419355795</v>
      </c>
      <c r="M19" s="25">
        <f t="shared" si="3"/>
        <v>78.144867590772407</v>
      </c>
      <c r="N19" s="26">
        <f t="shared" si="4"/>
        <v>13.677164920456619</v>
      </c>
    </row>
    <row r="20" spans="2:15" x14ac:dyDescent="0.25">
      <c r="B20" s="1">
        <v>2023</v>
      </c>
      <c r="C20" s="2">
        <f>INDEX(data!$1:$1048576,MATCH(Table!$B20,data!$A:$A,0),MATCH(Table!C$2,data!$1:$1,0))/1000000</f>
        <v>5.6704613673204802</v>
      </c>
      <c r="D20" s="2">
        <f>INDEX(data!$1:$1048576,MATCH(Table!$B20,data!$A:$A,0),MATCH(Table!D$2,data!$1:$1,0))/1000000</f>
        <v>0.40537054210785101</v>
      </c>
      <c r="E20" s="2"/>
      <c r="F20" s="2">
        <f>INDEX(data!$1:$1048576,MATCH(Table!$B20,data!$A:$A,0),MATCH(Table!F$2,data!$1:$1,0))/1000000</f>
        <v>0.10639489057167399</v>
      </c>
      <c r="G20" s="2">
        <f t="shared" si="0"/>
        <v>6.1822268000000049</v>
      </c>
      <c r="I20" s="25">
        <f t="shared" si="1"/>
        <v>12.941080325967011</v>
      </c>
      <c r="J20" s="25">
        <f t="shared" si="1"/>
        <v>30.837777312862087</v>
      </c>
      <c r="K20" s="25"/>
      <c r="L20" s="25">
        <f t="shared" si="2"/>
        <v>37.01667713341611</v>
      </c>
      <c r="M20" s="25">
        <f t="shared" si="3"/>
        <v>80.795534772245205</v>
      </c>
      <c r="N20" s="26">
        <f t="shared" si="4"/>
        <v>14.109027190136995</v>
      </c>
    </row>
    <row r="21" spans="2:15" x14ac:dyDescent="0.25">
      <c r="B21" s="6" t="s">
        <v>11</v>
      </c>
      <c r="C21" s="7">
        <f>SUM(C15:C20)</f>
        <v>15.464862345256261</v>
      </c>
      <c r="D21" s="7">
        <f>SUM(D15:D20)</f>
        <v>1.064950449110897</v>
      </c>
      <c r="E21" s="7"/>
      <c r="F21" s="7">
        <f>SUM(F15:F20)</f>
        <v>0.29234413896617811</v>
      </c>
      <c r="G21" s="7">
        <f>SUM(G15:G20)</f>
        <v>16.822156933333336</v>
      </c>
      <c r="I21" s="27">
        <f t="shared" si="1"/>
        <v>35.293781735886199</v>
      </c>
      <c r="J21" s="27">
        <f t="shared" si="1"/>
        <v>81.014038731449958</v>
      </c>
      <c r="K21" s="27"/>
      <c r="L21" s="27">
        <f t="shared" si="2"/>
        <v>101.71173207483551</v>
      </c>
      <c r="M21" s="28">
        <f t="shared" si="3"/>
        <v>218.01955254217165</v>
      </c>
      <c r="N21" s="29">
        <f t="shared" si="4"/>
        <v>38.39138828894977</v>
      </c>
      <c r="O21" s="12"/>
    </row>
    <row r="22" spans="2:15" x14ac:dyDescent="0.25">
      <c r="C22" s="14">
        <f>C21/$G$21</f>
        <v>0.91931506801083418</v>
      </c>
      <c r="D22" s="14">
        <f>D21/$G$21</f>
        <v>6.330641506504335E-2</v>
      </c>
      <c r="F22" s="14">
        <f>F21/$G$21</f>
        <v>1.7378516924122504E-2</v>
      </c>
      <c r="I22" s="30"/>
      <c r="J22" s="30"/>
      <c r="K22" s="30"/>
      <c r="L22" s="30"/>
      <c r="M22" s="31"/>
      <c r="N22" s="30"/>
    </row>
    <row r="23" spans="2:15" x14ac:dyDescent="0.25">
      <c r="I23" s="30"/>
      <c r="J23" s="30"/>
      <c r="K23" s="30"/>
      <c r="L23" s="30"/>
      <c r="M23" s="30"/>
      <c r="N23" s="30"/>
    </row>
    <row r="24" spans="2:15" x14ac:dyDescent="0.25">
      <c r="B24" s="4"/>
      <c r="C24" s="24" t="s">
        <v>14</v>
      </c>
      <c r="D24" s="24"/>
      <c r="E24" s="24"/>
      <c r="F24" s="24"/>
      <c r="G24" s="24"/>
      <c r="I24" s="32" t="s">
        <v>26</v>
      </c>
      <c r="J24" s="32"/>
      <c r="K24" s="32"/>
      <c r="L24" s="32"/>
      <c r="M24" s="32"/>
      <c r="N24" s="33"/>
    </row>
    <row r="25" spans="2:15" x14ac:dyDescent="0.25">
      <c r="B25" s="1" t="s">
        <v>10</v>
      </c>
      <c r="C25" s="1" t="s">
        <v>12</v>
      </c>
      <c r="D25" s="1" t="s">
        <v>13</v>
      </c>
      <c r="E25" s="1" t="s">
        <v>19</v>
      </c>
      <c r="F25" s="1" t="s">
        <v>20</v>
      </c>
      <c r="G25" s="1" t="s">
        <v>11</v>
      </c>
      <c r="I25" s="34" t="s">
        <v>12</v>
      </c>
      <c r="J25" s="34" t="s">
        <v>13</v>
      </c>
      <c r="K25" s="34" t="s">
        <v>19</v>
      </c>
      <c r="L25" s="34" t="s">
        <v>20</v>
      </c>
      <c r="M25" s="34" t="s">
        <v>11</v>
      </c>
      <c r="N25" s="35" t="s">
        <v>27</v>
      </c>
    </row>
    <row r="26" spans="2:15" x14ac:dyDescent="0.25">
      <c r="B26" s="1">
        <v>2018</v>
      </c>
      <c r="C26" s="2">
        <f>INDEX(data!$1:$1048576,MATCH(Table!$B26,data!$A:$A,0),MATCH(Table!C$1,data!$1:$1,0))/1000000</f>
        <v>1.2778417333333298</v>
      </c>
      <c r="D26" s="2">
        <f>INDEX(data!$1:$1048576,MATCH(Table!$B26,data!$A:$A,0),MATCH(Table!D$1,data!$1:$1,0))/1000000</f>
        <v>6.3500033333333303E-2</v>
      </c>
      <c r="E26" s="2">
        <f>INDEX(data!$1:$1048576,MATCH(Table!$B26,data!$A:$A,0),MATCH(Table!E$1,data!$1:$1,0))/1000000</f>
        <v>0.14101856666666701</v>
      </c>
      <c r="F26" s="2">
        <f>INDEX(data!$1:$1048576,MATCH(Table!$B26,data!$A:$A,0),MATCH(Table!F$1,data!$1:$1,0))/1000000</f>
        <v>6.0763850000000001E-2</v>
      </c>
      <c r="G26" s="2">
        <f t="shared" ref="G26:G31" si="5">SUM(C26:F26)</f>
        <v>1.5431241833333302</v>
      </c>
      <c r="I26" s="25">
        <f t="shared" ref="I26:L32" si="6">C26*C$10</f>
        <v>2.9162799010045579</v>
      </c>
      <c r="J26" s="25">
        <f t="shared" si="6"/>
        <v>4.8306418051750351</v>
      </c>
      <c r="K26" s="25">
        <f t="shared" si="6"/>
        <v>6.7304773238917592</v>
      </c>
      <c r="L26" s="25">
        <f t="shared" si="6"/>
        <v>21.140825510958905</v>
      </c>
      <c r="M26" s="25">
        <f t="shared" ref="M26:M32" si="7">I26+J26+K26+L26</f>
        <v>35.618224541030258</v>
      </c>
      <c r="N26" s="26">
        <f t="shared" ref="N26:N32" si="8">G26*$C$10</f>
        <v>3.5217053279908601</v>
      </c>
    </row>
    <row r="27" spans="2:15" x14ac:dyDescent="0.25">
      <c r="B27" s="1">
        <v>2019</v>
      </c>
      <c r="C27" s="2">
        <f>INDEX(data!$1:$1048576,MATCH(Table!$B27,data!$A:$A,0),MATCH(Table!C$1,data!$1:$1,0))/1000000</f>
        <v>85.385181116666701</v>
      </c>
      <c r="D27" s="2">
        <f>INDEX(data!$1:$1048576,MATCH(Table!$B27,data!$A:$A,0),MATCH(Table!D$1,data!$1:$1,0))/1000000</f>
        <v>4.0412101833333303</v>
      </c>
      <c r="E27" s="2">
        <f>INDEX(data!$1:$1048576,MATCH(Table!$B27,data!$A:$A,0),MATCH(Table!E$1,data!$1:$1,0))/1000000</f>
        <v>10.385607016666698</v>
      </c>
      <c r="F27" s="2">
        <f>INDEX(data!$1:$1048576,MATCH(Table!$B27,data!$A:$A,0),MATCH(Table!F$1,data!$1:$1,0))/1000000</f>
        <v>1.41689905</v>
      </c>
      <c r="G27" s="2">
        <f t="shared" si="5"/>
        <v>101.22889736666673</v>
      </c>
      <c r="I27" s="25">
        <f t="shared" si="6"/>
        <v>194.86535854844755</v>
      </c>
      <c r="J27" s="25">
        <f t="shared" si="6"/>
        <v>307.42722216590533</v>
      </c>
      <c r="K27" s="25">
        <f t="shared" si="6"/>
        <v>495.68006662380049</v>
      </c>
      <c r="L27" s="25">
        <f t="shared" si="6"/>
        <v>492.96441194383561</v>
      </c>
      <c r="M27" s="25">
        <f t="shared" si="7"/>
        <v>1490.9370592819889</v>
      </c>
      <c r="N27" s="26">
        <f t="shared" si="8"/>
        <v>231.02375755187225</v>
      </c>
    </row>
    <row r="28" spans="2:15" x14ac:dyDescent="0.25">
      <c r="B28" s="1">
        <v>2020</v>
      </c>
      <c r="C28" s="2">
        <f>INDEX(data!$1:$1048576,MATCH(Table!$B28,data!$A:$A,0),MATCH(Table!C$1,data!$1:$1,0))/1000000</f>
        <v>21.9360535333333</v>
      </c>
      <c r="D28" s="2">
        <f>INDEX(data!$1:$1048576,MATCH(Table!$B28,data!$A:$A,0),MATCH(Table!D$1,data!$1:$1,0))/1000000</f>
        <v>1.5920124499999999</v>
      </c>
      <c r="E28" s="2">
        <f>INDEX(data!$1:$1048576,MATCH(Table!$B28,data!$A:$A,0),MATCH(Table!E$1,data!$1:$1,0))/1000000</f>
        <v>2.4986502499999999</v>
      </c>
      <c r="F28" s="2">
        <f>INDEX(data!$1:$1048576,MATCH(Table!$B28,data!$A:$A,0),MATCH(Table!F$1,data!$1:$1,0))/1000000</f>
        <v>0.28383750000000002</v>
      </c>
      <c r="G28" s="2">
        <f>SUM(C28:F28)</f>
        <v>26.3105537333333</v>
      </c>
      <c r="I28" s="25">
        <f t="shared" si="6"/>
        <v>50.06228107744284</v>
      </c>
      <c r="J28" s="25">
        <f t="shared" si="6"/>
        <v>121.10925761187212</v>
      </c>
      <c r="K28" s="25">
        <f t="shared" si="6"/>
        <v>119.25457225581478</v>
      </c>
      <c r="L28" s="25">
        <f t="shared" si="6"/>
        <v>98.752120890410964</v>
      </c>
      <c r="M28" s="25">
        <f t="shared" si="7"/>
        <v>389.17823183554071</v>
      </c>
      <c r="N28" s="26">
        <f t="shared" si="8"/>
        <v>60.045729479086674</v>
      </c>
    </row>
    <row r="29" spans="2:15" x14ac:dyDescent="0.25">
      <c r="B29" s="1">
        <v>2021</v>
      </c>
      <c r="C29" s="2">
        <f>INDEX(data!$1:$1048576,MATCH(Table!$B29,data!$A:$A,0),MATCH(Table!C$1,data!$1:$1,0))/1000000</f>
        <v>2.4631390666666699</v>
      </c>
      <c r="D29" s="2">
        <f>INDEX(data!$1:$1048576,MATCH(Table!$B29,data!$A:$A,0),MATCH(Table!D$1,data!$1:$1,0))/1000000</f>
        <v>0.21703520000000001</v>
      </c>
      <c r="E29" s="2">
        <f>INDEX(data!$1:$1048576,MATCH(Table!$B29,data!$A:$A,0),MATCH(Table!E$1,data!$1:$1,0))/1000000</f>
        <v>0.26453966666666695</v>
      </c>
      <c r="F29" s="2">
        <f>INDEX(data!$1:$1048576,MATCH(Table!$B29,data!$A:$A,0),MATCH(Table!F$1,data!$1:$1,0))/1000000</f>
        <v>6.2312833333333296E-2</v>
      </c>
      <c r="G29" s="2">
        <f t="shared" si="5"/>
        <v>3.0070267666666703</v>
      </c>
      <c r="I29" s="25">
        <f t="shared" si="6"/>
        <v>5.621355732968043</v>
      </c>
      <c r="J29" s="25">
        <f t="shared" si="6"/>
        <v>16.510531652968034</v>
      </c>
      <c r="K29" s="25">
        <f t="shared" si="6"/>
        <v>12.625842609636619</v>
      </c>
      <c r="L29" s="25">
        <f t="shared" si="6"/>
        <v>21.679744397260261</v>
      </c>
      <c r="M29" s="25">
        <f t="shared" si="7"/>
        <v>56.437474392832954</v>
      </c>
      <c r="N29" s="26">
        <f t="shared" si="8"/>
        <v>6.8626117715981811</v>
      </c>
    </row>
    <row r="30" spans="2:15" x14ac:dyDescent="0.25">
      <c r="B30" s="1">
        <v>2022</v>
      </c>
      <c r="C30" s="2">
        <f>INDEX(data!$1:$1048576,MATCH(Table!$B30,data!$A:$A,0),MATCH(Table!C$1,data!$1:$1,0))/1000000</f>
        <v>0</v>
      </c>
      <c r="D30" s="2">
        <f>INDEX(data!$1:$1048576,MATCH(Table!$B30,data!$A:$A,0),MATCH(Table!D$1,data!$1:$1,0))/1000000</f>
        <v>0</v>
      </c>
      <c r="E30" s="2">
        <f>INDEX(data!$1:$1048576,MATCH(Table!$B30,data!$A:$A,0),MATCH(Table!E$1,data!$1:$1,0))/1000000</f>
        <v>0</v>
      </c>
      <c r="F30" s="2">
        <f>INDEX(data!$1:$1048576,MATCH(Table!$B30,data!$A:$A,0),MATCH(Table!F$1,data!$1:$1,0))/1000000</f>
        <v>0</v>
      </c>
      <c r="G30" s="2">
        <f t="shared" si="5"/>
        <v>0</v>
      </c>
      <c r="I30" s="25">
        <f t="shared" si="6"/>
        <v>0</v>
      </c>
      <c r="J30" s="25">
        <f t="shared" si="6"/>
        <v>0</v>
      </c>
      <c r="K30" s="25">
        <f t="shared" si="6"/>
        <v>0</v>
      </c>
      <c r="L30" s="25">
        <f t="shared" si="6"/>
        <v>0</v>
      </c>
      <c r="M30" s="25">
        <f t="shared" si="7"/>
        <v>0</v>
      </c>
      <c r="N30" s="26">
        <f t="shared" si="8"/>
        <v>0</v>
      </c>
    </row>
    <row r="31" spans="2:15" x14ac:dyDescent="0.25">
      <c r="B31" s="1">
        <v>2023</v>
      </c>
      <c r="C31" s="2">
        <f>INDEX(data!$1:$1048576,MATCH(Table!$B31,data!$A:$A,0),MATCH(Table!C$1,data!$1:$1,0))/1000000</f>
        <v>9.5565133333333302E-2</v>
      </c>
      <c r="D31" s="2">
        <f>INDEX(data!$1:$1048576,MATCH(Table!$B31,data!$A:$A,0),MATCH(Table!D$1,data!$1:$1,0))/1000000</f>
        <v>9.4376666666666689E-3</v>
      </c>
      <c r="E31" s="2">
        <f>INDEX(data!$1:$1048576,MATCH(Table!$B31,data!$A:$A,0),MATCH(Table!E$1,data!$1:$1,0))/1000000</f>
        <v>1.2881366666666699E-2</v>
      </c>
      <c r="F31" s="2">
        <f>INDEX(data!$1:$1048576,MATCH(Table!$B31,data!$A:$A,0),MATCH(Table!F$1,data!$1:$1,0))/1000000</f>
        <v>1.9728833333333301E-3</v>
      </c>
      <c r="G31" s="2">
        <f t="shared" si="5"/>
        <v>0.11985704999999999</v>
      </c>
      <c r="I31" s="25">
        <f t="shared" si="6"/>
        <v>0.21809796182648392</v>
      </c>
      <c r="J31" s="25">
        <f t="shared" si="6"/>
        <v>0.71795217656012178</v>
      </c>
      <c r="K31" s="25">
        <f t="shared" si="6"/>
        <v>0.61479667748763478</v>
      </c>
      <c r="L31" s="25">
        <f t="shared" si="6"/>
        <v>0.68640124520547829</v>
      </c>
      <c r="M31" s="25">
        <f t="shared" si="7"/>
        <v>2.2372480610797187</v>
      </c>
      <c r="N31" s="26">
        <f t="shared" si="8"/>
        <v>0.27353677438356155</v>
      </c>
    </row>
    <row r="32" spans="2:15" x14ac:dyDescent="0.25">
      <c r="B32" s="6" t="s">
        <v>11</v>
      </c>
      <c r="C32" s="7">
        <f>SUM(C26:C31)</f>
        <v>111.15778058333335</v>
      </c>
      <c r="D32" s="7">
        <f>SUM(D26:D31)</f>
        <v>5.9231955333333293</v>
      </c>
      <c r="E32" s="7">
        <f>SUM(E26:E31)</f>
        <v>13.302696866666698</v>
      </c>
      <c r="F32" s="7">
        <f>SUM(F26:F31)</f>
        <v>1.8257861166666667</v>
      </c>
      <c r="G32" s="7">
        <f>SUM(G26:G31)</f>
        <v>132.20945910000006</v>
      </c>
      <c r="I32" s="27">
        <f t="shared" si="6"/>
        <v>253.68337322168949</v>
      </c>
      <c r="J32" s="27">
        <f t="shared" si="6"/>
        <v>450.59560541248061</v>
      </c>
      <c r="K32" s="27">
        <f t="shared" si="6"/>
        <v>634.90575549063124</v>
      </c>
      <c r="L32" s="27">
        <f t="shared" si="6"/>
        <v>635.22350398767128</v>
      </c>
      <c r="M32" s="27">
        <f t="shared" si="7"/>
        <v>1974.4082381124726</v>
      </c>
      <c r="N32" s="36">
        <f t="shared" si="8"/>
        <v>301.72734090493162</v>
      </c>
      <c r="O32" s="12"/>
    </row>
    <row r="33" spans="3:14" x14ac:dyDescent="0.25">
      <c r="C33" s="14">
        <f>C32/$G$32</f>
        <v>0.84077025456443533</v>
      </c>
      <c r="D33" s="14">
        <f>D32/$G$32</f>
        <v>4.4801601743587549E-2</v>
      </c>
      <c r="E33" s="14">
        <f>E32/$G$32</f>
        <v>0.10061834423363655</v>
      </c>
      <c r="F33" s="14">
        <f>F32/$G$32</f>
        <v>1.3809799458340466E-2</v>
      </c>
      <c r="G33" s="14">
        <f>G32/$G$32</f>
        <v>1</v>
      </c>
      <c r="I33" s="30"/>
      <c r="J33" s="30"/>
      <c r="K33" s="30"/>
      <c r="L33" s="30"/>
      <c r="M33" s="31"/>
      <c r="N33" s="30"/>
    </row>
    <row r="34" spans="3:14" x14ac:dyDescent="0.25">
      <c r="I34" s="30"/>
      <c r="J34" s="30"/>
      <c r="K34" s="30"/>
      <c r="L34" s="30"/>
      <c r="M34" s="30"/>
      <c r="N34" s="30"/>
    </row>
    <row r="35" spans="3:14" x14ac:dyDescent="0.25">
      <c r="C35" s="2">
        <f>C21+C32</f>
        <v>126.62264292858961</v>
      </c>
      <c r="D35" s="2">
        <f>D21+D32</f>
        <v>6.9881459824442267</v>
      </c>
      <c r="E35" s="2">
        <f>E21+E32</f>
        <v>13.302696866666698</v>
      </c>
      <c r="F35" s="2">
        <f>F21+F32</f>
        <v>2.118130255632845</v>
      </c>
      <c r="G35" s="2">
        <f>G21+G32</f>
        <v>149.03161603333339</v>
      </c>
      <c r="I35" s="30"/>
      <c r="J35" s="30"/>
      <c r="K35" s="30"/>
      <c r="L35" s="30"/>
      <c r="M35" s="30"/>
      <c r="N35" s="30"/>
    </row>
    <row r="36" spans="3:14" x14ac:dyDescent="0.25">
      <c r="C36" s="14">
        <f>C35/$G$35</f>
        <v>0.84963611278474194</v>
      </c>
      <c r="D36" s="14">
        <f>D35/$G$35</f>
        <v>4.6890359028793002E-2</v>
      </c>
      <c r="E36" s="14">
        <f>E35/$G$35</f>
        <v>8.9260904637116265E-2</v>
      </c>
      <c r="F36" s="14">
        <f>F35/$G$35</f>
        <v>1.4212623549348683E-2</v>
      </c>
      <c r="G36" s="14">
        <f>G35/$G$35</f>
        <v>1</v>
      </c>
      <c r="I36" s="30"/>
      <c r="J36" s="30"/>
      <c r="K36" s="30"/>
      <c r="L36" s="30"/>
      <c r="M36" s="30"/>
      <c r="N36" s="30"/>
    </row>
    <row r="37" spans="3:14" x14ac:dyDescent="0.25">
      <c r="C37" s="16">
        <f>C36*C10</f>
        <v>1.9390325532868218</v>
      </c>
      <c r="D37" s="16">
        <f>D36*D10</f>
        <v>3.5670930658433391</v>
      </c>
      <c r="E37" s="16">
        <f>E36*E10</f>
        <v>4.2602084872288044</v>
      </c>
      <c r="F37" s="16">
        <f>F36*F10</f>
        <v>4.9448248343336694</v>
      </c>
      <c r="G37" s="16">
        <f>SUM(C37:F37)</f>
        <v>14.711158940692634</v>
      </c>
      <c r="I37" s="30"/>
      <c r="J37" s="30"/>
      <c r="K37" s="30"/>
      <c r="L37" s="30"/>
      <c r="M37" s="30"/>
      <c r="N37" s="30"/>
    </row>
    <row r="43" spans="3:14" x14ac:dyDescent="0.25">
      <c r="C43" s="17"/>
      <c r="D43" s="15"/>
      <c r="I43" s="8"/>
    </row>
    <row r="44" spans="3:14" x14ac:dyDescent="0.25">
      <c r="C44" s="17"/>
      <c r="D44" s="15"/>
      <c r="I44" s="8"/>
    </row>
    <row r="45" spans="3:14" x14ac:dyDescent="0.25">
      <c r="C45" s="17"/>
      <c r="D45" s="15"/>
      <c r="I45" s="8"/>
    </row>
    <row r="46" spans="3:14" x14ac:dyDescent="0.25">
      <c r="C46" s="18"/>
      <c r="D46" s="15"/>
    </row>
    <row r="47" spans="3:14" x14ac:dyDescent="0.25">
      <c r="C47" s="19"/>
      <c r="D47" s="15"/>
    </row>
    <row r="48" spans="3:14" x14ac:dyDescent="0.25">
      <c r="D48" s="15"/>
    </row>
    <row r="49" spans="2:9" x14ac:dyDescent="0.25">
      <c r="D49" s="20"/>
    </row>
    <row r="50" spans="2:9" x14ac:dyDescent="0.25">
      <c r="D50" s="15"/>
    </row>
    <row r="51" spans="2:9" x14ac:dyDescent="0.25">
      <c r="C51" s="21"/>
    </row>
    <row r="63" spans="2:9" x14ac:dyDescent="0.25">
      <c r="I63" s="22"/>
    </row>
    <row r="64" spans="2:9" x14ac:dyDescent="0.25">
      <c r="B64" s="15"/>
      <c r="I64" s="23"/>
    </row>
    <row r="65" spans="9:9" x14ac:dyDescent="0.25">
      <c r="I65" s="23"/>
    </row>
  </sheetData>
  <mergeCells count="5">
    <mergeCell ref="C13:G13"/>
    <mergeCell ref="C5:F5"/>
    <mergeCell ref="I13:M13"/>
    <mergeCell ref="C24:G24"/>
    <mergeCell ref="I24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D0B-64FB-4FAA-B205-8D18F5C885A6}">
  <dimension ref="A1:J10"/>
  <sheetViews>
    <sheetView workbookViewId="0">
      <selection activeCell="H1" sqref="H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2018</v>
      </c>
      <c r="B5">
        <v>1479624.15</v>
      </c>
      <c r="C5">
        <v>1277841.7333333299</v>
      </c>
      <c r="D5">
        <v>141018.566666667</v>
      </c>
      <c r="E5">
        <v>63500.033333333296</v>
      </c>
      <c r="F5">
        <v>60763.85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2019</v>
      </c>
      <c r="B6">
        <v>97657732.799999997</v>
      </c>
      <c r="C6">
        <v>85385181.116666704</v>
      </c>
      <c r="D6">
        <v>10385607.016666699</v>
      </c>
      <c r="E6">
        <v>4041210.1833333299</v>
      </c>
      <c r="F6">
        <v>1416899.05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2020</v>
      </c>
      <c r="B7">
        <v>24718541.283333302</v>
      </c>
      <c r="C7">
        <v>21936053.533333302</v>
      </c>
      <c r="D7">
        <v>2498650.25</v>
      </c>
      <c r="E7">
        <v>1592012.45</v>
      </c>
      <c r="F7">
        <v>283837.5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2021</v>
      </c>
      <c r="B8">
        <v>2789991.5666666701</v>
      </c>
      <c r="C8">
        <v>2463139.0666666701</v>
      </c>
      <c r="D8">
        <v>264539.66666666698</v>
      </c>
      <c r="E8">
        <v>217035.2</v>
      </c>
      <c r="F8">
        <v>62312.833333333299</v>
      </c>
      <c r="G8">
        <v>4646934.7</v>
      </c>
      <c r="H8">
        <v>4287054.0095892902</v>
      </c>
      <c r="I8">
        <v>279253.62028271798</v>
      </c>
      <c r="J8">
        <v>80627.070127988103</v>
      </c>
    </row>
    <row r="9" spans="1:10" x14ac:dyDescent="0.25">
      <c r="A9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5992995.4333333299</v>
      </c>
      <c r="H9">
        <v>5507346.9683464896</v>
      </c>
      <c r="I9">
        <v>380326.28672032797</v>
      </c>
      <c r="J9">
        <v>105322.178266516</v>
      </c>
    </row>
    <row r="10" spans="1:10" x14ac:dyDescent="0.25">
      <c r="A10">
        <v>2023</v>
      </c>
      <c r="B10">
        <v>110419.383333333</v>
      </c>
      <c r="C10">
        <v>95565.133333333302</v>
      </c>
      <c r="D10">
        <v>12881.3666666667</v>
      </c>
      <c r="E10">
        <v>9437.6666666666697</v>
      </c>
      <c r="F10">
        <v>1972.88333333333</v>
      </c>
      <c r="G10">
        <v>6182226.7999999998</v>
      </c>
      <c r="H10">
        <v>5670461.3673204798</v>
      </c>
      <c r="I10">
        <v>405370.54210785101</v>
      </c>
      <c r="J10">
        <v>106394.890571674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Warner</cp:lastModifiedBy>
  <dcterms:created xsi:type="dcterms:W3CDTF">2024-08-30T18:06:25Z</dcterms:created>
  <dcterms:modified xsi:type="dcterms:W3CDTF">2025-04-10T17:19:31Z</dcterms:modified>
</cp:coreProperties>
</file>