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dos" sheetId="1" r:id="rId4"/>
    <sheet state="visible" name="Análise"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G1">
      <text>
        <t xml:space="preserve">Valor em Reais - Cotação em 06/09/2023: ₹1,00 = R$0,060
	-Vinícius Coelho Bemfica</t>
      </text>
    </comment>
  </commentList>
</comments>
</file>

<file path=xl/sharedStrings.xml><?xml version="1.0" encoding="utf-8"?>
<sst xmlns="http://schemas.openxmlformats.org/spreadsheetml/2006/main" count="7341" uniqueCount="5673">
  <si>
    <t>product_id</t>
  </si>
  <si>
    <t>product_name</t>
  </si>
  <si>
    <t>category</t>
  </si>
  <si>
    <t>actual_price</t>
  </si>
  <si>
    <t>product_price</t>
  </si>
  <si>
    <t>percent_discount</t>
  </si>
  <si>
    <t>actua_price_real</t>
  </si>
  <si>
    <t>rating</t>
  </si>
  <si>
    <t>rating_count</t>
  </si>
  <si>
    <t>about_product</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</si>
  <si>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</si>
  <si>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</si>
  <si>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</si>
  <si>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</si>
  <si>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</si>
  <si>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</si>
  <si>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</si>
  <si>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</si>
  <si>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 Made of special braided outer with rugged interior bindings, it is ultra-durable cable that won’t be affected by daily rough usage|Ideal Length – It has ideal length of 1.5 meters which is neither too short like your typical 1meter cable or too long like a 2meters cable|Supports maximum 3A fast charging and 480 Mbps data transfer speed|6 months manufacturer warranty from the date of purchase</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</si>
  <si>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</si>
  <si>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</si>
  <si>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</si>
  <si>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 Fast Charger&amp; Data Sync】-With built-in safety proctections and four-core copper wires promote maximum signal quality and strength and enhance charging &amp; data transfer speed with up to 480 mb/s transferring speed.|【 Compatibility】-Compatible with iPhone 13, 12,11, X, 8, 7, 6, 5, iPad Air, Pro, Mini &amp; iOS devices.|【 Sturdy &amp; Durable】-The jacket and enforced connector made of TPE and premium copper, are resistant to repeatedly bending and coiling.|【 Ultra High Quality】: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 Good After Sales Service】-Our friendly and reliable customer service will respond to you within 24 hours ! you can purchase with confidence,and every sale includes a 365-day worry-free Service to prove the importance we set on quality.</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</si>
  <si>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</si>
  <si>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</si>
  <si>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</si>
  <si>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</si>
  <si>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</si>
  <si>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</si>
  <si>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</si>
  <si>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</si>
  <si>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</si>
  <si>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</si>
  <si>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</si>
  <si>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</si>
  <si>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</si>
  <si>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</si>
  <si>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</si>
  <si>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</si>
  <si>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</si>
  <si>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</si>
  <si>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</si>
  <si>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</si>
  <si>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</si>
  <si>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</si>
  <si>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</si>
  <si>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</si>
  <si>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 Speedy wireless transmission at up to 150Mbps ideal for video streaming or internet calls|Mini Design —— Sleek miniature design so small that once plugged in, can be left in a Laptop’s USB port|Advanced Security —— Supports 64/128 WEP, WPA, PA2/WPA-PSK/WPA2-PSK(TKIP/AES)|Compatibility —— Windows 11/10/8.1/8/7/XP, Mac OS 10.15 and earlier, Linux|Easy Setup —— Connect in no time with easy setup utility in 14 languages|In an unlikely case of product quality related issue, we may ask you to reach out to brand’s customer service support and seek resolution. We will require brand proof of issue to process replacement request</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</si>
  <si>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</si>
  <si>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</si>
  <si>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</si>
  <si>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 It is compatible with all Micro USB enabled devices, be it an android smartphone, tablet, PC peripheral or any other micro USB compatible device|Unbreakable – Made of special braided outer with rugged interior bindings, it is ultra-durable cable that won’t be affected by daily rough usage|Ideal Length – It has ideal length of 1.5 meters which is neither too short like your typical 1meter cable or too long like a 2meters cable|Supports maximum 3A fast charging and 480 Mbps data transfer speed|6 Months manufacturer warranty from the date of purchase.</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</si>
  <si>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</si>
  <si>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</si>
  <si>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</si>
  <si>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</si>
  <si>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</si>
  <si>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</si>
  <si>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</si>
  <si>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</si>
  <si>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</si>
  <si>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</si>
  <si>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</si>
  <si>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</si>
  <si>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</si>
  <si>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</si>
  <si>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</si>
  <si>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</si>
  <si>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CHARGING]-It’s supports 20W PD quick charge protocol, charge up to 50% in around 30 minutes. It is ideal for charging your USB type c enabled devices at maximum speed|[USB-C to 8 Pin Cable]- It’s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</si>
  <si>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https://www.amazon.in/Portronics-Konnect-Delivery-Support-Braided/dp/B085DTN6R2/ref=sr_1_15?qid=1672909124&amp;s=electronics&amp;sr=1-15</t>
  </si>
  <si>
    <t>B09KLVMZ3B</t>
  </si>
  <si>
    <t>Portronics Konnect L 1.2M POR-1401 Fast Charging 3A 8 Pin USB Cable with Charge &amp; Sync Function (White)</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</si>
  <si>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</si>
  <si>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</si>
  <si>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</si>
  <si>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</si>
  <si>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</si>
  <si>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</si>
  <si>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</si>
  <si>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</si>
  <si>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</si>
  <si>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</si>
  <si>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</si>
  <si>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</si>
  <si>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 Made of special braided outer with rugged interior bindings, it is ultra-durable cable that won’t be affected by daily rough usage|Ideal Length – It has ideal length of 1.5 meters which is neither too short like your typical 1meter cable or too long like a 2meters cable|Supports maximum 3A fast charging and 480 Mbps data transfer speed|6 months manufacturer warranty from the date of purchase</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</si>
  <si>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</si>
  <si>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</si>
  <si>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</si>
  <si>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</si>
  <si>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</si>
  <si>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</si>
  <si>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</si>
  <si>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</si>
  <si>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</si>
  <si>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</si>
  <si>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</si>
  <si>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</si>
  <si>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</si>
  <si>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</si>
  <si>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</si>
  <si>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</si>
  <si>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</si>
  <si>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</si>
  <si>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</si>
  <si>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</si>
  <si>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</si>
  <si>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</si>
  <si>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</si>
  <si>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</si>
  <si>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</si>
  <si>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</si>
  <si>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</si>
  <si>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</si>
  <si>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</si>
  <si>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</si>
  <si>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</si>
  <si>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 Gold Plate HDMI Cable of Length: 5 Feet/ 1.8 Meters</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</si>
  <si>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</si>
  <si>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</si>
  <si>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</si>
  <si>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</si>
  <si>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</si>
  <si>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</si>
  <si>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</si>
  <si>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</si>
  <si>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</si>
  <si>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</si>
  <si>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</si>
  <si>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</si>
  <si>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</si>
  <si>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</si>
  <si>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</si>
  <si>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</si>
  <si>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</si>
  <si>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</si>
  <si>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</si>
  <si>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</si>
  <si>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</si>
  <si>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</si>
  <si>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</si>
  <si>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</si>
  <si>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</si>
  <si>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</si>
  <si>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</si>
  <si>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</si>
  <si>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</si>
  <si>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</si>
  <si>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</si>
  <si>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</si>
  <si>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</si>
  <si>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</si>
  <si>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</si>
  <si>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</si>
  <si>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</si>
  <si>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</si>
  <si>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</si>
  <si>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</si>
  <si>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</si>
  <si>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</si>
  <si>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</si>
  <si>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</si>
  <si>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</si>
  <si>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</si>
  <si>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</si>
  <si>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Don’t Hesitate to Contact Customer Service.</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</si>
  <si>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</si>
  <si>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</si>
  <si>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</si>
  <si>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</si>
  <si>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</si>
  <si>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</si>
  <si>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</si>
  <si>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</si>
  <si>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</si>
  <si>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</si>
  <si>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</si>
  <si>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</si>
  <si>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</si>
  <si>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</si>
  <si>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</si>
  <si>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</si>
  <si>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</si>
  <si>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</si>
  <si>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</si>
  <si>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</si>
  <si>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</si>
  <si>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</si>
  <si>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</si>
  <si>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 Up to 600Mbps speeds with 200Mbps on 2.4GHz and 433 Mbps on 5GHz, upgrades your devices to higher AC WiFi speeds|Dual Band Wireless —— 2.4GHz and 5GHz band for flexible connectivity, upgrades your devices to work with the latest dual-band WiFi router for faster speed and extended range|Nano design —— Small, unobtrusive design allows you to plug it in and forget it is even there|Operating System —— Supports Windows 11/10/8.1/8/7/XP, Mac OS 10.15 and earlier|Advanced Security —— Supports 64/128-bit WEP, WPA/WPA2, and WPA-PSK/WPA2-PSK encryption standards|Worry-free customer support —— For other installation related query, compatibility issue or any other queries call on toll free no</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</si>
  <si>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</si>
  <si>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</si>
  <si>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</si>
  <si>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</si>
  <si>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</si>
  <si>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</si>
  <si>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</si>
  <si>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</si>
  <si>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</si>
  <si>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</si>
  <si>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</si>
  <si>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</si>
  <si>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</si>
  <si>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</si>
  <si>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</si>
  <si>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</si>
  <si>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https://www.amazon.in/AmazonBasics-High-Speed-HDMI-Cable-Feet/dp/B014I8SSD0/ref=sr_1_51?qid=1672909126&amp;s=electronics&amp;sr=1-51</t>
  </si>
  <si>
    <t>B09L8DSSFH</t>
  </si>
  <si>
    <t>7SEVEN®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</si>
  <si>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</si>
  <si>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</si>
  <si>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</si>
  <si>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</si>
  <si>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</si>
  <si>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</si>
  <si>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</si>
  <si>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</si>
  <si>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</si>
  <si>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 256QAM support increases the 2.4 GHz data rate from 150 Mbps to 200 Mbps, 200 Mbps on the 2.4 GHz band and 433 Mbps on the 5 GHz band, ensure you fully enjoy fast AC Wi-Fi.|Dual Band Wireless —— 2.4 GHz and 5 GHz band provide flexible connectivity, giving your devices access to the latest dual-band Wi-Fi router for faster speed and extended range|High-Gain Antenna —— A 5dBi high-gain antenna greatly enhances the reception and transmission signal strength of the USB adapter|Supports the Latest Operating Systems —— Fully compatible with Windows 11/10/8.1/8/7/XP, Mac OS 10.15 and earlier|In an unlikely case of product quality related issue, we may ask you to reach out to brand’s customer service support and seek resolution. We will require brand proof of issue to process replacement request.</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</si>
  <si>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</si>
  <si>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</si>
  <si>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</si>
  <si>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</si>
  <si>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</si>
  <si>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</si>
  <si>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</si>
  <si>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</si>
  <si>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</si>
  <si>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</si>
  <si>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</si>
  <si>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</si>
  <si>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</si>
  <si>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</si>
  <si>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</si>
  <si>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</si>
  <si>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 Made of special braided outer with rugged interior bindings, it is ultra-durable cable that won’t be affected by daily rough usage|Ideal Length – It has ideal length of 1.5 meters which is neither too short like your typical 1meter cable or too long like a 2meters cable</t>
  </si>
  <si>
    <t>https://www.amazon.in/Ambrane-Unbreakable-Charging-RCT15-Supports/dp/B0BFWGBX61/ref=sr_1_59?qid=1672909126&amp;s=electronics&amp;sr=1-59</t>
  </si>
  <si>
    <t>B01N90RZ4M</t>
  </si>
  <si>
    <t>Tata Sky Universal Remote</t>
  </si>
  <si>
    <t>Universal remote control|Ensures long lastinga and consistent performance|Sturdy built</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</si>
  <si>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</si>
  <si>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</si>
  <si>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</si>
  <si>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 300Mbps wireless speed ideal for smooth HD video, voice streaming and online gaming|Design —— Mini-sized design for convenient portability with a reliable high performance|SoftAP Mode —— Turn a wired internet connection to a PC or Laptop into a Wi-Fi hotspot|·  WPS —— Easily setup a secure wireless connection with one-touch WPS button|Compatibility —— Supports Windows 11/10/8.1/8/7/XP, Mac OS 10.15 and earlier, Linux|Interface —— USB 2.0|In an unlikely case of product quality related issue, we may ask you to reach out to brand’s customer service support and seek resolution. We will require brand proof of issue to process replacement request.</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</si>
  <si>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</si>
  <si>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</si>
  <si>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</si>
  <si>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</si>
  <si>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</si>
  <si>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</si>
  <si>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</si>
  <si>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</si>
  <si>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</si>
  <si>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</si>
  <si>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</si>
  <si>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</si>
  <si>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</si>
  <si>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</si>
  <si>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</si>
  <si>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</si>
  <si>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</si>
  <si>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</si>
  <si>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</si>
  <si>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</si>
  <si>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</si>
  <si>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</si>
  <si>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</si>
  <si>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</si>
  <si>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</si>
  <si>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</si>
  <si>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</si>
  <si>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</si>
  <si>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</si>
  <si>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</si>
  <si>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</si>
  <si>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</si>
  <si>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</si>
  <si>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</si>
  <si>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</si>
  <si>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</si>
  <si>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</si>
  <si>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</si>
  <si>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</si>
  <si>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Isn’t it frustrating when we are in a hurry to charge our devices, and while pulling out the charger find it all entangled up? This is why we came up with this feature that will not only make charging hassle free but also ensure the cable’s longevity.|[FAST DATA SYNC] : Sync data from two devices with accuracy and ultra speed. The cable allows zero glitches and ensures distortion free exchange of data. You can use the cable to transfer large amounts of data continuously from one device to another!</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</si>
  <si>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</si>
  <si>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</si>
  <si>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</si>
  <si>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</si>
  <si>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</si>
  <si>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</si>
  <si>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</si>
  <si>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</si>
  <si>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</si>
  <si>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</si>
  <si>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</si>
  <si>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</si>
  <si>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</si>
  <si>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</si>
  <si>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</si>
  <si>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</si>
  <si>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🥇【Kindly NOTE before you purchase】:This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connection.|🥇【65W High Speed Charging】: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charger.|🥇【Compatible Devices】:This USB C to USB C cable compatible with Samsung S20, S21 Ultra, A71, laptop Macbook, Samsung S21 S22 S20 FE 2022 A71, A51, A33, M51, M31, M31s, M33, M53, Macbook Air, Macbook Pro, Macbook Air M1|🥇【Military grade material】:Strong military fiber, the most flexible, powerful and durable material, makes tensile force increased by 200%. Special Strain Relief design, can bear 10000+ bending test. Premium Aluminum housing makes the cable more durable|🥇Warranty: Oraimo offer 365days warranty .Oraimo develops cool and creative smart accessory for young people around the world, enableing them to explore more excitement.</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</si>
  <si>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</si>
  <si>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</si>
  <si>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</si>
  <si>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</si>
  <si>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</si>
  <si>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</si>
  <si>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</si>
  <si>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</si>
  <si>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</si>
  <si>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</si>
  <si>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</si>
  <si>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</si>
  <si>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</si>
  <si>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</si>
  <si>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</si>
  <si>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</si>
  <si>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</si>
  <si>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</si>
  <si>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</si>
  <si>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</si>
  <si>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</si>
  <si>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</si>
  <si>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</si>
  <si>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</si>
  <si>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</si>
  <si>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</si>
  <si>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</si>
  <si>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</si>
  <si>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</si>
  <si>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</si>
  <si>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</si>
  <si>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must.|😍【Durable Spring Protection】：The easy-to-break connection port is protected by spring, which is a flexible and durable cable.You can use it with confidence.|【 Ultra High Quality】: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 Good After Sales Service】-Our friendly and reliable customer service will respond to you within 24 hours ! you can purchase with confidence,and every sale includes a 365-day worry-free Service to prove the importance we set on quality.</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</si>
  <si>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</si>
  <si>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</si>
  <si>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</si>
  <si>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</si>
  <si>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</si>
  <si>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</si>
  <si>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</si>
  <si>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</si>
  <si>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</si>
  <si>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</si>
  <si>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</si>
  <si>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</si>
  <si>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</si>
  <si>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</si>
  <si>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</si>
  <si>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</si>
  <si>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</si>
  <si>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</si>
  <si>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</si>
  <si>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</si>
  <si>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</si>
  <si>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</si>
  <si>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</si>
  <si>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</si>
  <si>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</si>
  <si>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</si>
  <si>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</si>
  <si>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</si>
  <si>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</si>
  <si>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</si>
  <si>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</si>
  <si>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</si>
  <si>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</si>
  <si>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</si>
  <si>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</si>
  <si>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</si>
  <si>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</si>
  <si>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</si>
  <si>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</si>
  <si>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</si>
  <si>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</si>
  <si>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</si>
  <si>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</si>
  <si>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</si>
  <si>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</si>
  <si>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</si>
  <si>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</si>
  <si>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</si>
  <si>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</si>
  <si>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</si>
  <si>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</si>
  <si>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</si>
  <si>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</si>
  <si>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</si>
  <si>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</si>
  <si>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</si>
  <si>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</si>
  <si>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</si>
  <si>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</si>
  <si>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</si>
  <si>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</si>
  <si>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</si>
  <si>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</si>
  <si>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</si>
  <si>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</si>
  <si>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</si>
  <si>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</si>
  <si>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</si>
  <si>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</si>
  <si>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</si>
  <si>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</si>
  <si>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</si>
  <si>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</si>
  <si>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</si>
  <si>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</si>
  <si>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</si>
  <si>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</si>
  <si>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brand’s customer service support and seek resolution. We will require brand proof of issue to process replacement request.</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</si>
  <si>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</si>
  <si>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</si>
  <si>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</si>
  <si>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【Power Delivery Fast Charging】: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Adapter).|【New C94 Connector】: This cable uses the Newest MFI Certified C94 Chip which is specially designed for fast charging, whose color is different from the previous C48 connector end. Charging Speeds 2.5× Faster.|【Compatibility List】: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seconds.|【Ultra High Quality Assurance】: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</si>
  <si>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https://www.amazon.in/Wayona-charging-Nylon-Braided-iPhone/dp/B08CHKQ8D4/ref=sr_1_111?qid=1672909129&amp;s=electronics&amp;sr=1-111</t>
  </si>
  <si>
    <t>B09BW334ML</t>
  </si>
  <si>
    <t>Dealfreez Case Compatible with Fire TV Stick 3rd Gen 2021 Full Wrap Silicone Remote Cover Anti-Lost with Loop (D-Black)</t>
  </si>
  <si>
    <t>【Compatibility】: Specially Designed for Fire TV Stick All New Alexa Voice Remote Control (3rd Gen)(2021 Release). (REMOTE NOT INCLUDED)|【3 Meters Shockproof】: Durable Silicone Material can protect your remote from 3 meters high drop, effectively protects your remote from daily impact and unwanted dust and scratches.|【Perfect Fit】: The slim and form-fitted design of the case fully protects your Fire TV Remote with minimal bulk.|【Accessibility】: Revised with precision cut-outs to ensure full access to all ports, buttons, and features of your Fire TV Stick 3rd Gen 2021 All New Alexa Voice Remote.|【Remote Loop】: An included wrist strap is provided that helps prevent accidental drops or releases when using the remote with motion controls.</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</si>
  <si>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</si>
  <si>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</si>
  <si>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</si>
  <si>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</si>
  <si>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</si>
  <si>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</si>
  <si>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</si>
  <si>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</si>
  <si>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</si>
  <si>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</si>
  <si>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</si>
  <si>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</si>
  <si>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</si>
  <si>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</si>
  <si>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bank.|【Short and Convenient Design】: The light and space-saving 0.25M/0.83ft USB cable, it’s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</si>
  <si>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</si>
  <si>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</si>
  <si>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</si>
  <si>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【NOTE before purchase】: This is a USB C to USB C cable, which means it has the same USB C plug on both ends, please be aware that this is not a USB C to USB A cable. Besides, you may need a USB C wall charger to charge your device.|【65W High Speed Charging】: Output power up to 20V 3.25A, which is ensured by high-speed safe charging, and the USB 2.0 supports data transfer speed can reach 40~60MB/S (480Mbps). NOTE: This product DO NOT support video output and monitor connection.|【Compatibility List】: This USB C to USB C cable compatible with Samsung Galaxy S21 S21+ / S20 S20+ S20 Ultra Note10/Note 10 Plus,S20, S21 Ultra, iPad Air 2020 10.9‘’ (Gen 4), iPad Pro 12.9'' Gen3 (2018) , iPad Pro 11'' (2018), Nexus 6P/5X , Compatible with Macbook with the original charger (View Product Description for details)|【Military grade material】: Strong military fiber, the most flexible, powerful and durable material, makes tensile force increased by 200%. Special Strain Relief design, can bear 10000+ bending test. Premium Aluminum housing makes the cable more durable|【Quick/Fast Charging 】: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</si>
  <si>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</si>
  <si>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</si>
  <si>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</si>
  <si>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</si>
  <si>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</si>
  <si>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</si>
  <si>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</si>
  <si>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</si>
  <si>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</si>
  <si>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</si>
  <si>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</si>
  <si>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</si>
  <si>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</si>
  <si>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</si>
  <si>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</si>
  <si>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</si>
  <si>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</si>
  <si>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</si>
  <si>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</si>
  <si>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</si>
  <si>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</si>
  <si>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</si>
  <si>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</si>
  <si>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</si>
  <si>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</si>
  <si>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</si>
  <si>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</si>
  <si>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α5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</si>
  <si>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</si>
  <si>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</si>
  <si>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</si>
  <si>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</si>
  <si>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</si>
  <si>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</si>
  <si>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</si>
  <si>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【NOTE: REMOTE CONTROL NOT INCLUDED】|3 Meters Shockproof:Thicken layer silicone case protects against 3 meters highdrops accidental and adds grip to the remote. Adds more security for your LG AN-MR21GA Magic Remote remote from daily impact .|Protective Skin:Eco-friendly and durable silicone case material，effectively protects the skin of children, pregnant women and family members.|Full access to all buttons, ports and functions. Easy to install, just slide the LG AN-MR21GA / LG AN-MR21GC Remote into the case.</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</si>
  <si>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</si>
  <si>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</si>
  <si>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</si>
  <si>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</si>
  <si>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</si>
  <si>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</si>
  <si>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</si>
  <si>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</si>
  <si>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</si>
  <si>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</si>
  <si>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</si>
  <si>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</si>
  <si>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</si>
  <si>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</si>
  <si>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</si>
  <si>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</si>
  <si>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</si>
  <si>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</si>
  <si>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</si>
  <si>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</si>
  <si>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</si>
  <si>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</si>
  <si>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</si>
  <si>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</si>
  <si>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</si>
  <si>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</si>
  <si>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</si>
  <si>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</si>
  <si>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</si>
  <si>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</si>
  <si>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</si>
  <si>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</si>
  <si>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</si>
  <si>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</si>
  <si>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</si>
  <si>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</si>
  <si>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</si>
  <si>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</si>
  <si>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</si>
  <si>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</si>
  <si>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</si>
  <si>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</si>
  <si>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</si>
  <si>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</si>
  <si>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</si>
  <si>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</si>
  <si>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</si>
  <si>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</si>
  <si>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https://www.amazon.in/AmazonBasics-Speed-Female-Extension-Cable/dp/B01D5H8ZI8/ref=sr_1_141?qid=1672909130&amp;s=electronics&amp;sr=1-141</t>
  </si>
  <si>
    <t>B09X1M3DHX</t>
  </si>
  <si>
    <t>iFFALCON 80 cm (32 inches) HD Ready Smart LED TV 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</si>
  <si>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</si>
  <si>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https://www.amazon.in/iFFALCON-inches-Ready-Smart-TV-32F53/dp/B09X1M3DHX/ref=sr_1_142?qid=1672909130&amp;s=electronics&amp;sr=1-142</t>
  </si>
  <si>
    <t>B09MM6P76N</t>
  </si>
  <si>
    <t>7SEVEN®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</si>
  <si>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</si>
  <si>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</si>
  <si>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</si>
  <si>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</si>
  <si>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</si>
  <si>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</si>
  <si>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https://www.amazon.in/AmazonBasics-3-5mm-2-Male-Adapter-cable/dp/B01D5H8LDM/ref=sr_1_144?qid=1672909130&amp;s=electronics&amp;sr=1-144</t>
  </si>
  <si>
    <t>B0B1YY6JJL</t>
  </si>
  <si>
    <t>Acer 109 cm (43 inches) I Series 4K Ultra HD Android Smart LED TV AR43AR2851UDFL (Black)</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</si>
  <si>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</si>
  <si>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</si>
  <si>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</si>
  <si>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【NOTE before purchase】: This is a USB C to USB C cable, which means it has the same USB C plug on both ends, please be aware that this is not a USB C to USB A cable. Besides, you may need a USB C wall charger to charge your device.|【65W High Speed Charging】: Output power up to 20V 3.25A, which is ensured by high-speed safe charging, and the USB 2.0 supports data transfer speed can reach 40~60MB/S (480Mbps). NOTE: This product DO NOT support video output and monitor connection.|【Compatibility List】: This USB C to USB C 2M/6ft cable compatible with Samsung Galaxy S21 S21+ / S20 S20+ S20 Ultra Note10/Note 10 Plus,S20, S21 Ultra, iPad Air 2020 10.9‘’ (Gen 4), iPad Pro 12.9'' Gen3 (2018) , iPad Pro 11'' (2018), Nexus 6P/5X , Compatible with Macbook with the original charger (View Product Description for details)|【Military grade material】: Strong military fiber, the most flexible, powerful and durable material, makes tensile force increased by 200%. Special Strain Relief design, can bear 10000+ bending test. Premium Aluminum housing makes the cable more durable|【Quick/Fast Charging 】: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</si>
  <si>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</si>
  <si>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</si>
  <si>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</si>
  <si>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</si>
  <si>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</si>
  <si>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</si>
  <si>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</si>
  <si>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</si>
  <si>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</si>
  <si>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</si>
  <si>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</si>
  <si>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</si>
  <si>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</si>
  <si>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</si>
  <si>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</si>
  <si>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</si>
  <si>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α5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</si>
  <si>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</si>
  <si>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</si>
  <si>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</si>
  <si>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</si>
  <si>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</si>
  <si>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</si>
  <si>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</si>
  <si>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</si>
  <si>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</si>
  <si>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</si>
  <si>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</si>
  <si>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</si>
  <si>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</si>
  <si>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</si>
  <si>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</si>
  <si>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</si>
  <si>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</si>
  <si>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</si>
  <si>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</si>
  <si>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【NOTE before purchase】:This is a USB C to USB C cable, which means it has the same USB C connector on both ends, please be aware that this is not a USB C to USB A cable. So, you may need a USB C wall charger to charge your device.|【Fast Charging &amp; 480Mbps Data Transfer Speed】: Supports QC/PD fast charging, with 65W/30W/18W USB C Power Adapters to use. Data transfer speed is up to 480Mbps between two devices, which means transferring 100 songs within seconds.|【Durable Nylon Braiding】:The strong braided cable not only avoids the tangling but it also comes with Velcro strap so It can be wrapped up and put in a bag or pocket.|【65W / 3.25A Rapid Charging】 ：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device.|【List of Compatible Devices】:This USB C to USB C Cable can fast charge your Samsung Galaxy S20/S20+/S20 Ultra/S10/ S10+/S9/S9+/S8/S8+/Note 10/Note 10+/Note 9/Note 8/A50s/ A70/A80. and also Compatible with Type-c Port Laptops and Nintendo Switch with the original charger (View Product Description for details)</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</si>
  <si>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</si>
  <si>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</si>
  <si>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</si>
  <si>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 — AC1300 (867 Mbps on the 5 GHz band or 400 Mbps on the 2.4 GHz band) dual-band Wi-Fi to ensure all your devices run at full speed|MU-MIMO Technology — Improves the throughput and efficiency of the whole network with MU-MIMO technology|Dual-Band Wireless — The 2.4 GHz and 5 GHz bands provide flexible connectivity, giving your devices access to the latest dual-band Wi-Fi router for faster speed and extended range|High-Gain Antennas — Advanced external high-gain antennas greatly enhance the reception and transmission signal strength of the USB adapter|Supports the Latest Operating Systems — Fully compatible with Windows 11/10/8.1/8/7/XP and Mac OS 10.15 and earlier|In an unlikely case of product quality related issue, we may ask you to reach out to brand’s customer service support and seek resolution. We will require brand proof of issue to process replacement request.</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</si>
  <si>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</si>
  <si>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</si>
  <si>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</si>
  <si>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</si>
  <si>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</si>
  <si>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</si>
  <si>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</si>
  <si>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 Exceptional wireless speed up to 150Mbps brings best experience for video streaming or internet calls|Easy Set up —— Easy wireless security encryption at a push of the WPS button|Antenna —— 4dBi detachable Omni Directional antenna, remarkably strengthen signal power of the USB adapter|Compatibility —— Windows 11/10/8.1/8/7/XP, Mac OS 10.15 and earlier, Linux|Interface —— USB 2.0|In an unlikely case of product quality related issue, we may ask you to reach out to brand’s customer service support and seek resolution. We will require brand proof of issue to process replacement request.</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</si>
  <si>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</si>
  <si>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</si>
  <si>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</si>
  <si>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</si>
  <si>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</si>
  <si>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</si>
  <si>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</si>
  <si>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</si>
  <si>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https://www.amazon.in/OXYURA-Airtel-Digital-Recording-Compatible/dp/B00RFWNJMC/ref=sr_1_164?qid=1672909131&amp;s=electronics&amp;sr=1-164</t>
  </si>
  <si>
    <t>B082T6GXS5</t>
  </si>
  <si>
    <t>AmazonBasics New Release Nylon USB-A to Lightning Cable Cord, MFi Certified Charger for Apple iPhone, iPad, Silver, 6-Ft</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</si>
  <si>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</si>
  <si>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</si>
  <si>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</si>
  <si>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</si>
  <si>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</si>
  <si>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</si>
  <si>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</si>
  <si>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</si>
  <si>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</si>
  <si>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</si>
  <si>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</si>
  <si>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</si>
  <si>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</si>
  <si>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</si>
  <si>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</si>
  <si>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</si>
  <si>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</si>
  <si>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</si>
  <si>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</si>
  <si>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</si>
  <si>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</si>
  <si>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</si>
  <si>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</si>
  <si>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</si>
  <si>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</si>
  <si>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</si>
  <si>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</si>
  <si>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</si>
  <si>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</si>
  <si>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</si>
  <si>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</si>
  <si>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</si>
  <si>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</si>
  <si>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https://www.amazon.in/GENERIC-Ultra-Mini-Bluetooth-Dongle-Adapter/dp/B0117H7GZ6/ref=sr_1_173_mod_primary_new?qid=1672909133&amp;s=electronics&amp;sbo=RZvfv%2F%2FHxDF%2BO5021pAnSA%3D%3D&amp;sr=1-173</t>
  </si>
  <si>
    <t>B09XJ1LM7R</t>
  </si>
  <si>
    <t>7SEVEN® Compatible for Tata Sky Remote Original Set Top 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</si>
  <si>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</si>
  <si>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</si>
  <si>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</si>
  <si>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</si>
  <si>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</si>
  <si>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</si>
  <si>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</si>
  <si>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</si>
  <si>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</si>
  <si>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</si>
  <si>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</si>
  <si>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</si>
  <si>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</si>
  <si>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</si>
  <si>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https://www.amazon.in/Zeb-HAA2021-HDMI-Meter-Cable/dp/B07VSG5SXZ/ref=sr_1_177?qid=1672909133&amp;s=electronics&amp;sr=1-177</t>
  </si>
  <si>
    <t>B08RWCZ6SY</t>
  </si>
  <si>
    <t>7SEVEN®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</si>
  <si>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</si>
  <si>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</si>
  <si>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</si>
  <si>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</si>
  <si>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doesn’t take up too much space behind your entertainment center or desk; simple to install|Includes quality fiber cable and external micro USB power supply</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</si>
  <si>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</si>
  <si>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</si>
  <si>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</si>
  <si>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free.|✅【Short and Convenient Design】: The light and space-saving 1ft USB Type C cable, it’s perfect for your power bank,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</si>
  <si>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</si>
  <si>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</si>
  <si>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</si>
  <si>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</si>
  <si>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</si>
  <si>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</si>
  <si>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</si>
  <si>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won’t be affected by daily rough usage.|Ideal Length - It has an ideal length of 1.5 meters which is super convenient to use.|Made in India - This product is made in India at the Ambrane’s manufacturing facility in Haryana.</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</si>
  <si>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</si>
  <si>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</si>
  <si>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</si>
  <si>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</si>
  <si>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</si>
  <si>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</si>
  <si>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</si>
  <si>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</si>
  <si>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</si>
  <si>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</si>
  <si>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</si>
  <si>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</si>
  <si>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</si>
  <si>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</si>
  <si>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</si>
  <si>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</si>
  <si>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</si>
  <si>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</si>
  <si>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</si>
  <si>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</si>
  <si>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</si>
  <si>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</si>
  <si>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</si>
  <si>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</si>
  <si>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</si>
  <si>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</si>
  <si>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</si>
  <si>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 Wi-Fi Speed —— AC1300 (400 Mpbs on 2.4GHz band and 867 Mbps on 5GHz band) wireless speed with the next generation Wi-Fi - 802.11ac|Dual Band Wireless —— 2.4GHz and 5GHz band for flexible connectivity|Mini design —— Mini-sized design for convenient portability with a reliable high performance|Super Speed USB 3.0 Port —— Up to 10x faster transfer speeds than USB 2.0|MU-MIMO —— Delivers highly efficient wireless connection|Supported Operating System —— Windows 11/10/8.1/8/7/XP, Mac OS 10.15 and earlier</t>
  </si>
  <si>
    <t>https://www.amazon.in/TP-Link-Archer-T3U-Wireless-MU-MIMO/dp/B07M69276N/ref=sr_1_190?qid=1672909133&amp;s=electronics&amp;sr=1-190</t>
  </si>
  <si>
    <t>B0B1YZ9CB8</t>
  </si>
  <si>
    <t>Acer 139 cm (55 inches) I Series 4K Ultra HD Android Smart LED TV AR55AR2851UDFL (Black)</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</si>
  <si>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</si>
  <si>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</si>
  <si>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</si>
  <si>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</si>
  <si>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</si>
  <si>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</si>
  <si>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</si>
  <si>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</si>
  <si>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</si>
  <si>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</si>
  <si>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</si>
  <si>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</si>
  <si>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</si>
  <si>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</si>
  <si>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</si>
  <si>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【Powerful compatibility】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drivers|【Ultra High Speed】The USB WiFi adapter is equipped with 802.11n WiFi technology for faster speed and dual band, reducing interference and avoiding unexpected connection breaks or signal loss. Maximum speed up to 600 Mbpsat 2.4GHz, ideal for movies, HD video streaming, online gaming and video chatting.|【Support any WiFi router and AP mode】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stronger.|【Mini WiFi Dongle Design】Super mini size, compact USB WiFi adapter for easy carrying. You can leave it in your TV box, laptop or PC and don't need to remove it.</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</si>
  <si>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</si>
  <si>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</si>
  <si>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</si>
  <si>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</si>
  <si>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</si>
  <si>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</si>
  <si>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</si>
  <si>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【High Charging Speed 65W】: Output power up to 20V 3.25A, which is ensured by high-speed and safe charging, and the USB 2.0 supports data transfer speed which can reach 40~60MB/S (480Mbps).|【Kindly NOTE before you purchase】:This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connection.|【High Quality Type C to C cable】: Its user-friendly design helps you to insert the connector in the right way all the time. This cable will be the right choice for a durable and cost-effective USB-C to USB-C cord/ Type C to Type C cord.|【3A Fast Charging 】：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56KΩ with smart chipsets which ensure the safety of your phone battery.</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</si>
  <si>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</si>
  <si>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</si>
  <si>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</si>
  <si>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</si>
  <si>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https://www.amazon.in/FLiX-Charging-480Mbps-Andriod-XCD-FPM01/dp/B0B3MQXNFB/ref=sr_1_198?qid=1672909134&amp;s=electronics&amp;sr=1-198</t>
  </si>
  <si>
    <t>B08XMSKKMM</t>
  </si>
  <si>
    <t>7SEVEN®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</si>
  <si>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</si>
  <si>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</si>
  <si>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</si>
  <si>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</si>
  <si>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</si>
  <si>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</si>
  <si>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</si>
  <si>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</si>
  <si>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</si>
  <si>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</si>
  <si>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</si>
  <si>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</si>
  <si>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</si>
  <si>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</si>
  <si>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</si>
  <si>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</si>
  <si>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</si>
  <si>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</si>
  <si>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</si>
  <si>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</si>
  <si>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</si>
  <si>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</si>
  <si>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</si>
  <si>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</si>
  <si>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</si>
  <si>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</si>
  <si>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</si>
  <si>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</si>
  <si>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</si>
  <si>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</si>
  <si>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</si>
  <si>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</si>
  <si>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【NOTE before purchase】: This is a USB-C to USB-C cable, which means it has the same USB C plug on both ends, please be aware that this is not a USB-C to USB-A cable. Besides, you may need a USB C wall charger to charge your device.|【65W High Speed Charging】: Output power up to 20V 3.25A, which is ensured by high-speed safe charging, and the USB 2.0 supports data transfer speed can reach 40~60MB/S (480Mbps). NOTE: This product DO NOT support video output and monitor connection.|【Compatibility List】: This USB C to USB C cable compatible with Samsung Galaxy S21 S21+ / S20 S20+ S20 Ultra Note10/Note 10 Plus,S20, S21 Ultra, iPad Air 2020 10.9‘’ (Gen 4), iPad Pro 12.9'' Gen3 (2018) , iPad Pro 11'' (2018), Nexus 6P/5X , Compatible with Macbook with the original charger (View Product Description for details)|【Military grade material】: Strong military fiber, the most flexible, powerful and durable material, makes tensile force increased by 200%. Special Strain Relief design, can bear 10000+ bending test. Premium Aluminum housing makes the cable more durable|【Quick/Fast Charging 】: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</si>
  <si>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</si>
  <si>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</si>
  <si>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</si>
  <si>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</si>
  <si>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</si>
  <si>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</si>
  <si>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</si>
  <si>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</si>
  <si>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</si>
  <si>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</si>
  <si>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</si>
  <si>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</si>
  <si>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</si>
  <si>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</si>
  <si>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</si>
  <si>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</si>
  <si>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https://www.amazon.in/AmazonBasics-Certified-Lightning-Charge-Meters/dp/B07DC4RZPY/ref=sr_1_211?qid=1672909134&amp;s=electronics&amp;sr=1-211</t>
  </si>
  <si>
    <t>B0B15GSPQW</t>
  </si>
  <si>
    <t>Samsung 138 cm (55 inches) Crystal 4K Neo Series Ultra HD Smart LED TV UA55AUE65AKXXL (Black)</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</si>
  <si>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</si>
  <si>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</si>
  <si>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</si>
  <si>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</si>
  <si>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</si>
  <si>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</si>
  <si>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</si>
  <si>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</si>
  <si>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</si>
  <si>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</si>
  <si>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</si>
  <si>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</si>
  <si>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</si>
  <si>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</si>
  <si>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</si>
  <si>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</si>
  <si>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https://www.amazon.in/FLiX-Beetel-Durable-Lightning-Charge/dp/B08P9RYPLR/ref=sr_1_216?qid=1672909134&amp;s=electronics&amp;sr=1-216</t>
  </si>
  <si>
    <t>B0B6F8HHR6</t>
  </si>
  <si>
    <t>MI 108 cm (43 inches) 5A Series Full HD Smart Android LED TV L43M7-EAIN (Black)</t>
  </si>
  <si>
    <t>https://www.amazon.in/MI-inches-Smart-Android-L43M7-EAIN/dp/B0B6F8HHR6/ref=sr_1_217?qid=1672909135&amp;s=electronics&amp;sr=1-217</t>
  </si>
  <si>
    <t>B084MZXJN6</t>
  </si>
  <si>
    <t>Belkin Apple Certified Lightning to USB Charge and Sync Cable for iPhone, iPad, Air Pods, 39.6 inch (100cm) – Black</t>
  </si>
  <si>
    <t>Usb-A To Lightning Cable</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</si>
  <si>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</si>
  <si>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</si>
  <si>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</si>
  <si>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</si>
  <si>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</si>
  <si>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</si>
  <si>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</si>
  <si>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</si>
  <si>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</si>
  <si>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</si>
  <si>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</si>
  <si>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</si>
  <si>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</si>
  <si>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</si>
  <si>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</si>
  <si>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</si>
  <si>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</si>
  <si>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</si>
  <si>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</si>
  <si>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</si>
  <si>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</si>
  <si>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</si>
  <si>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</si>
  <si>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</si>
  <si>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</si>
  <si>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</si>
  <si>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</si>
  <si>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</si>
  <si>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https://www.amazon.in/Amkette-Charging-Cable-iPhone-Touch/dp/B00RGLI0ZS/ref=sr_1_226?qid=1672909135&amp;s=electronics&amp;sr=1-226</t>
  </si>
  <si>
    <t>B09ZPJT8B2</t>
  </si>
  <si>
    <t>TCL 80 cm (32 inches) HD Ready Certified Android Smart LED TV 32S615 (Black)</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</si>
  <si>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</si>
  <si>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</si>
  <si>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</si>
  <si>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</si>
  <si>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https://www.amazon.in/POPIO-Charging-Cable-OnePlus-Devices/dp/B07HZ2QCGR/ref=sr_1_228?qid=1672909135&amp;s=electronics&amp;sr=1-228</t>
  </si>
  <si>
    <t>B095244Q22</t>
  </si>
  <si>
    <t>MYVN LTG to USB for 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</si>
  <si>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</si>
  <si>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</si>
  <si>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</si>
  <si>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</si>
  <si>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</si>
  <si>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</si>
  <si>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</si>
  <si>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</si>
  <si>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23.6ft.|✔️[Multiple Devices Connection &amp; Wide Application] Equipped with HDMI, USB, and AV interfaces, pixel projector works perfectly with smartphones, iPads, laptops, TV boxes, DVD players, PS4, USB flash disks etc. It can be applied to home theaters, video games, parties and outdoor activities. ✦✦When connect with phone, please purchase an extra HDMI adapter.|✔️[1 Year Warranty &amp; Technical Support] We offer quick reply within 24 hours, 1-year product warranty and a lifetime after-sales service. Wzatco India professional team offers you 100% satisfaction guarantee. Just feel free to try!</t>
  </si>
  <si>
    <t>https://www.amazon.in/WZATCO-Pixel-Portable-Projector-Compatible/dp/B0BLV1GNLN/ref=sr_1_231?qid=1672909135&amp;s=electronics&amp;sr=1-231</t>
  </si>
  <si>
    <t>B08RHPDNVV</t>
  </si>
  <si>
    <t>7SEVEN®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</si>
  <si>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It’s not Tatasky Products, is generic product.|5. Please Match the Image with Your Existing Remote Before Placing the Order</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</si>
  <si>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</si>
  <si>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</si>
  <si>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</si>
  <si>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</si>
  <si>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</si>
  <si>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</si>
  <si>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</si>
  <si>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</si>
  <si>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https://www.amazon.in/Amazon-Basics-Lightning-Certified-Charging/dp/B0B8SSZ76F/ref=sr_1_234?qid=1672909135&amp;s=electronics&amp;sr=1-234</t>
  </si>
  <si>
    <t>B0841KQR1Z</t>
  </si>
  <si>
    <t>Crypo™ Universal Remote Compatible with Tata Sky Universal HD &amp; SD Set top Box (Also Works with All TV)</t>
  </si>
  <si>
    <t>☛ Compatible With Tata Sky SD / HD / HD+ Plus / 4K DTH Set Top Box.|☛This is a Universal Tata Sky Remote - Also Works with All LED LCD TV (Pairing Required in some models)|☛ Please note: This is NOT a TataSky Recording Remote.|☛ For best performance, please insert new batteries before using (Batteries Not Included)|☛ This is an Imported Generic Product &amp; Not Original Remote By TataSky.</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</si>
  <si>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</si>
  <si>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</si>
  <si>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</si>
  <si>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</si>
  <si>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</si>
  <si>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</si>
  <si>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</si>
  <si>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</si>
  <si>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https://www.amazon.in/OnePlus-138-7-inches-Android-55U1S/dp/B095JQVC7N/ref=sr_1_237?qid=1672909135&amp;s=electronics&amp;sr=1-237</t>
  </si>
  <si>
    <t>B08PPHFXG3</t>
  </si>
  <si>
    <t>Posh 1.5 Meter High Speed Gold Plated HDMI Male to Female Extension Cable (Black)</t>
  </si>
  <si>
    <t>perfect|100 % compatible</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</si>
  <si>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</si>
  <si>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</si>
  <si>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</si>
  <si>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</si>
  <si>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</si>
  <si>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</si>
  <si>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</si>
  <si>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</si>
  <si>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</si>
  <si>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</si>
  <si>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</si>
  <si>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</si>
  <si>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</si>
  <si>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</si>
  <si>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</si>
  <si>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</si>
  <si>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</si>
  <si>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</si>
  <si>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</si>
  <si>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</si>
  <si>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You’re Premium Television And Monitor Screens. Maximum Weight Loading Capacity Of 10 Kg’s.|Easy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</si>
  <si>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</si>
  <si>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</si>
  <si>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</si>
  <si>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Isn’t it frustrating when we are in a hurry to charge our devices, and while pulling out the charger find it all entangled up? This is why we came up with this feature that will not only make charging hassle free but also ensure the cable’s longevity.|[FAST DATA SYNC] : Sync data from two devices with accuracy and ultra speed. The cable allows zero glitches and ensures distortion free exchange of data. You can use the cable to transfer large amounts of data continuously from one device to another!</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</si>
  <si>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</si>
  <si>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</si>
  <si>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</si>
  <si>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</si>
  <si>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</si>
  <si>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</si>
  <si>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</si>
  <si>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</si>
  <si>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</si>
  <si>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</si>
  <si>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</si>
  <si>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</si>
  <si>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</si>
  <si>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https://www.amazon.in/SoniVision-SA-D100-Theater-Compatible-RM-ANU156/dp/B08DCVRW98/ref=sr_1_247?qid=1672909136&amp;s=electronics&amp;sr=1-247</t>
  </si>
  <si>
    <t>B0718ZN31Q</t>
  </si>
  <si>
    <t>Rts™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</si>
  <si>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</si>
  <si>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</si>
  <si>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</si>
  <si>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</si>
  <si>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</si>
  <si>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</si>
  <si>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</si>
  <si>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</si>
  <si>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</si>
  <si>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</si>
  <si>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</si>
  <si>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</si>
  <si>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</si>
  <si>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</si>
  <si>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</si>
  <si>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</si>
  <si>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</si>
  <si>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</si>
  <si>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</si>
  <si>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</si>
  <si>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</si>
  <si>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</si>
  <si>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</si>
  <si>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</si>
  <si>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</si>
  <si>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</si>
  <si>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</si>
  <si>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</si>
  <si>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</si>
  <si>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</si>
  <si>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</si>
  <si>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</si>
  <si>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https://www.amazon.in/Belkin-USB-C-Charging-USB-IF-Certified/dp/B084MZYBTV/ref=sr_1_257?qid=1672909136&amp;s=electronics&amp;sr=1-257</t>
  </si>
  <si>
    <t>B097ZQTDVZ</t>
  </si>
  <si>
    <t>7SEVEN®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</si>
  <si>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</si>
  <si>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</si>
  <si>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</si>
  <si>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</si>
  <si>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</si>
  <si>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</si>
  <si>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</si>
  <si>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</si>
  <si>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it’s working at home or traveling, it is an indispensable item in our lives,We have professional seller customer service and after-sales service. Please contact us in time if you have any questions at any time, and you will not suffer any loss!</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</si>
  <si>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</si>
  <si>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</si>
  <si>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</si>
  <si>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</si>
  <si>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</si>
  <si>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</si>
  <si>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</si>
  <si>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</si>
  <si>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</si>
  <si>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</si>
  <si>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</si>
  <si>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https://www.amazon.in/Wayona-Braided-Charger-Charging-Samsung/dp/B081FJWN52/ref=sr_1_273?qid=1672909138&amp;s=electronics&amp;sr=1-273</t>
  </si>
  <si>
    <t>B0758F7KK7</t>
  </si>
  <si>
    <t>Caprigo Heavy Duty TV Wall Mount Bracket for 14 to 32 Inch LED/HD/Smart TV’s, Universal Fixed TV Wall Mount Stand (M452)</t>
  </si>
  <si>
    <t>TV Wall Bracket Compatibility : 14 To 32 Inch (LED, HD, QLED, LCD, OLED, UHD, 4K, Monitor, Curved, Smart TV’s) From All Leading Brands. Ideally Compatible With OnePlus Y Series , Samsung , Sony Bravia , LG , Mi Pro 4A , 4C 5A Series 32 Inch LED TV’s.|Vesa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</si>
  <si>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https://www.amazon.in/Maxicom-B-28-Universal-Bracket-inches/dp/B0758F7KK7/ref=sr_1_274?qid=1672909138&amp;s=electronics&amp;sr=1-274</t>
  </si>
  <si>
    <t>B09L835C3V</t>
  </si>
  <si>
    <t>Smashtronics® - Case for Firetv Remote, Fire Stick Remote Cover Case, Silicone Cover for TV Firestick 4K/TV 2nd Gen(3rd Gen) Remote Control - Light Weight/Anti Slip/Shockproof (Black)</t>
  </si>
  <si>
    <t>【100% Fits】Specially designed for Fire TV Stick (2nd Gen), Fire TV Stick 4K, Fire TV Cube, and Amazon Fire TV (3rd Gen, Pendant Design). Tips:Pls compare with your firestick model fit or not before purchase.|【Full Body Protection】High-quality and eco-friendly silicone material, harmless to your pets, kids and families. Prevent the child from opening the back cover and provides the maximum protection, anti-slip, anti-dust, shock proof and washable.|【Custom Cutting】Accurate hole wide open offers full access to all ports, buttons and functions. Humanized texture design protects your remote from slipping and skidding.Fast heat dissipation and anti-dust that no fingerprints leave.|【Easy to Find/Glowing】Equiped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</si>
  <si>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</si>
  <si>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</si>
  <si>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</si>
  <si>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don’t understand you can just contact our Electvision customer care number given in image Catalogue for any verification or Help.</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</si>
  <si>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</si>
  <si>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</si>
  <si>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</si>
  <si>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</si>
  <si>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</si>
  <si>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</si>
  <si>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</si>
  <si>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</si>
  <si>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</si>
  <si>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</si>
  <si>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</si>
  <si>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</si>
  <si>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</si>
  <si>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</si>
  <si>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</si>
  <si>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</si>
  <si>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</si>
  <si>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</si>
  <si>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</si>
  <si>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</si>
  <si>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https://www.amazon.in/Sony-Bravia-inches-Google-KD-65X74K/dp/B09WN3SRC7/ref=sr_1_291?qid=1672909138&amp;s=electronics&amp;sr=1-291</t>
  </si>
  <si>
    <t>B09B125CFJ</t>
  </si>
  <si>
    <t>7SEVEN®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</si>
  <si>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</si>
  <si>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https://www.amazon.in/7SEVEN-Compatible-Non-Voice-Infrared-Universal/dp/B09B125CFJ/ref=sr_1_290?qid=1672909139&amp;s=electronics&amp;sr=1-290</t>
  </si>
  <si>
    <t>B09RQRZW2X</t>
  </si>
  <si>
    <t>7SEVEN®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</si>
  <si>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</si>
  <si>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</si>
  <si>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</si>
  <si>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</si>
  <si>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</si>
  <si>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</si>
  <si>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</si>
  <si>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</si>
  <si>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</si>
  <si>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</si>
  <si>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</si>
  <si>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</si>
  <si>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</si>
  <si>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https://www.amazon.in/SVM-Products-Premium-Quality-Unbreakable/dp/B07VVXJ2P5/ref=sr_1_300?qid=1672909139&amp;s=electronics&amp;sr=1-300</t>
  </si>
  <si>
    <t>B0BC8BQ432</t>
  </si>
  <si>
    <t>VU 164 cm (65 inches) The GloLED Series 4K Smart LED Google TV 65GloLED (Grey)</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</si>
  <si>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</si>
  <si>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</si>
  <si>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</si>
  <si>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🛒【CableCreation RCA Cable】:Great for connecting portable audio devices, such as for Smartphone (iPhone), MP3 player (iPod) or tablet (iPad) to a stereo receiver, speaker or other RCA-enabled device.❗❗❗:CableCreation backed with 2 years worry-free warranty and 7*24 friendly customer service. Any further questions and suggestions, please feel free to contact us|🛒【Fantastic Sound Quality】:Oxygen Free Copper and gold plated plugs ensure optimal signal stereo audio transmission,bringing you a good feeling|🛒【Bi-directional】:This 3.5mm rca male cable works both directions,from rca out to 3.5mm in or from 3.5mm in to rca out. Please note: you cannot choose same directions for use simultaneously.It must one side in,the other side out|🛒【24K Gold Plated Connectors】:Professional quality 24k gold plated connectors which protect the cables from corrosion while ensuring a premium connection for the best possible audio transfer year after year|🛒【Compatible Device】:3.5mm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</si>
  <si>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</si>
  <si>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</si>
  <si>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</si>
  <si>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</si>
  <si>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</si>
  <si>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</si>
  <si>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</si>
  <si>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</si>
  <si>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https://www.amazon.in/Rugged-V3-Braided-Micro-Cable/dp/B07CRL2GY6/ref=sr_1_329?qid=1672909140&amp;s=electronics&amp;sr=1-329</t>
  </si>
  <si>
    <t>B07DWFX9YS</t>
  </si>
  <si>
    <t>Amazon Basics USB A to Lightning PVC Molded Nylon MFi Certified Charging Cable (Black, 1.2 meter)</t>
  </si>
  <si>
    <t>MFi-certified charging cable 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</si>
  <si>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</si>
  <si>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</si>
  <si>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</si>
  <si>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</si>
  <si>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</si>
  <si>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</si>
  <si>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</si>
  <si>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</si>
  <si>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https://www.amazon.in/Wayona-Charger-Samsung-Galaxy-Wc3Cb1/dp/B07F1P8KNV/ref=sr_1_338?qid=1672909141&amp;s=electronics&amp;sr=1-338</t>
  </si>
  <si>
    <t>B084N1BM9L</t>
  </si>
  <si>
    <t>Belkin Apple Certified Lightning to USB Charge and Sync Tough Braided Cable for iPhone, iPad, Air Pods, 3.3 feet (1 meters) – Black</t>
  </si>
  <si>
    <t>The Belkin Difference: Pioneer In Technology And Innovation For 35 Years.</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</si>
  <si>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</si>
  <si>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</si>
  <si>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</si>
  <si>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</si>
  <si>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</si>
  <si>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</si>
  <si>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</si>
  <si>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</si>
  <si>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</si>
  <si>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</si>
  <si>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</si>
  <si>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</si>
  <si>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</si>
  <si>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</si>
  <si>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</si>
  <si>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</si>
  <si>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</si>
  <si>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</si>
  <si>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</si>
  <si>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</si>
  <si>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</si>
  <si>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</si>
  <si>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</si>
  <si>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</si>
  <si>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</si>
  <si>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</si>
  <si>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</si>
  <si>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</si>
  <si>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</si>
  <si>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</si>
  <si>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PC’s, gaming consoles, and DVD/VCD players|SLEEK DESIGN WITH PREMIUM FINISH- This speaker not only sounds great but looks great as well. Its sleek and elegant design perfectly complements any room and is compact enough to be moved around</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</si>
  <si>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</si>
  <si>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</si>
  <si>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</si>
  <si>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</si>
  <si>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</si>
  <si>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</si>
  <si>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</si>
  <si>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【Compatibility】: Specially designed for Fire TV Stick 4K All-new Alexa Voice Remote with power and volume controls. (REMOTE NOT INCLUDED)|【3 Meters Shockproof】: Durable Silicone Material can protect your remote from 3 meters high drop, effectively protects your remote from daily impact and unwanted dust and scratches.|【Perfect Fit】: The slim and form-fitted design of the case protects yourFire TV Remote with minimal bulk.|【Accessibility】: Revised with precision cut-outs to ensure full access to all ports, buttons, and features of your Fire TV Stick 4K All Alexa Voice Remote.|【Shock &amp; Bump Resistant】 This Cover protects your remote from scratches, wear, tear, and dirt with this unique proprietary skin material.</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</si>
  <si>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</si>
  <si>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</si>
  <si>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</si>
  <si>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【Power Delivery Fast Charging】: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Adapter).|【MFI Certified C94 Connector】: This cable uses the Newest MFI Certified C94 Chip which is specially designed for fast charging, whose color is different from the previous C48 connector end. Charging Speeds 2.5× Faster.|【Compatibility List】: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seconds.|【Ultra High Quality Assurance】: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</si>
  <si>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</si>
  <si>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</si>
  <si>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</si>
  <si>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</si>
  <si>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</si>
  <si>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</si>
  <si>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</si>
  <si>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</si>
  <si>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</si>
  <si>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</si>
  <si>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</si>
  <si>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</si>
  <si>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</si>
  <si>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</si>
  <si>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</si>
  <si>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</si>
  <si>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https://www.amazon.in/Samsung-inches-Crystal-Ultra-UA55AUE60AKLXL/dp/B092BL5DCX/ref=sr_1_411?qid=1672909145&amp;s=electronics&amp;sr=1-411</t>
  </si>
  <si>
    <t>B09VH568H7</t>
  </si>
  <si>
    <t>Amazon Brand - Solimo 3A Fast Charging Tough Type C USB Data Cable  –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</si>
  <si>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</si>
  <si>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</si>
  <si>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</si>
  <si>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</si>
  <si>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</si>
  <si>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</si>
  <si>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</si>
  <si>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</si>
  <si>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</si>
  <si>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</si>
  <si>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</si>
  <si>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</si>
  <si>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</si>
  <si>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https://www.amazon.in/Toshiba-inches-Android-43V35KP-Silver/dp/B0B21XL94T/ref=sr_1_425?qid=1672909145&amp;s=electronics&amp;sr=1-425</t>
  </si>
  <si>
    <t>B09PTT8DZF</t>
  </si>
  <si>
    <t>Lenovo USB A to Type-C Tangle-free  Aramid fiber braided 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</si>
  <si>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</si>
  <si>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</si>
  <si>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</si>
  <si>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</si>
  <si>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</si>
  <si>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https://www.amazon.in/Amazon-Brand-Charging-Suitable-Supported/dp/B0B94JPY2N/ref=sr_1_444?qid=1672909146&amp;s=electronics&amp;sr=1-444</t>
  </si>
  <si>
    <t>B0B3XXSB1K</t>
  </si>
  <si>
    <t>LG 139 cm (55 inches) 4K Ultra HD Smart LED TV 55UQ7500PSF (Ceramic Black)</t>
  </si>
  <si>
    <t>https://www.amazon.in/LG-inches-Ultra-55UQ7500PSF-Ceramic/dp/B0B3XXSB1K/ref=sr_1_445?qid=1672909146&amp;s=electronics&amp;sr=1-445</t>
  </si>
  <si>
    <t>B08RZ12GKR</t>
  </si>
  <si>
    <t>Tata Sky Digital TV HD Setup Box Remote</t>
  </si>
  <si>
    <t>Color black|Long lasting|Digital TV HD Setup Box Remote</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</si>
  <si>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</si>
  <si>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</si>
  <si>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</si>
  <si>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</si>
  <si>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</si>
  <si>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</si>
  <si>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</si>
  <si>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</si>
  <si>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</si>
  <si>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</si>
  <si>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</si>
  <si>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</si>
  <si>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</si>
  <si>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</si>
  <si>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</si>
  <si>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</si>
  <si>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</si>
  <si>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</si>
  <si>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</si>
  <si>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</si>
  <si>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</si>
  <si>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</si>
  <si>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</si>
  <si>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</si>
  <si>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</si>
  <si>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</si>
  <si>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</si>
  <si>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</si>
  <si>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</si>
  <si>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</si>
  <si>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https://www.amazon.in/Hisense-inches-Bezelless-Google-50A6H/dp/B0B2C5MJN6/ref=sr_1_456?qid=1672909146&amp;s=electronics&amp;sr=1-456</t>
  </si>
  <si>
    <t>B0BBMGLQDW</t>
  </si>
  <si>
    <t>Tuarso 8K HDMI 2.1 Cable 48Gbps , 1.5 Meter High-Speed Braided HDMI Cable ( 8K@60HZ、4K@120HZ、2K@240HZ ) HDMI 2.1 Cable Compatible with Monitors , Television , Laptops , Projectors , Game Consoles and more with HDMI Ports Device</t>
  </si>
  <si>
    <t>⚡ [ Newest Technology 8K HDMI 2.1 Cable ] - Tuarso hdmi 2.1 cable have bandwidth of 48Gbps , supports 8K@60Hz and 4K@120Hz . Dynamic HDR and 12Bit color depth and eARC . It is also backward compatible with HDMI 2.0b / 2.0a / 1.4 / 1.3 / 1.2 / 1.1 versions .|⚡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 [ Immersive Cinema-like Sound Effect ] - 8K hdmi cable 2.1 supports the latest high-bitrate audio formats including DTS Master , DTS:X , Atoms , and enhanced Audio Return Channel ( eARC ) . It offers an immersive multi-dimensional experience and enhances audio detail and depth .|⚡ [ 24 x 7 Customer Support ] - This hdmi cable 2.1 comes with professional after-sales support and 6-month warranty . You're welcome to contact us with any questions or concerns , We will deal with your problem as soon as possible .</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</si>
  <si>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</si>
  <si>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</si>
  <si>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</si>
  <si>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</si>
  <si>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</si>
  <si>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</si>
  <si>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</si>
  <si>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</si>
  <si>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</si>
  <si>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</si>
  <si>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</si>
  <si>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</si>
  <si>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</si>
  <si>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</si>
  <si>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https://www.amazon.in/7SEVENTM-Universal-Replacement-Original-Television/dp/B09MMD1FDN/ref=sr_1_464?qid=1672909147&amp;s=electronics&amp;sr=1-464</t>
  </si>
  <si>
    <t>B09HN7LD5L</t>
  </si>
  <si>
    <t>PROLEGEND® PL-T002 Universal TV Stand Table Top for Most 22 to 65 inch LCD Flat Screen TV, VESA up to 800 by 400mm</t>
  </si>
  <si>
    <t>TV LEG】--The universal tv stand base fits most 32 37 40 42 47 50 55 inch LCD LED Plasma Oled QLED 4K Smart flat/curved screen TVs with mounting holes on the back of your TV from 200x100mm up to 800x400mm.|【LOADING CAPACITY】--Heavy Duty Sturdy steel design make the tabletop tv leg base load capacity up to 88 lbs. Furthermore, it offers a stylish look to suit any decor, with sharp angles and a black matte finish.|【ADJUSTABLE HEIGHT】-- This tv base stand can adjust your TV heght from 20.2" to 22.5" makes your TV always at eye level for better view.|【NO SCRATCH&amp;ANTI-SLIP】--It's great the tv replacement stand comes with soft pad on the bottom to protect the furniture from being scratched and protect your TV from slipping|【EASY INSTALLATION】-- Simple construction allows easy installation with easy to follow manual and all of the required hardware provided</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</si>
  <si>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</si>
  <si>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</si>
  <si>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</si>
  <si>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 allowing you to enjoy big-screen immersion with ease.|✔️ With 350 ANSI lumens light output and 87% NTSC color space coverage, X1 Pro projects bright and crisp Full HD (1920 x 1080) resolution images. A mercury-free RGB LED light source ensures gorgeous, fade-free projections for up to 20 years, or about 30,000 hours of use.|✔️ Full Glass Lens, Clear and Durable: Clear picture as you see, multi-layer coated glass lens, high refractive index and will not be affected / distorted by temperature, wear-resistant and easy to maintain.|✔️Stream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 20000+ Hours Lamp Life &amp; Professional Support - Wanbo projectors come with 1 year warranty and professional support throughout the life. Feel free to contact us in case of any issues.</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</si>
  <si>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</si>
  <si>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</si>
  <si>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</si>
  <si>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</si>
  <si>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</si>
  <si>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</si>
  <si>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</si>
  <si>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</si>
  <si>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</si>
  <si>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</si>
  <si>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</si>
  <si>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</si>
  <si>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</si>
  <si>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</si>
  <si>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</si>
  <si>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</si>
  <si>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</si>
  <si>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</si>
  <si>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</si>
  <si>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</si>
  <si>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</si>
  <si>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</si>
  <si>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</si>
  <si>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</si>
  <si>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</si>
  <si>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</si>
  <si>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</si>
  <si>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</si>
  <si>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https://www.amazon.in/Kodak-inches-Android-50UHDX7XPROBL-Bezel-Less/dp/B09PLD9TCD/ref=sr_1_473?qid=1672909147&amp;s=electronics&amp;sr=1-473</t>
  </si>
  <si>
    <t>B0B8ZKWGKD</t>
  </si>
  <si>
    <t>ZORBES®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</si>
  <si>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</si>
  <si>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</si>
  <si>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</si>
  <si>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</si>
  <si>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</si>
  <si>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</si>
  <si>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</si>
  <si>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</si>
  <si>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</si>
  <si>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</si>
  <si>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</si>
  <si>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</si>
  <si>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</si>
  <si>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https://www.amazon.in/MI-inches-Ready-Android-L32M7-EAIN/dp/B0B8CXTTG3/ref=sr_1_477?qid=1672909147&amp;s=electronics&amp;sr=1-477</t>
  </si>
  <si>
    <t>B09HCH3JZG</t>
  </si>
  <si>
    <t>Bestor ®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</si>
  <si>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</si>
  <si>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</si>
  <si>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</si>
  <si>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</si>
  <si>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</si>
  <si>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✔️40MM HD optical resin lens with Focal and IPD adjustments with FOV up to 110 makes this VR headset perform better|✔️Best-in-class headphones With 3.5mm Jack and removable front panel for ventilation are provided in this 3d vr headset|✔️Advanced touch button for triggering the actions in VR, multifunctional button,volume controllers and mic.|✔️Mobile Compatibility : Mobiles should have gyroscope sensor .It is compatible with 4.7 inches to 6.69 inches mobile.|✔️Note : Do not watch content from youtube, please download vr apps for better vr experience.Contact Irusu Support team for best VR content.Email us at support@irusu.co.in for any queries|✔️Watch High Quality Videos (1080p and above) for best Virtual reality Experience.</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</si>
  <si>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</si>
  <si>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</si>
  <si>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</si>
  <si>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</si>
  <si>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</si>
  <si>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</si>
  <si>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</si>
  <si>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【NOTE before purchase】:This is a USB-C to USB-C cable, which means it has the same USB C plug on both ends, please be aware that this is not a USB-C to USB-A cable. Besides, you may need a USB C wall charger to charge your device.|【NYLON BRAIDED, EXTREME DURABILITY】: with a tested 20000+ bend lifespan, Synqe USB C charging cable with heavy duty braided and strong metal connections is far more durable|【3A Rapid Charging】 ：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charger.|【60W High Speed Charging】: Output power up to 20V 3A, which is ensured by high-speed safe charging, and the USB 2.0 supports data transfer speed can reach 40~60MB/S (480Mbps). NOTE: This product DO NOT support video output and monitor connection.|【12-months warranty】: 12 months warranty and friendly customer services, ensures the long-time enjoyment of your purchase. If you meet any question or problem, please don't hesitate to connect with us.</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</si>
  <si>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</si>
  <si>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</si>
  <si>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</si>
  <si>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</si>
  <si>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</si>
  <si>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</si>
  <si>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</si>
  <si>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</si>
  <si>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https://www.amazon.in/EYNK-Charging-Charger-Transfer-Smartphones/dp/B08G1RW2Q3/ref=sr_1_483?qid=1672909149&amp;s=electronics&amp;sr=1-483</t>
  </si>
  <si>
    <t>B08YXJJW8H</t>
  </si>
  <si>
    <t>LUNAGARIYA®,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</si>
  <si>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</si>
  <si>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https://www.amazon.in/LUNAGARIYA%C2%AE-Protective-Compatible-Control-Dimensions/dp/B08YXJJW8H/ref=sr_1_484?qid=1672909149&amp;s=electronics&amp;sr=1-484</t>
  </si>
  <si>
    <t>B09P8M18QM</t>
  </si>
  <si>
    <t>7SEVEN®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</si>
  <si>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</si>
  <si>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</si>
  <si>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</si>
  <si>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</si>
  <si>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</si>
  <si>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</si>
  <si>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</si>
  <si>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</si>
  <si>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</si>
  <si>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</si>
  <si>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</si>
  <si>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</si>
  <si>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</si>
  <si>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</si>
  <si>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</si>
  <si>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</si>
  <si>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</si>
  <si>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</si>
  <si>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</si>
  <si>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</si>
  <si>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</si>
  <si>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</si>
  <si>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</si>
  <si>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</si>
  <si>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💎[The Fastest Charge] - This iPhone USB C cable supports PD 3.0 fast charging, up to 20W with USB-C Power Delivery adapters such as 18W, 20W, 29W, 30W, 61W, or 87W. Charge your iPhone from 0% to 50% in just 25 mins, and data transfer speeds up to 480Mbps (1200 songs synced per minute)|💎[Amazing Durability] - With top-rated material and coated with premium TPE, Syncwire Apple USB C cable has exceptional durability to be bent at 90 degrees for 15000+ times and the connector is capable of holding up to 20kg of weight without falling off.|💎[Perfect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</si>
  <si>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</si>
  <si>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</si>
  <si>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</si>
  <si>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</si>
  <si>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</si>
  <si>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</si>
  <si>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</si>
  <si>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‘Get Product Support’ and schedule a service. For any other information, please contact Amazon customer support</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</si>
  <si>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</si>
  <si>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</si>
  <si>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</si>
  <si>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</si>
  <si>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</si>
  <si>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</si>
  <si>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</si>
  <si>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【NOTE before purchase】:This is a USB-C to USB-C cable, which means it has the same USB C plug on both ends, please be aware that this is not a USB-C to USB-A cable. Besides, you may need a USB C wall charger to charge your device.|【NYLON BRAIDED, SMALL SIZE】: With a tested 20000+ bend lifespan, Synqe USB C charging cable with heavy duty braided and strong metal connections is far more durable. Short size makes it comfortable to use with Power Banks and Android Auto.|【3A/60W Rapid Charging】：Built-in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charger.|【60W High Speed Charging】: Output power up to 20V 3A, which is ensured by high-speed safe charging, and the USB 2.0 supports data transfer speed can reach 40~60MB/S (480Mbps). NOTE: This product DO NOT support video output and monitor connection.|【12-months warranty】: 12 months warranty and friendly customer services, ensures the long-time enjoyment of your purchase. If you meet any question or problem, please don't hesitate to connect with us.</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</si>
  <si>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</si>
  <si>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</si>
  <si>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</si>
  <si>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</si>
  <si>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</si>
  <si>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</si>
  <si>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</si>
  <si>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</si>
  <si>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</si>
  <si>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</si>
  <si>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</si>
  <si>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“Accessory may not be supported” alert|Built to Last: the durable braided nylon casing ensures fewer tangles and more tensile strength than Apple’s official cables; aluminum cased plug heads ensure your cable won’t get damaged when plugging in and out|Compatibility: this USB-C to Lighting iPhone cable supports fast charging for iPhone 14/13/12/11/X/8/7/6 series, iPhone SE 3/2, iPad Pro 12.9 (1st and 2nd Gen), iPad 8th Gen, iPad Pro 10.5"; 18W or above USB-C PD adapter required</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</si>
  <si>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</si>
  <si>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</si>
  <si>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</si>
  <si>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</si>
  <si>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</si>
  <si>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</si>
  <si>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</si>
  <si>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</si>
  <si>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</si>
  <si>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</si>
  <si>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</si>
  <si>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</si>
  <si>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Q122.【Bluetooth Calling Watch】- Fire-Boltt Ninja Call Pro Plus Smartwatch enables you to make and receive calls directly from your watch via the built-in speaker and microphone. This smartwatch features a dial pad, option to access recent calls &amp; sync your phone’s contacts.|【1.83" HD Display Smart 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</si>
  <si>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</si>
  <si>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</si>
  <si>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</si>
  <si>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Q122.【Bluetooth Calling Watch】- Fire-Boltt Phoenix enables you to make and receive calls directly from your watch via the built-in speaker and microphone. This smartwatch features a dial pad, option to access recent calls &amp; sync your phone’s contacts.;【High Resolution Display】- Comes with a 1.3" TFT Color Full Touch Screen and a 240*240 Pixel High Resolution this watch is covered to flaunt the sleek and stylish look always.|【120+ Sports Modes】- Track each activity effectively with this smartwatch &amp; activity tracker. Track your calories, steps and much more while you are on your fitness journey. This fitness tracker has it all;【In Built Mic &amp; Speaker】- Get HD calling experience with this power-packed watch. Enhance the look of your wrist with attractive colors and sleek finish|【Smart Health】- With the latest HRS3300 technology track your heart rate anytime of the day or even while you perform some activity. The optical sensors assure results so accurate. Monitor your blood oxygen levels to stay fit and healthy;【Smartphone Notifications】- Get all your mobile phone notifications on this 1.3" Round Display Full touch smartwatch and never be late for a meeting, party or date.|【Gaming On Wrist】- Enjoy playing games on the wrist itself as you are on the go. 【Breathe Function】- Ensure your breathing exercise is fit and healthy with the breathing function.; 【Multiple Watch Faces】-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</si>
  <si>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https://www.amazon.in/Fire-Boltt-Phoenix-Bluetooth-Calling-Monitoring/dp/B0B3RRWSF6/ref=sr_1_4?qid=1672895748&amp;s=electronics&amp;sr=1-4</t>
  </si>
  <si>
    <t>B0B5B6PQCT</t>
  </si>
  <si>
    <t>boAt Wave Call Smart Watch, Smart Talk with Advanced Dedicated Bluetooth Calling Chip, 1.69”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</si>
  <si>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</si>
  <si>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</si>
  <si>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</si>
  <si>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</si>
  <si>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</si>
  <si>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</si>
  <si>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</si>
  <si>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</si>
  <si>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</si>
  <si>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</si>
  <si>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</si>
  <si>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</si>
  <si>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</si>
  <si>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</si>
  <si>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</si>
  <si>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</si>
  <si>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</si>
  <si>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</si>
  <si>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</si>
  <si>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https://www.amazon.in/OnePlus-Nord-Shadow-128GB-Storage/dp/B0B3CQBRB4/ref=sr_1_9?qid=1672895748&amp;s=electronics&amp;sr=1-9</t>
  </si>
  <si>
    <t>B0BBN56J5H</t>
  </si>
  <si>
    <t>Redmi A1 (Black, 2GB RAM, 32GB Storage) | Segment Best AI Dual Cam | 5000mAh Battery | Leather Texture Design | Android 12</t>
  </si>
  <si>
    <t>https://www.amazon.in/Redmi-Storage-Segment-5000mAh-Battery/dp/B0BBN56J5H/ref=sr_1_10?qid=1672895748&amp;s=electronics&amp;sr=1-10</t>
  </si>
  <si>
    <t>B0BBN3WF7V</t>
  </si>
  <si>
    <t>Redmi A1 (Light Green, 2GB RAM 32GB ROM) | Segment Best AI Dual Cam | 5000mAh Battery | Leather Texture Design | Android 12</t>
  </si>
  <si>
    <t>https://www.amazon.in/Redmi-Segment-5000mAh-Battery-Leather/dp/B0BBN3WF7V/ref=sr_1_11?qid=1672895748&amp;s=electronics&amp;sr=1-11</t>
  </si>
  <si>
    <t>B0BDRVFDKP</t>
  </si>
  <si>
    <t>SanDisk Ultra® microSDXC™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</si>
  <si>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</si>
  <si>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</si>
  <si>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</si>
  <si>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</si>
  <si>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</si>
  <si>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 choose from 150 cloud-based &amp; customised watch faces.|100 sports modes with auto sports detection: Stay active and track all that you are doing with auto sports detection mode.</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</si>
  <si>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</si>
  <si>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</si>
  <si>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</si>
  <si>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</si>
  <si>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 screen|Pre-loaded games including the classic keypad mobile phone game - Snake|Enjoy all-new wireless FM radio|Save 2,000 contacts and up to 500 SMS on your Nokia 105 mobile phone</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</si>
  <si>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</si>
  <si>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</si>
  <si>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</si>
  <si>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</si>
  <si>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</si>
  <si>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</si>
  <si>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</si>
  <si>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</si>
  <si>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</si>
  <si>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</si>
  <si>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</si>
  <si>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</si>
  <si>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</si>
  <si>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</si>
  <si>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</si>
  <si>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</si>
  <si>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</si>
  <si>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</si>
  <si>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</si>
  <si>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</si>
  <si>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</si>
  <si>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</si>
  <si>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</si>
  <si>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</si>
  <si>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</si>
  <si>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</si>
  <si>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</si>
  <si>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</si>
  <si>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</si>
  <si>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</si>
  <si>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https://www.amazon.in/Boat-BassHeads-100-Inspired-Earphones/dp/B07GPXXNNG/ref=sr_1_21?qid=1672895748&amp;s=electronics&amp;sr=1-21</t>
  </si>
  <si>
    <t>B0BDYVC5TD</t>
  </si>
  <si>
    <t>SanDisk Ultra® microSDXC™ UHS-I Card, 128GB, 140MB/s R, 10 Y Warranty, for Smartphones</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</si>
  <si>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</si>
  <si>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</si>
  <si>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</si>
  <si>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</si>
  <si>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</si>
  <si>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</si>
  <si>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</si>
  <si>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</si>
  <si>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</si>
  <si>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</si>
  <si>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</si>
  <si>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</si>
  <si>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</si>
  <si>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</si>
  <si>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</si>
  <si>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</si>
  <si>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</si>
  <si>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</si>
  <si>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</si>
  <si>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</si>
  <si>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</si>
  <si>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</si>
  <si>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</si>
  <si>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</si>
  <si>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‎Smartwatch, Magnetic Charger, User Manual, Warranty Card; Item Type Name: Smartwatch</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</si>
  <si>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</si>
  <si>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</si>
  <si>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</si>
  <si>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</si>
  <si>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</si>
  <si>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</si>
  <si>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</si>
  <si>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</si>
  <si>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</si>
  <si>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</si>
  <si>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</si>
  <si>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</si>
  <si>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</si>
  <si>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</si>
  <si>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</si>
  <si>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</si>
  <si>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https://www.amazon.in/Samsung-Galaxy-Storage-6000mAh-Battery/dp/B0B4F2XCK3/ref=sr_1_32?qid=1672895755&amp;s=electronics&amp;sr=1-32</t>
  </si>
  <si>
    <t>B0BF54972T</t>
  </si>
  <si>
    <t>Fire-Boltt is India' No 1 Wearable Watch Brand Q122 by IDC Worldwide quarterly wearable device tracker Q122.【Bluetooth Calling Watch】- Fire-Boltt Ninja Call Pro Plus Smart Watch enables you to make and receive calls directly from your watch via the built-in speaker and microphone. This smartwatch features a dial pad, option to access recent calls &amp; sync your phone’s contacts.|【1.83" HD Display Smartwatch】-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</si>
  <si>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</si>
  <si>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</si>
  <si>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</si>
  <si>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【Bluetooth Calling Watch】- Fire-Boltt Talk 2 enables you to make and receive calls directly from your watch via the built-in speaker and microphone. This smartwatch features a dial pad, option to access recent calls &amp; sync your phone’s contacts.;【Dual Button Technology】- This smartwatch has dual buttons to carry out the tasks more efficiently and easily. Use the first button to change the menu style and to return to the first page, use the second button to quickly land to the exercise page|【Voice Assistant】- Command your mobile phone with your smartwatch, the watch has a voice assistant built in to make work easy and fast. Tap on the AI feature to activate the mobile phone voice assistant and make calls smoothly, or hear the weather update;【60 Sports Modes】- Track 60 different sports mode like running, walking, climbing, kabbadi, cricket and many more, get the benefit of every sweat and calorie lost【IP68 Water Resistant】- This smartwatch can withstand dust, spills, raindrops and is sweatproof too.|【Built In Mic &amp; Speaker】- Enjoy listening to your favour ite tunes on the watch and experience HD Calling through the built in Mic;【1.28 inch HD Display】- This smartwatch has a 1.28” TFT LCD Full Touch Display with a 2D High Hardness Glass for super protection and a high resolution of 240*240 pixels 【Full Metal Body】- This watch is long lasting and durable with its metal body feature|【SPo2 Monitoring】- Monitor your blood oxygen levels any time anywhere. 【360 Health Ecosystem】- With this watch track your heart rate, calorie, step count and multiple sports modes with easy touch;【Play Games On Your Wrist】- Play 2 mini games in your pastime or leisure time.; 【Smart Notification】- Get all your mobile phone notifications on the watch and stay updates about trends, meeting emails and much more. 【Remotely access smartphone features】-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</si>
  <si>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</si>
  <si>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</si>
  <si>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</si>
  <si>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</si>
  <si>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</si>
  <si>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</si>
  <si>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</si>
  <si>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</si>
  <si>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https://www.amazon.in/iQOO-Chromatic-Storage-Snapdragon-Processor/dp/B07WGMMQGP/ref=sr_1_36?qid=1672895755&amp;s=electronics&amp;sr=1-36</t>
  </si>
  <si>
    <t>B0BF563HB4</t>
  </si>
  <si>
    <t>https://www.amazon.in/Fire-Boltt-Bluetooth-Calling-Assistance-Resolution/dp/B0BF563HB4/ref=sr_1_37?qid=1672895755&amp;s=electronics&amp;sr=1-37</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</si>
  <si>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</si>
  <si>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</si>
  <si>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</si>
  <si>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</si>
  <si>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</si>
  <si>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</si>
  <si>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</si>
  <si>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</si>
  <si>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https://www.amazon.in/Redmi-9A-Sport-Octa-core-Processor/dp/B09GFLXVH9/ref=sr_1_40?qid=1672895755&amp;s=electronics&amp;sr=1-40</t>
  </si>
  <si>
    <t>B0BF4YBLPX</t>
  </si>
  <si>
    <t>Fire-Boltt is India' No 1 Wearable Watch Brand Q122 by IDC Worldwide quarterly wearable device tracker Q122.【Bluetooth Calling Watch】- Fire-Boltt Ninja Call Pro Plus Smart watch enables you to make and receive calls directly from your watch via the built-in speaker and microphone. This smartwatch features a dial pad, option to access recent calls &amp; sync your phone’s contacts.|【1.83" HD Display Smartwatch】-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</si>
  <si>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</si>
  <si>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</si>
  <si>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</si>
  <si>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</si>
  <si>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</si>
  <si>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</si>
  <si>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</si>
  <si>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</si>
  <si>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</si>
  <si>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</si>
  <si>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</si>
  <si>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Q122.【Bluetooth Calling Watch】- Fire-Boltt Visionary enables you to make and receive calls directly from your watch via the built-in speaker and microphone. This smartwatch features a dial pad option to access recent calls &amp; sync your phone’s contacts.;【1.78" AMOLED Display】 - Fire-Boltt Visionary has a premium 368*448 Pixel Resolution and 1.78" AMOLED Display which comes with the Always On feature.|【Over 100 Sports Modes】 - Walking, Running to Tedious Workout modes we have covered it all. Fire-Boltt Visionary smartwatch does a wonderful tracking job to each sports mode the user carries out in the day or at the gym.;【Connect TWS On The Go】- This smartwatch has an internal storage memory of about 128MB to store your songs and listen to local music on your bluetooth headset|【AI Voice Assistance】- Command your watch and let the magic happen. This special technology is in the Fire-Boltt Visionary Smartwatch;【Smart 360 Health Tracking】 - The Fire-Boltt Visionary Smartwatch comes with a complete package of health tracking features. From SpO2 tracking to real time heart rate tracking stay fit always. With the breathing exercise and women health the smartwatch is fit for each use and purpose|【IP68 Water Resistant】 - The smartwatch is fit to withstand sweat, dust, dirt and sand and is resistant to submersion upto a maximum depth of 1m of freshwater for up to twenty minutes.;【Smart Notifications】 - Keeping you notified on every second of all activities through your social media connects. Do not miss out on any notification that you receive on smartphone.; 【Remote Controls】 - Click numerous pictures and listen to your favourite songs by just one touch. 【Basic Reminders】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</si>
  <si>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</si>
  <si>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</si>
  <si>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</si>
  <si>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crown.|1.72’’display: ColorFit Pro 4 features 1.72’’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‎Smartwatch, Magnetic Charger, User Manual, Warranty Card</t>
  </si>
  <si>
    <t>https://www.amazon.in/Noise-ColorFit-Bluetooth-Fully-Functional-Brightness/dp/B09ZQK9X8G/ref=sr_1_45?qid=1672895755&amp;s=electronics&amp;sr=1-45</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</si>
  <si>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</si>
  <si>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</si>
  <si>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</si>
  <si>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</si>
  <si>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https://www.amazon.in/iQOO-Stellar-Snapdragon-Purchased-Separately/dp/B07WJV6P1R/ref=sr_1_47?qid=1672895755&amp;s=electronics&amp;sr=1-47</t>
  </si>
  <si>
    <t>【 Fast Charger&amp; Data Sync】-With built-in safety proctections and four-core copper wires promote maximum signal quality and strength and enhance charging &amp; data transfer speed with up to 480 mb/s transferring speed.|【 Sturdy &amp; Durable】-The jacket and enforced connector made of TPE and premium copper, are resistant to repeatedly bending and coiling.|【 Ultra High Quality】: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 Good After Sales Service】-Our friendly and reliable customer service will respond to you within 24 hours ! you can purchase with confidence,and every sale includes a 365-day worry-free Service to prove the importance we set on quality.</t>
  </si>
  <si>
    <t>https://www.amazon.in/Sounce-iPhone-Charging-Compatible-Devices/dp/B096MSW6CT/ref=sr_1_48?qid=1672895755&amp;s=electronics&amp;sr=1-48</t>
  </si>
  <si>
    <t>B0BF54LXW6</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</si>
  <si>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</si>
  <si>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</si>
  <si>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</si>
  <si>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</si>
  <si>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</si>
  <si>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</si>
  <si>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</si>
  <si>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</si>
  <si>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</si>
  <si>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</si>
  <si>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</si>
  <si>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</si>
  <si>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</si>
  <si>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</si>
  <si>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</si>
  <si>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</si>
  <si>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https://www.amazon.in/WeCool-Bluetooth-Extendable-Multifunctional-Compatible/dp/B08ZN4B121/ref=sr_1_53?qid=1672895762&amp;s=electronics&amp;sr=1-53</t>
  </si>
  <si>
    <t>B0B3RSDSZ3</t>
  </si>
  <si>
    <t>Fire-Boltt is India' No 1 Wearable Watch Brand Q122 by IDC Worldwide quarterly wearable device tracker Q122.【Bluetooth Calling Watch】- Fire-Boltt Phoenix enables you to make and receive calls directly from your watch via the built-in speaker and microphone. This smartwatch features a dial pad, option to access recent calls &amp; sync your phone’s contacts.;【High Resolution Display】- Comes with a 1.3" TFT Color Full Touch Screen and a 240*240 Pixel High Resolution this watch is covered to flaunt the sleek and stylish look always.|【120+ Sports Modes】- Track each activity effectively with this smartwatch &amp; activity tracker. Track your calories, steps and much more while you are on your fitness journey. This fitness tracker has it all;【In Built Mic &amp; Speaker】- Get HD calling experience with this power-packed watch. Enhance the look of your wrist with attractive colors and sleek finish|【Smart Health】- With the latest HRS3300 technology track your heart rate anytime of the day or even while you perform some activity. The optical sensors assure results so accurate. Monitor your blood oxygen levels to stay fit and healthy;【Smartphone Notifications】- Get all your mobile phone notifications on this 1.3" Round Display Full touch smartwatch and never be late for a meeting, party or date.|【Gaming On Wrist】- Enjoy playing games on the wrist itself as you are on the go. 【Breathe Function】- Ensure your breathing exercise is fit and healthy with the breathing function.; 【Multiple Watch Faces】-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</si>
  <si>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</si>
  <si>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</si>
  <si>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</si>
  <si>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</si>
  <si>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</si>
  <si>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</si>
  <si>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</si>
  <si>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</si>
  <si>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</si>
  <si>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</si>
  <si>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</si>
  <si>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</si>
  <si>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</si>
  <si>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</si>
  <si>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</si>
  <si>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</si>
  <si>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</si>
  <si>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</si>
  <si>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</si>
  <si>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‎Smartwatch, Magnetic Charger, User Manual, Warranty Card; Item Type Name: Smartwatch</t>
  </si>
  <si>
    <t>https://www.amazon.in/Noise-ColorFit-Display-Monitoring-Smartwatches/dp/B09PNKXSKF/ref=sr_1_59?qid=1672895762&amp;s=electronics&amp;sr=1-59</t>
  </si>
  <si>
    <t>B0B5DDJNH4</t>
  </si>
  <si>
    <t>boAt Wave Call Smart Watch, Smart Talk with Advanced Dedicated Bluetooth Calling Chip, 1.69” HD Display with 550 NITS &amp; 70% Color Gamut, 150+ Watch Faces, Multi-Sport Modes, HR, SpO2, IP68(Mauve)</t>
  </si>
  <si>
    <t>https://www.amazon.in/boAt-Wave-Call-Dedicated-Multi-Sport/dp/B0B5DDJNH4/ref=sr_1_60?qid=1672895762&amp;s=electronics&amp;sr=1-60</t>
  </si>
  <si>
    <t>https://www.amazon.in/Deuce-300-Resistant-Tangle-Free-Transmission/dp/B08HDJ86NZ/ref=sr_1_61?qid=1672895762&amp;s=electronics&amp;sr=1-61</t>
  </si>
  <si>
    <t>https://www.amazon.in/Portronics-Konnect-POR-1080-Charging-Function/dp/B08CF3B7N1/ref=sr_1_62?qid=1672895762&amp;s=electronics&amp;sr=1-62</t>
  </si>
  <si>
    <t>B07WDKLDRX</t>
  </si>
  <si>
    <t>iQOO Neo 6 5G (Dark Nova, 8GB RAM, 128GB Storage) | Snapdragon®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</si>
  <si>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</si>
  <si>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https://www.amazon.in/iQOO-128GB-Storage-Snapdragon%C2%AE-FlashCharge/dp/B07WDKLDRX/ref=sr_1_63?qid=1672895762&amp;s=electronics&amp;sr=1-63</t>
  </si>
  <si>
    <t>B09MQSCJQ1</t>
  </si>
  <si>
    <t>boAt Xtend Smartwatch with Alexa Built-in, 1.69”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</si>
  <si>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</si>
  <si>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</si>
  <si>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</si>
  <si>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</si>
  <si>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</si>
  <si>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</si>
  <si>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</si>
  <si>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</si>
  <si>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</si>
  <si>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</si>
  <si>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</si>
  <si>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</si>
  <si>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</si>
  <si>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adaptor’s strong, ABS Plastic built makes it safe to use even in clumsy hands. This charger with a built-in protection can protect your equipment from excessive current, overheating and overcharging.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</si>
  <si>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</si>
  <si>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</si>
  <si>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</si>
  <si>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</si>
  <si>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</si>
  <si>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</si>
  <si>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</si>
  <si>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16Ω,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</si>
  <si>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</si>
  <si>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</si>
  <si>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</si>
  <si>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</si>
  <si>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</si>
  <si>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</si>
  <si>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</si>
  <si>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</si>
  <si>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https://www.amazon.in/Fire-Boltt-Gladiator-Bluetooth-Assistant-Interactions/dp/B0BP18W8TM/ref=sr_1_71?qid=1672895762&amp;s=electronics&amp;sr=1-71</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</si>
  <si>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</si>
  <si>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</si>
  <si>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</si>
  <si>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</si>
  <si>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</si>
  <si>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</si>
  <si>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</si>
  <si>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</si>
  <si>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</si>
  <si>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</si>
  <si>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</si>
  <si>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</si>
  <si>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</si>
  <si>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</si>
  <si>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</si>
  <si>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</si>
  <si>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</si>
  <si>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</si>
  <si>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</si>
  <si>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</si>
  <si>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</si>
  <si>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</si>
  <si>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</si>
  <si>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</si>
  <si>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</si>
  <si>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</si>
  <si>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</si>
  <si>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</si>
  <si>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</si>
  <si>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</si>
  <si>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</si>
  <si>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</si>
  <si>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</si>
  <si>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</si>
  <si>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</si>
  <si>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ofﬁce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</si>
  <si>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</si>
  <si>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</si>
  <si>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</si>
  <si>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 2 times, OnePlus Nord - 1.5 times.|20W Fast Charging Output– Powerful 20 Watts PD and QC output for boosted charging speed, so that you always stay ahead in the league. It carries an extensive capacity to charge your mobile 50% in as quickly as 30 minutes on average.|20W Fast Charging Input – The powerbank itself can get charged in 4 to 5 hours as it has Power Delivery Technology which supports 20W fast charging input via Type C port|Charge Multiple Devices – With 1 USB port and 1 Type C port for output, it can charge 2 devices at the same time.|Sleek and Stylish- Supremely modish and handy design makes it a style statement while its compact body makes it extremely travel-friendly at the same time.</t>
  </si>
  <si>
    <t>https://www.amazon.in/Ambrane-Multi-Layer-Protection-Li-Polymer-Stylo-10k/dp/B0993BB11X/ref=sr_1_82?qid=1672895770&amp;s=electronics&amp;sr=1-82</t>
  </si>
  <si>
    <t>B09V2PZDX8</t>
  </si>
  <si>
    <t>Nokia 105 Single SIM, Keypad Mobile Phone with Wireless FM Radio | Blue</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</si>
  <si>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</si>
  <si>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</si>
  <si>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</si>
  <si>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</si>
  <si>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https://www.amazon.in/Tangent-Lite-Magnetic-Bluetooth-Headphones/dp/B085W8CFLH/ref=sr_1_84?qid=1672895770&amp;s=electronics&amp;sr=1-84</t>
  </si>
  <si>
    <t>B09MT6XSFW</t>
  </si>
  <si>
    <t>Samsung EVO Plus 64GB microSDXC UHS-I U1 130MB/s Full HD &amp; 4K UHD Memory Card with Adapter (MB-MC64KA), Blue</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</si>
  <si>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</si>
  <si>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</si>
  <si>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</si>
  <si>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 4.6 times, Samsung M11 – 2.6 times, iPad – 1.4 times|20W Fast charging output–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 The powerbank itself can get charged in 7 to 8 hours as it has Power Delivery Technology that supports 20W fast charging input via Type C port.|Charge 3 devices – With 2 USB ports and 1 Type C port for output, it can charge 3 devices at the same time &amp; It comes with a 6 months warranty against manufacturing defects.</t>
  </si>
  <si>
    <t>https://www.amazon.in/Ambrane-20000mAh-Lithium-Polymer-Stylo-20K/dp/B07RD611Z8/ref=sr_1_86?qid=1672895770&amp;s=electronics&amp;sr=1-86</t>
  </si>
  <si>
    <t>https://www.amazon.in/boAt-Micro-USB-Tangle-Free-Transmission/dp/B08WRWPM22/ref=sr_1_87?qid=1672895770&amp;s=electronics&amp;sr=1-87</t>
  </si>
  <si>
    <t>B0B4F52B5X</t>
  </si>
  <si>
    <t>Samsung Galaxy M13 (Midnight Blue, 4GB, 64GB Storage) | 6000mAh Battery | Upto 8GB RAM with RAM Plus</t>
  </si>
  <si>
    <t>https://www.amazon.in/Samsung-Midnight-Storage-6000mAh-Battery/dp/B0B4F52B5X/ref=sr_1_88?qid=1672895770&amp;s=electronics&amp;sr=1-88</t>
  </si>
  <si>
    <t>B096VF5YYF</t>
  </si>
  <si>
    <t>boAt Xtend Smartwatch with Alexa Built-in, 1.69” HD Display, Multiple Watch Faces, Stress Monitor, Heart &amp; SpO2 Monitoring, 14 Sports Modes, Sleep Monitor, 5 ATM &amp; 7 Days Battery(Pitch Black)</t>
  </si>
  <si>
    <t>https://www.amazon.in/boAt-Smartwatch-Multiple-Monitoring-Resistance/dp/B096VF5YYF/ref=sr_1_89?qid=1672895770&amp;s=electronics&amp;sr=1-89</t>
  </si>
  <si>
    <t>B0B5D39BCD</t>
  </si>
  <si>
    <t>boAt Wave Call Smart Watch, Smart Talk with Advanced Dedicated Bluetooth Calling Chip, 1.69” HD Display with 550 NITS &amp; 70% Color Gamut, 150+ Watch Faces, Multi-Sport Modes, HR, SpO2, IP68(Deep Blue)</t>
  </si>
  <si>
    <t>https://www.amazon.in/boAt-Wave-Call-Dedicated-Multi-Sport/dp/B0B5D39BCD/ref=sr_1_90?qid=1672895770&amp;s=electronics&amp;sr=1-90</t>
  </si>
  <si>
    <t>https://www.amazon.in/MI-MTCY001IN-USB-Type-C-Cable/dp/B08DDRGWTJ/ref=sr_1_91?qid=1672895770&amp;s=electronics&amp;sr=1-91</t>
  </si>
  <si>
    <t>https://www.amazon.in/Ambrane-Unbreakable-Charging-Braided-Android/dp/B082LZGK39/ref=sr_1_92?qid=1672895770&amp;s=electronics&amp;sr=1-92</t>
  </si>
  <si>
    <t>B09XBJ1CTN</t>
  </si>
  <si>
    <t>MI Xiaomi 22.5W Fast USB Type C Charger Combo for Tablets - White</t>
  </si>
  <si>
    <t>22.5W Universal Fast Charging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</si>
  <si>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</si>
  <si>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</si>
  <si>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</si>
  <si>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</si>
  <si>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</si>
  <si>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Electronics|Mobiles&amp;Accessories|MobileAccessories|Décor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</si>
  <si>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</si>
  <si>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https://www.amazon.in/GIZGA-Protector-Charging-Protective-G55/dp/B08MTCKDYN/ref=sr_1_95?qid=1672895770&amp;s=electronics&amp;sr=1-95</t>
  </si>
  <si>
    <t>B09QS8V5N8</t>
  </si>
  <si>
    <t>Redmi Note 11 (Space Black, 4GB RAM, 64GB Storage)|90Hz FHD+ AMOLED Display | Qualcomm® Snapdragon™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</si>
  <si>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</si>
  <si>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</si>
  <si>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</si>
  <si>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</si>
  <si>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</si>
  <si>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</si>
  <si>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</si>
  <si>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</si>
  <si>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</si>
  <si>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【Dual Port USB Wall Charger Adapter】Oraimo USB Charger with dual ports allow you to charge 2 devices at the same time with the total output of 2.4A current. Single port allows Max 2.4A current when connecting only one device. Much more convenient and save your time effectively.|【Safe Charging】With the intelligent chip inside, dual USB wall charger matches the current as your device's need automatically. Over-current, over-voltage and short-circuit protection also effectively protect your smartphones from damage|【Multi-Protection】 Internal protection mechanisms offers multiple Protection against short-circuit, over-temperature, over-current, over-voltage and more|【Wide Compatibility】Wall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devices|【Durable Design】 Robust textured casing and premium internal components ensure perfect performance regardless of scrapes, bumps, or drops.</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</si>
  <si>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</si>
  <si>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</si>
  <si>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</si>
  <si>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</si>
  <si>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</si>
  <si>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</si>
  <si>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</si>
  <si>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</si>
  <si>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https://www.amazon.in/WeCool-C1-Technology-Windshield-Extendable/dp/B09P858DK8/ref=sr_1_104?qid=1672895777&amp;s=electronics&amp;sr=1-104</t>
  </si>
  <si>
    <t>B07DJLFMPS</t>
  </si>
  <si>
    <t>HP 32GB Class 10 MicroSD Memory Card (U1 TF Card 32GB)</t>
  </si>
  <si>
    <t>HP 32GB Class 10 MicroSD Memory Card (U1 TF Card 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 minumum 30MB/s|Importer Details: Fortune marketing Pvt Ltd D1/2 -Okhla Industrial Area Phase -II New Delhi 110020|Country of Origin: Taiwan</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</si>
  <si>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</si>
  <si>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</si>
  <si>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</si>
  <si>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</si>
  <si>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</si>
  <si>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</si>
  <si>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</si>
  <si>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</si>
  <si>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</si>
  <si>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</si>
  <si>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</si>
  <si>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</si>
  <si>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</si>
  <si>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</si>
  <si>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32Ω,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</si>
  <si>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https://www.amazon.in/Boat-Bassheads-242-Earphones-Resistance/dp/B07S9S86BF/ref=sr_1_110?qid=1672895777&amp;s=electronics&amp;sr=1-110</t>
  </si>
  <si>
    <t>B07N8RQ6W7</t>
  </si>
  <si>
    <t>Portronics MODESK POR-122 Universal Mobile Tabletop Holder (Black)</t>
  </si>
  <si>
    <t>MoDesk - a Premium Quality Mobile Holders for your Ofﬁce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</si>
  <si>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</si>
  <si>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</si>
  <si>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</si>
  <si>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</si>
  <si>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</si>
  <si>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</si>
  <si>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</si>
  <si>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</si>
  <si>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</si>
  <si>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</si>
  <si>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</si>
  <si>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</si>
  <si>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</si>
  <si>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</si>
  <si>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</si>
  <si>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https://www.amazon.in/iQOO-Raven-Black-128GB-Storage/dp/B07WGPKTS4/ref=sr_1_118?qid=1672895777&amp;s=electronics&amp;sr=1-118</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</si>
  <si>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</si>
  <si>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</si>
  <si>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</si>
  <si>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 2 times, OnePlus Nord - 1.5 times.|20W Fast Charging Output– Powerful 20 Watts PD and QC output for boosted charging speed, so that you always stay ahead in the league. It carries an extensive capacity to charge your mobile 50% in as quickly as 30 minutes on average.|20W Fast Charging Input – The powerbank itself can get charged in 4 to 5 hours as it has Power Delivery Technology which supports 20W fast charging input via Type C port.|Charge Multiple Devices – With 1 USB port and 1 Type C port for output, it can charge 2 devices at the same time.|Sleek and Stylish- Supremely modish and handy design makes it a style statement while its compact body makes it extremely travel-friendly at the same time.</t>
  </si>
  <si>
    <t>https://www.amazon.in/Ambrane-Multi-Layer-Protection-Li-Polymer-Stylo-10k/dp/B09MZCQYHZ/ref=sr_1_120?qid=1672895777&amp;s=electronics&amp;sr=1-120</t>
  </si>
  <si>
    <t>B0B4F2ZWL3</t>
  </si>
  <si>
    <t>Samsung Galaxy M13 (Stardust Brown, 6GB, 128GB Storage) | 6000mAh Battery | Upto 12GB RAM with RAM Plus</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</si>
  <si>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</si>
  <si>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</si>
  <si>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</si>
  <si>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</si>
  <si>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</si>
  <si>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</si>
  <si>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</si>
  <si>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</si>
  <si>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</si>
  <si>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</si>
  <si>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</si>
  <si>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</si>
  <si>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 Full Touch HD display]: Get the perfect viewing experience on the 1.4’’ display with 240*240 pixels.|8 sports modes: Choose from 8 sports modes and give it your best.</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</si>
  <si>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</si>
  <si>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</si>
  <si>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</si>
  <si>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</si>
  <si>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</si>
  <si>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</si>
  <si>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</si>
  <si>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</si>
  <si>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</si>
  <si>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</si>
  <si>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</si>
  <si>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</si>
  <si>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</si>
  <si>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</si>
  <si>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</si>
  <si>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</si>
  <si>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</si>
  <si>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</si>
  <si>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</si>
  <si>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</si>
  <si>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</si>
  <si>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</si>
  <si>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</si>
  <si>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</si>
  <si>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https://www.amazon.in/Motorola-keypad-Mobile-Expandable-Battery/dp/B09JS562TP/ref=sr_1_125?qid=1672895784&amp;s=electronics&amp;sr=1-125</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</si>
  <si>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</si>
  <si>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</si>
  <si>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</si>
  <si>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https://www.amazon.in/boAt-Wave-Lite-Smartwatch-Multiple/dp/B09V17S2BG/ref=sr_1_127?qid=1672895784&amp;s=electronics&amp;sr=1-127</t>
  </si>
  <si>
    <t>B0B5CGTBKV</t>
  </si>
  <si>
    <t>boAt Wave Call Smart Watch, Smart Talk with Advanced Dedicated Bluetooth Calling Chip, 1.69” HD Display with 550 NITS &amp; 70% Color Gamut, 150+ Watch Faces, Multi-Sport Modes,HR,SpO2(Caribbean Green)</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</si>
  <si>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</si>
  <si>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</si>
  <si>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</si>
  <si>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</si>
  <si>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</si>
  <si>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</si>
  <si>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</si>
  <si>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</si>
  <si>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</si>
  <si>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</si>
  <si>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</si>
  <si>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</si>
  <si>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</si>
  <si>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</si>
  <si>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</si>
  <si>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</si>
  <si>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</si>
  <si>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</si>
  <si>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</si>
  <si>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</si>
  <si>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</si>
  <si>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https://www.amazon.in/PTron-Force-Bluetooth-Smartwatch-Waterproof/dp/B0B53QFZPY/ref=sr_1_134?qid=1672895784&amp;s=electronics&amp;sr=1-134</t>
  </si>
  <si>
    <t>https://www.amazon.in/Mi-Braided-USB-Type-C-Cable/dp/B083342NKJ/ref=sr_1_135?qid=1672895784&amp;s=electronics&amp;sr=1-135</t>
  </si>
  <si>
    <t>B07WJWRNVK</t>
  </si>
  <si>
    <t>iQOO vivo Z6 5G (Dynamo Black, 6GB RAM, 128GB Storage) | Snapdragon 695-6nm Processor | 120Hz FHD+ Display | 5000mAh Battery</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</si>
  <si>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</si>
  <si>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</si>
  <si>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</si>
  <si>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</si>
  <si>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https://www.amazon.in/Samsung-Original-EHS64AVFWECINU-Stereo-Headset/dp/B01F25X6RQ/ref=sr_1_137?qid=1672895784&amp;s=electronics&amp;sr=1-137</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</si>
  <si>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</si>
  <si>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</si>
  <si>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</si>
  <si>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</si>
  <si>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</si>
  <si>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</si>
  <si>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</si>
  <si>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</si>
  <si>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</si>
  <si>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</si>
  <si>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</si>
  <si>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</si>
  <si>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</si>
  <si>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https://www.amazon.in/SWAPKART-Flexible-Desktop-Foldable-Smartphones/dp/B092JHPL72/ref=sr_1_142?qid=1672895784&amp;s=electronics&amp;sr=1-142</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</si>
  <si>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</si>
  <si>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</si>
  <si>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</si>
  <si>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</si>
  <si>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</si>
  <si>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</si>
  <si>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</si>
  <si>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Q122.【Bluetooth Calling Watch】- Fire-Boltt Ring 3 enables you to make and receive calls directly from your watch via the built-in speaker and microphone. This smartwatch features a dial pad, option to access recent calls &amp; sync your phone’s contacts.;【1.8 inch HD Display】- This smartwatch has a 1.8” TFT LCD Full Touch Display with a 2D High Hardness Glass for super protection and a high resolution of 240*286 pixels with a Rotating Button for smooth usage|【118 Sports Modes】- Be your own coach while you can track over 118 sports mode with professional analisys. 【Real Time Health Tracking】- With an advanced intellegent algorithm combined with optical heart rate sensor to monitor your heart rate all day, even during exercise. Track your blood oxygen (SpO2) levels and indicate a healthy life;【Full Metal Body】- This watch is long lasting and durable with its metal body feature 【Voice Assistant】- Command your mobile phone with your smartwatch, the watch has a voice assistant built in to make work easy and fast|【Built In Mic &amp; Speaker】- Enjoy listening to your favourite tunes on the watch and experience HD Calling through the built in Mic;【Smart Notification】- Get all your mobile phone notifications on the watch and stay updates about trends, meeting emails and much more. 【Remotely access smartphone features】- Click pictures, change music tracks on the watch with a single touch.; 【360 Health Ecosystem】- With this watch track your heart rate, calorie, step count and multiple sports modes with easy touch;【Play Games On Your Wrist】- Play 2 mini games in your pastime or leisure time.|【Multiple Watch Faces &amp; Smart Controls】 - The Smartwatch has multiple Watch Faces;【How to activate Bluetooth Calling】-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backup|【Superior Battery】- Charge the watch for 90 mins merely for 3 days of exquisite battery life.Band Width:20 millimeters.Water resistance depth:1 meters</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</si>
  <si>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</si>
  <si>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</si>
  <si>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</si>
  <si>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</si>
  <si>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</si>
  <si>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</si>
  <si>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</si>
  <si>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</si>
  <si>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</si>
  <si>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</si>
  <si>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</si>
  <si>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</si>
  <si>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</si>
  <si>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https://www.amazon.in/Tecno-Spark-Storage-Expandable-Processor/dp/B0B56YRBNT/ref=sr_1_153?qid=1672895791&amp;s=electronics&amp;sr=1-153</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</si>
  <si>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</si>
  <si>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</si>
  <si>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</si>
  <si>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</si>
  <si>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</si>
  <si>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</si>
  <si>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</si>
  <si>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 7mm Plastic Tip with Conductive material compatible with iPhones, iPad, Android Phones, Android Tabs, Microsoft Surface etc|DIMENSIONS - 168mm Length. Comes with 6 Months Warranty</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</si>
  <si>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</si>
  <si>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</si>
  <si>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</si>
  <si>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</si>
  <si>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</si>
  <si>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_x0096_ 7mm Plastic Tip with Conductive material compatible with iPhones, iPad, Android Phones, Android Tabs, Microsoft Surface etc.|DIMENSIONS - 168mm Length. Comes with 6 Months</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</si>
  <si>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</si>
  <si>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</si>
  <si>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</si>
  <si>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</si>
  <si>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https://www.amazon.in/10W-Charger-Cable-Meter-Black/dp/B085CZ3SR1/ref=sr_1_164?qid=1672895791&amp;s=electronics&amp;sr=1-164</t>
  </si>
  <si>
    <t>B09YV3K34W</t>
  </si>
  <si>
    <t>【Bluetooth Calling Watch】- Fire-Boltt Talk 2 smart watch enables you to make and receive calls directly from your watch via the built-in speaker and microphone. This smartwatch features a dial pad, option to access recent calls &amp; sync your phone’s contacts.;【Dual Button Technology】- This smart watch with call function has dual buttons to carry out the tasks more efficiently and easily. Use the first button to change the menu style and to return to the first page, use the second button to quickly land to the exercise page|【Voice Assistant】- Command your mobile phone with your smartwatch, the watch has a voice assistant built in to make work easy and fast. Tap on the AI feature to activate the mobile phone voice assistant and make calls smoothly, or hear the weather update;【60 Sports Modes】- Track 60 different sports mode like running, walking, climbing, kabbadi, cricket and many more, get the benefit of every sweat and calorie lost【IP68 Water Resistant】- This smartwatch can withstand dust, spills, raindrops and is sweatproof too.|【Built In Mic &amp; Speaker】- Enjoy listening to your favour ite tunes on the watch and experience HD Calling through the built in Mic;【1.28 inch HD Display】- This smartwatch has a 1.28” TFT LCD Full Touch Display with a 2D High Hardness Glass for super protection and a high resolution of 240*240 pixels 【Full Metal Body】- This watch is long lasting and durable with its metal body feature|【SPo2 Monitoring】- Monitor your blood oxygen levels any time anywhere. 【360 Health Ecosystem】- With this watch track your heart rate, calorie, step count and multiple sports modes with easy touch;【Play Games On Your Wrist】- Play 2 mini games in your pastime or leisure time.; 【Smart Notification】- Get all your mobile phone notifications on the watch and stay updates about trends, meeting emails and much more. 【Remotely access smartphone features】-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</si>
  <si>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</si>
  <si>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</si>
  <si>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</si>
  <si>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</si>
  <si>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</si>
  <si>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</si>
  <si>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</si>
  <si>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</si>
  <si>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</si>
  <si>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</si>
  <si>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</si>
  <si>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</si>
  <si>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</si>
  <si>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</si>
  <si>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</si>
  <si>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</si>
  <si>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</si>
  <si>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</si>
  <si>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</si>
  <si>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</si>
  <si>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</si>
  <si>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</si>
  <si>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</si>
  <si>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</si>
  <si>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</si>
  <si>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‎Smartwatch, Magnetic Charger, User Manual, Warranty Card; Connectivity Technology: Usb</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</si>
  <si>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</si>
  <si>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</si>
  <si>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</si>
  <si>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</si>
  <si>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</si>
  <si>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</si>
  <si>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</si>
  <si>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</si>
  <si>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</si>
  <si>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</si>
  <si>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</si>
  <si>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</si>
  <si>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</si>
  <si>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</si>
  <si>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</si>
  <si>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</si>
  <si>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</si>
  <si>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</si>
  <si>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</si>
  <si>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</si>
  <si>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</si>
  <si>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</si>
  <si>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</si>
  <si>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</si>
  <si>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</si>
  <si>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</si>
  <si>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</si>
  <si>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</si>
  <si>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</si>
  <si>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</si>
  <si>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</si>
  <si>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</si>
  <si>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</si>
  <si>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</si>
  <si>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</si>
  <si>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</si>
  <si>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 Snapdragon™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</si>
  <si>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</si>
  <si>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</si>
  <si>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</si>
  <si>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</si>
  <si>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</si>
  <si>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https://www.amazon.in/Noise-Advanced-Bluetooth-Brightness-Smartwatch/dp/B0B6BLTGTT/ref=sr_1_202?qid=1672895806&amp;s=electronics&amp;sr=1-202</t>
  </si>
  <si>
    <t>https://www.amazon.in/A400-Type-C-Cable-Meter-Black/dp/B077Z65HSD/ref=sr_1_204?qid=1672895806&amp;s=electronics&amp;sr=1-204</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</si>
  <si>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</si>
  <si>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</si>
  <si>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</si>
  <si>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down:We’ve custom engineered our OnePlus Warp Charge 30 Power Adapter to be surprisingly clever. Integrated circuits are built into the adapter itself, so heat is dissipated before it ever reaches your phone.|FASTER AND SAFER:This means faster, safer, and cooler charging that never slows down – even while you’re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</si>
  <si>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</si>
  <si>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</si>
  <si>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</si>
  <si>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</si>
  <si>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https://www.amazon.in/PTron-Force-Bluetooth-Smartwatch-Waterproof/dp/B0B53QLB9H/ref=sr_1_209?qid=1672895806&amp;s=electronics&amp;sr=1-209</t>
  </si>
  <si>
    <t>B0BDYW3RN3</t>
  </si>
  <si>
    <t>SanDisk Ultra® microSDXC™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</si>
  <si>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</si>
  <si>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https://www.amazon.in/SanDisk-Ultra%C2%AE-microSDXCTM-Warranty-Smartphones/dp/B0BDYW3RN3/ref=sr_1_210?qid=1672895806&amp;s=electronics&amp;sr=1-210</t>
  </si>
  <si>
    <t>B0B3RS9DNF</t>
  </si>
  <si>
    <t>https://www.amazon.in/Fire-Boltt-Phoenix-Bluetooth-Calling-Monitoring/dp/B0B3RS9DNF/ref=sr_1_214?qid=1672895806&amp;s=electronics&amp;sr=1-214</t>
  </si>
  <si>
    <t>B09QS9X16F</t>
  </si>
  <si>
    <t>Redmi Note 11 (Space Black, 6GB RAM, 64GB Storage) | 90Hz FHD+ AMOLED Display | Qualcomm® Snapdragon™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</si>
  <si>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</si>
  <si>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</si>
  <si>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</si>
  <si>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</si>
  <si>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</si>
  <si>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</si>
  <si>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</si>
  <si>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</si>
  <si>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</si>
  <si>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</si>
  <si>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</si>
  <si>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 HD display: Get a clearer picture with the premium 1.85”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</si>
  <si>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https://www.amazon.in/Boult-Bluetooth-Smartwatch-Brightness-Waterproof/dp/B0BMVWKZ8G/ref=sr_1_230?qid=1672895814&amp;s=electronics&amp;sr=1-230</t>
  </si>
  <si>
    <t>B0BD92GDQH</t>
  </si>
  <si>
    <t>OnePlus Nord Watch with 1.78” AMOLED Display, 60 Hz Refresh Rate, 105 Fitness Modes, 10 Days Battery, SPO2, Heart Rate, Stress Monitor, Women Health Tracker &amp; Multiple Watch Face [Midnight Black]</t>
  </si>
  <si>
    <t>【1.78" AMOLED display】500nit peak brightness &amp; 368*448 resolution with 326 PPI. The display content of the screen can be clearly seen even under strong sunlight.|【60 Hz Refresh Rate】Fast &amp; Smooth Experience with 60Hz smoothest smart watch refresh rate &amp; minimalist round 2.5D. Reduces motion blur and makes action feel smoother, can make the picture appear sharper, and can make smartwatches feel more responsive and speedy.|【N Health App Integration】: Download this mobile application on your smartphone &amp; connect with your Nord Smartwatch. You can easily check insights of your health stats. 【105 fitness modes with 2 automatically detect modes】Choose your own exercise mode from a long list including Yoga, Meditation, Cricket &amp; various others.|【Enhanced Battery Life】Long-lasting 30 days standby time with 10 days of battery life. Call &amp; message notification and Music &amp; camera control. 【IP68 waterproof &amp; dust resistant】 【Metal watch case】with OnePlus watch Sporty strap – Fashionable smartwatch|【One Tap Measurement】Smart health monitoring technology – SpO2 Blood Oxygen, 24 hour heart-rate, Sleep tracking, All day stress tracking and many more. 【Women health tracking】- Tracking menstrual cycles digitally for early prediction of periods.  【Bluetooth 5.2 】- Helps highly reduce the power consumption of the watch and brings better stable and fast transmission Android &amp; IOS compatible ( Android 6.0 &amp; IOS 11.0 and above).</t>
  </si>
  <si>
    <t>https://www.amazon.in/OnePlus-Display-Refresh-Multiple-Midnight/dp/B0BD92GDQH/ref=sr_1_231?qid=1672895814&amp;s=electronics&amp;sr=1-231</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</si>
  <si>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</si>
  <si>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</si>
  <si>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</si>
  <si>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</si>
  <si>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</si>
  <si>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</si>
  <si>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</si>
  <si>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</si>
  <si>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</si>
  <si>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</si>
  <si>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</si>
  <si>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</si>
  <si>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https://www.amazon.in/Fire-Boltt-Smartwatch-Sports-Tracking-Silver/dp/B09YV463SW/ref=sr_1_242?qid=1672895821&amp;s=electronics&amp;sr=1-242</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</si>
  <si>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</si>
  <si>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</si>
  <si>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</si>
  <si>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</si>
  <si>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</si>
  <si>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</si>
  <si>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</si>
  <si>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</si>
  <si>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</si>
  <si>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</si>
  <si>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</si>
  <si>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</si>
  <si>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</si>
  <si>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</si>
  <si>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</si>
  <si>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</si>
  <si>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</si>
  <si>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</si>
  <si>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</si>
  <si>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</si>
  <si>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</si>
  <si>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</si>
  <si>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</si>
  <si>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</si>
  <si>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</si>
  <si>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</si>
  <si>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</si>
  <si>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</si>
  <si>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</si>
  <si>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</si>
  <si>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</si>
  <si>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</si>
  <si>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</si>
  <si>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</si>
  <si>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</si>
  <si>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【PERFECT FOR ANY PLACES】: Perfect for watching movies &amp; enjoying music in the bedroom, cooking in the kitchen, exercising in the gym and working in the office. Fine details and craftsmanship, make life easier. Lazy bracket for you, free your hands.|【HEAVY DUTY &amp; STURDY HOLDER】: Large Base for Stable Mounting without Vibrations, tight and bendy arm, secures your smart phone, iPad or tablet and other electronic devices tightly to prevent the unit from falling or moving around.|【360 º ROTATION】: Designed with flexible long arms clamp, working at 360-degrees, making holder adjustable to view your device at any angle.|【COMPATIBILITY】: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Switch.|【QUALITY GUARANTEE】: If there is any quality problem of the product itself, do not hesitate to contact us immediately. We will solve the issue to your satisfaction. Customer service is our business philosophy.</t>
  </si>
  <si>
    <t>https://www.amazon.in/Sounce-Adjustable-Universal-Flexible-Gooseneck/dp/B096TWZRJC/ref=sr_1_269?qid=1672895828&amp;s=electronics&amp;sr=1-269</t>
  </si>
  <si>
    <t>B09GP6FBZT</t>
  </si>
  <si>
    <t>OpenTech®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</si>
  <si>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</si>
  <si>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</si>
  <si>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</si>
  <si>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</si>
  <si>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</si>
  <si>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</si>
  <si>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</si>
  <si>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</si>
  <si>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</si>
  <si>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</si>
  <si>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</si>
  <si>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</si>
  <si>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</si>
  <si>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</si>
  <si>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</si>
  <si>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</si>
  <si>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</si>
  <si>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</si>
  <si>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</si>
  <si>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</si>
  <si>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</si>
  <si>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</si>
  <si>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</si>
  <si>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</si>
  <si>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</si>
  <si>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</si>
  <si>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</si>
  <si>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</si>
  <si>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 TruViewTM display : See the clear, bigger picture on the 1.75’’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</si>
  <si>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</si>
  <si>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</si>
  <si>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</si>
  <si>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</si>
  <si>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</si>
  <si>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</si>
  <si>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</si>
  <si>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</si>
  <si>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</si>
  <si>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</si>
  <si>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</si>
  <si>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</si>
  <si>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 20W Fast Charger with Cable: Fast Charger equipped with 20W PD 3.0 USB Type C power delivery with cable, PD 3.0 Quick-Charge USB C port provides Max 20W output power, charge your device up to 3x.|✅ Wide Compatibility: Fast charger for iPhone 13 / 13 Mini / 13 Pro / 13 Pro Max / 12 / 12 Mini / 12 Pro / 12 Pro Max, iPhone SE, iPhone 11 / 11 Pro / 11 Pro Max, iPhone XS / XS Max / XR / X, iPad Pro 12.9 / 11 / iPad Air 3 / iPad Mini(2019).|✅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 Compact &amp; Lightweight: Extremely compact size &amp; travel-friendly design fits into your pocket or bag easily without occupying too much space and ensures incredible portability wherever you go. Handy for home, office, and vacations.|✅Sales Package: 1 x 20w C-Type Adapter, 1 x C to Lightning Cable (1 Meter)</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</si>
  <si>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</si>
  <si>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</si>
  <si>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</si>
  <si>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</si>
  <si>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</si>
  <si>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https://www.amazon.in/LIRAMARK-Webcam-Blocker-Computer-MacBook/dp/B08BQ947H3/ref=sr_1_317?qid=1672895842&amp;s=electronics&amp;sr=1-317</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</si>
  <si>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</si>
  <si>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</si>
  <si>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</si>
  <si>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</si>
  <si>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</si>
  <si>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</si>
  <si>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</si>
  <si>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</si>
  <si>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</si>
  <si>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</si>
  <si>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</si>
  <si>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</si>
  <si>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</si>
  <si>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</si>
  <si>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</si>
  <si>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</si>
  <si>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https://www.amazon.in/iQOO-Sunset-Storage-Qualcomm-Snapdragon/dp/B07WHS7MZ1/ref=sr_1_336?qid=1672895842&amp;s=electronics&amp;sr=1-336</t>
  </si>
  <si>
    <t>B0BBVKRP7B</t>
  </si>
  <si>
    <t>SHREENOVA ID116 Plus Bluetooth Fitness Smart Watch for Men Women and Kids Activity Tracker (Black)</t>
  </si>
  <si>
    <t>✅ All-day activity tracking: Track steps, distance, calories burned, active minutes, you can check daily activity and time on OLED display or APP|✅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</si>
  <si>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</si>
  <si>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</si>
  <si>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</si>
  <si>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</si>
  <si>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</si>
  <si>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</si>
  <si>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</si>
  <si>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</si>
  <si>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</si>
  <si>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</si>
  <si>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</si>
  <si>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</si>
  <si>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</si>
  <si>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</si>
  <si>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</si>
  <si>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</si>
  <si>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https://www.amazon.in/10WERUN-Bluetooth-Smartwatch-Wireless-Fitness/dp/B09RFB2SJQ/ref=sr_1_367?qid=1672895857&amp;s=electronics&amp;sr=1-367</t>
  </si>
  <si>
    <t>B0B82YGCF6</t>
  </si>
  <si>
    <t>Tokdis MX-1 Pro Bluetooth Calling Smartwatch - 1.69” LCD Display, Multiple Watch Faces, Sleep Monitor, Heart &amp; SpO2 Monitoring, Multiple Sports Modes, Water Resistant</t>
  </si>
  <si>
    <t>【Bluetooth Calling Watch】- Tokdis MX-1 Pro enables you to make and receive calls directly from your watch via the built-in speaker and microphone. This smartwatch features a dial pad, option to access recent calls &amp; manually sync your phone’s contacts.|【How to activate Bluetooth Calling】- To enable Bluetooth Calling Function, first connect it to the Fitpro app. Once connected, manually go to the phone's Bluetooth settings and pair this smartwatch. Upon pairing, you will get a notification.|【1.69 inch HD Full Touch】 - Large Display of 1.69 Inches Size 【Full Metal Body】 - This Watch features Sleek &amp; Fashionable Metal Body The one-click control mode and honey comb menu helps you quickly navigate|【Music Experience On The Go】 - Equipped with an inbuilt speaker, this smartwatch lets you play your favourite tracks on the Watch without having to take out your phone.|【Multiple Watch Faces &amp; Smart Controls】 - The Smartwatch has unlimited Watch Faces on cloud. It has Smart controls like Weather Forecast, Alarm and many more. Get a 6 Months assured warranty from Tokdis in case of any Manufacturing Defect (Just Contact our Customer Care).</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</si>
  <si>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</si>
  <si>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</si>
  <si>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</si>
  <si>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</si>
  <si>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</si>
  <si>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</si>
  <si>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</si>
  <si>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</si>
  <si>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</si>
  <si>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</si>
  <si>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</si>
  <si>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</si>
  <si>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 AMOLED Display: See everything that’s going on in your day on the big, bright Always On Display with 368*448 pixel resolution and 500 nits brightness|Noise Health Suite: Stay in the loop with what’s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</si>
  <si>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</si>
  <si>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</si>
  <si>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</si>
  <si>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</si>
  <si>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</si>
  <si>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</si>
  <si>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</si>
  <si>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</si>
  <si>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</si>
  <si>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🎁【18W Fast Charging- Always Speedy】Two ports pump out up to 18 watts of power, enabling simultaneous fast charging for two devices. 18W Type-C output port to give the latest devices a full-speed charge.|🎁【Universal Compatibility】Support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more.|🎁【PE2.0,PD 3.0 &amp; QC 3.0】: Equipped with a 18W Power Delivery,3.0 port, and an 18W Quick Charge 3.0 port, the charger allows for charging two devices simultaneously|🎁【Safe and Reliable】This UL-certified USB C charger With the built-in intelligent chip, the wall charger matches the current as your device needs automatically, ensure safety and protection for your devices. No matter how fast it charges, you won’t have to worry about your phone heating up at all. A combination of 6 safety features that work together to provide ultimate protection for you and your devices|🎁【 Ultra-Fast Type-C Cable Included】 Oraimo 18W fast charger adapter comes with a fast charging type-c cable, It enables full speed charging and syncing to new Type-C models in the market.</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</si>
  <si>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</si>
  <si>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</si>
  <si>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</si>
  <si>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Electronics|Mobiles&amp;Accessories|MobileAccessories|Décor|PhoneCharms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</si>
  <si>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</si>
  <si>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</si>
  <si>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</si>
  <si>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</si>
  <si>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</si>
  <si>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</si>
  <si>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</si>
  <si>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</si>
  <si>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</si>
  <si>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</si>
  <si>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</si>
  <si>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</si>
  <si>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</si>
  <si>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</si>
  <si>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</si>
  <si>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</si>
  <si>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</si>
  <si>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https://www.amazon.in/POPIO-Compatible-iPhone-Transparent-Installation/dp/B0B5YBGCKD/ref=sr_1_417?qid=1672895872&amp;s=electronics&amp;sr=1-417</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</si>
  <si>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</si>
  <si>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</si>
  <si>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</si>
  <si>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</si>
  <si>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https://www.amazon.in/Amozo-iPhone-13-Polycarbonate-Transparent/dp/B09MY4W73Q/ref=sr_1_419?qid=1672895872&amp;s=electronics&amp;sr=1-419</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</si>
  <si>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</si>
  <si>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</si>
  <si>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</si>
  <si>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</si>
  <si>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</si>
  <si>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</si>
  <si>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</si>
  <si>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</si>
  <si>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</si>
  <si>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</si>
  <si>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</si>
  <si>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【Compatibility】 This screen protector case is compatible with Samsung Galaxy Watch 4, 44mm. [NOTE: WATCH IS NOT INCLUDED]|【Shock-Absorbing】 Made of TPU Material, anti-scratch plastic, thin case cover the full front and curved edges of the watch ,offer full protection for your watch against scratches, drop and bump.|【Light Weight】 lightweight and Slim protective bumper case cover shell is perfect for your watch.|【Easy Installation】 Easy to install and make off, When charging your Watch, you do not need to remove the watch case.|【Touch Experience】 Case is High-Definition Transparent and gives you 99.99% HD clarity with true color reproduction and gives you the original touch experience.</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</si>
  <si>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</si>
  <si>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</si>
  <si>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</si>
  <si>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</si>
  <si>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https://www.amazon.in/Samsung-Galaxy-Cloud-128GB-Storage/dp/B08VB57558/ref=sr_1_434?qid=1672895879&amp;s=electronics&amp;sr=1-434</t>
  </si>
  <si>
    <t>https://www.amazon.in/Ambrane-ABDC-10-Charging-Transmission-Compatible/dp/B09CMP1SC8/ref=sr_1_439?qid=1672895879&amp;s=electronics&amp;sr=1-439</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</si>
  <si>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</si>
  <si>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</si>
  <si>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</si>
  <si>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</si>
  <si>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</si>
  <si>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</si>
  <si>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</si>
  <si>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</si>
  <si>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</si>
  <si>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</si>
  <si>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</si>
  <si>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‎Smartwatch, Magnetic Charger, User Manual, Warranty Card; Connectivity Technology: Usb; Item Type Name: Smartwatch; Compatible Devices: Smartphone</t>
  </si>
  <si>
    <t>https://www.amazon.in/Noise-ColorFit-Monitoring-Smartwatches-Electric/dp/B09NVPJ3P4/ref=sr_1_457?qid=1672895886&amp;s=electronics&amp;sr=1-457</t>
  </si>
  <si>
    <t>B0B3NDPCS9</t>
  </si>
  <si>
    <t>Fire-Boltt is India' No 1 Wearable Watch Brand Q122 by IDC Worldwide quarterly wearable device tracker Q122.【Bluetooth Calling Watch】- Fire-Boltt Visionary enables you to make and receive calls directly from your watch via the built-in speaker and microphone. This smartwatch features a dial pad option to access recent calls &amp; sync your phone’s contacts.;|【Over 100 Sports Modes】 - Walking, Running to Tedious Workout modes we have covered it all. Fire-Boltt Visionary smartwatch does a wonderful tracking job to each sports mode the user carries out in the day or at the gym.;【Connect TWS On The Go】- This smartwatch has an internal storage memory of about 128MB to store your songs and listen to local music on your bluetooth headset|【AI Voice Assistance】- Command your watch and let the magic happen. This special technology is in the Fire-Boltt Visionary Smartwatch;【Smart 360 Health Tracking】 - The Fire-Boltt Visionary Smartwatch comes with a complete package of health tracking features. From SpO2 tracking to real time heart rate tracking stay fit always. With the breathing exercise and women health the smartwatch is fit for each use and purpose|【IP68 Water Resistant】 - The smartwatch is fit to withstand sweat, dust, dirt and sand and is resistant to submersion upto a maximum depth of 1m of freshwater for up to twenty minutes.;【Smart Notifications】 - Keeping you notified on every second of all activities through your social media connects. Do not miss out on any notification that you receive on smartphone.; 【Remote Controls】 - Click numerous pictures and listen to your favourite songs by just one touch. 【Basic Reminders】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Silicone|【1.78" AMOLED Display】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</si>
  <si>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</si>
  <si>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</si>
  <si>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</si>
  <si>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</si>
  <si>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</si>
  <si>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</si>
  <si>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</si>
  <si>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【HATE IT WHEN CARRY A HEAVY SELFIE STICK?】Yep, screwing a monopod selfie stick with a heavy tripod, is a pain. Our lightweight foldable selfie stick was designed to eliminate this to make a ordinary Selfie Stick lighter but more functional.|【HOW IS THE TRIPOD INTEGRATED AS ONE?】Gently slide the WIRELESS REMOTE from stick .It takes 3 seconds to make the TRIPOD appear just simply unfold the bottom part of the selfie stick. Ingenious design which makes the tripod open or close in one step. Fantastic way to start your selfie happiness.|【HOW DOES IT FIT VARIOUS OCCASIONS?】Extendable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situation|【Widely Compatible &amp; Perfect Match 】The Selfie Stick is suitable for Most Smart Phone in Market, IPhone x 8 6 7 Plus Android Samsung Galaxy S7 S8 Blackberry Huawei etc. No Need to Worry About Incompatibility Issues. Fits 3.5-6.2'' screen devices like iOS &amp; Android and Samsung.(no need to download extra APP.)|【Long Battery Life】Using With CR1632 (120mah) Replaceable Lithium Metal Cell for The Remote, Last Up 7500 photos can taken and Convenient Replace, also you can easily Buy This Battery in Market.</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</si>
  <si>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</si>
  <si>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</si>
  <si>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</si>
  <si>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 6.2 times, OnePlus Nord - 4.3 times.|20W Fast Charging Output – Thunderous 20 Watts PD and 3.0 QC output for boosted charging speed, so that you always thrive on high speed. It carries a substantial capacity to charge your mobile 50% in as quickly as 30 minutes on average.|20W Fast Charging Input – The powerbank itself can get charged in 12 to 13 hours as it has Power Delivery Technology which supports 20W fast charging input via Type C port.|Charge 3 Devices at once –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</si>
  <si>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</si>
  <si>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</si>
  <si>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</si>
  <si>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</si>
  <si>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</si>
  <si>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</si>
  <si>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</si>
  <si>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</si>
  <si>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</si>
  <si>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</si>
  <si>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</si>
  <si>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</si>
  <si>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</si>
  <si>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https://www.amazon.in/Aluminium-Adjustable-Mobile-Foldable-Smartphones/dp/B088ZFJY82/ref=sr_1_493?qid=1672895894&amp;s=electronics&amp;sr=1-493</t>
  </si>
  <si>
    <t>B0B4F4QZ1H</t>
  </si>
  <si>
    <t>Samsung Galaxy M13 5G (Stardust Brown, 6GB, 128GB Storage) | 5000mAh Battery | Upto 12GB RAM with RAM Plus</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</si>
  <si>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</si>
  <si>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</si>
  <si>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</si>
  <si>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</si>
  <si>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</si>
  <si>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</si>
  <si>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</si>
  <si>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【2022 latest iPad Magnetic Charging】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worries|【Ultra-High-Precision 0-delay】KINGONE's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paper|【Excellent Easy of Use】This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applications|【Tilt Sensing &amp; Malfunction Prevention】KINGONE's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classmates!|【Compatible Models &amp; Warranty】Pay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</si>
  <si>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https://www.amazon.in/Wireless-Generation-Sensitive-Rejection-Compatible/dp/B0B9BD2YL4/ref=sr_1_500?qid=1672895894&amp;s=electronics&amp;sr=1-500</t>
  </si>
  <si>
    <t>B071Z8M4KX</t>
  </si>
  <si>
    <t>boAt BassHeads 100 in-Ear Wired Headphones with Mic (Black)</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</si>
  <si>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</si>
  <si>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</si>
  <si>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</si>
  <si>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 Pair technology that powers on these true wireless earbuds as soon as you open the case cover.|IP Rating- The earbuds' body comes protected with IPX4 rating for water and sweat resistance.</t>
  </si>
  <si>
    <t>https://www.amazon.in/Airdopes-141-Playtime-Resistance-Bluetooth/dp/B09N3ZNHTY/ref=sr_1_2?qid=1672902995&amp;s=computers&amp;sr=1-2</t>
  </si>
  <si>
    <t>https://www.amazon.in/Fire-Boltt-Phoenix-Bluetooth-Calling-Monitoring/dp/B0B3RRWSF6/ref=sr_1_3?qid=1672902995&amp;s=computers&amp;sr=1-3</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</si>
  <si>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</si>
  <si>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</si>
  <si>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</si>
  <si>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</si>
  <si>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</si>
  <si>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</si>
  <si>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</si>
  <si>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</si>
  <si>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</si>
  <si>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</si>
  <si>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</si>
  <si>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</si>
  <si>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</si>
  <si>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</si>
  <si>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</si>
  <si>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</si>
  <si>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</si>
  <si>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</si>
  <si>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</si>
  <si>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</si>
  <si>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</si>
  <si>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</si>
  <si>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</si>
  <si>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 ★-------&gt;EASY TO FOLD OUT: Clever folding design allows the legs to fold flat so you can easily put it behind the door or the corner of home when not in use. No need to install everytime you use.|&gt;★★-------&gt;LARGE,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 ★-------&gt;MULTI-PURPOSE LAPTOP DESK: Laptop bed tray is perfect lap desks for work, games, reading, eating and school from the comfort of your bed, floor, sofa or couch. Great work from home gift &amp; bed accessories!|&gt; ★ ★-------&gt;NON-SLIP BOTTOM DESIGN: The steel feet are covered with black sponge for good anti-slip effect to keep your laptop safe without slipping when in tilted position. Also provides you a comfort and stability while using.|&gt;★ ★-------&gt;ENVIRONMENTAL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</si>
  <si>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https://www.amazon.in/SKE-Portable-Multifunction-Laptop-Table-Children/dp/B0B72BSW7K/ref=sr_1_9?qid=1672902995&amp;s=computers&amp;sr=1-9</t>
  </si>
  <si>
    <t>https://www.amazon.in/SanDisk-Ultra%C2%AE-microSDXCTM-Warranty-Smartphones/dp/B0BDRVFDKP/ref=sr_1_10?qid=1672902995&amp;s=computers&amp;sr=1-10</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</si>
  <si>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</si>
  <si>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</si>
  <si>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</si>
  <si>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</si>
  <si>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</si>
  <si>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</si>
  <si>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</si>
  <si>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</si>
  <si>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 to 6.7”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</si>
  <si>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</si>
  <si>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</si>
  <si>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</si>
  <si>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Ω|Frequency response 20Hz-20kHz|Cable length 1.2m|Country of Origin: China</t>
  </si>
  <si>
    <t>https://www.amazon.in/Zebronics-Zeb-Bro-Wired-Earphone/dp/B07T5DKR5D/ref=sr_1_14?qid=1672902995&amp;s=computers&amp;sr=1-14</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</si>
  <si>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</si>
  <si>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</si>
  <si>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</si>
  <si>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</si>
  <si>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https://www.amazon.in/Rockerz-450-Wireless-Bluetooth-Headphone/dp/B07PR1CL3S/ref=sr_1_16?qid=1672902995&amp;s=computers&amp;sr=1-16</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</si>
  <si>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</si>
  <si>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</si>
  <si>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</si>
  <si>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 20 kHz. One-Button Universal Remote with Mic|Quick Launch Access to Google Assistant / Siri|Ultra Lightweight and Comfortable with 3 sizes of ear tips|High Fidelity Twin Cable|What's in the box : 1 pair JBL C50HI headphone, 3 sets of ear tips (S, M, L), 1 Warranty and safety card</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</si>
  <si>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</si>
  <si>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</si>
  <si>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</si>
  <si>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https://www.amazon.in/LAPSTER-Charger-Protectors-Charging-Protective/dp/B08W56G1K9/ref=sr_1_19?qid=1672902995&amp;s=computers&amp;sr=1-19</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</si>
  <si>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</si>
  <si>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</si>
  <si>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</si>
  <si>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</si>
  <si>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</si>
  <si>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</si>
  <si>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</si>
  <si>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</si>
  <si>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</si>
  <si>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</si>
  <si>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</si>
  <si>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don’t need to worry about its durability. With a life of over 30 lakhs clicks, this wireless mouse is highly durable and delivers optimal work quality to the users.</t>
  </si>
  <si>
    <t>https://www.amazon.in/Portronics-Wireless-Optical-Orientation-Adjustable/dp/B0B296NTFV/ref=sr_1_23?qid=1672902995&amp;s=computers&amp;sr=1-23</t>
  </si>
  <si>
    <t>https://www.amazon.in/Noise-ColorFit-Display-Monitoring-Smartwatches/dp/B09NVPSCQT/ref=sr_1_25?qid=1672902996&amp;s=computers&amp;sr=1-25</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</si>
  <si>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</si>
  <si>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</si>
  <si>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</si>
  <si>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</si>
  <si>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https://www.amazon.in/Boult-Audio-X1-Earphones-Cancellation/dp/B07TCN5VR9/ref=sr_1_28?qid=1672902996&amp;s=computers&amp;sr=1-28</t>
  </si>
  <si>
    <t>B00ZYLMQH0</t>
  </si>
  <si>
    <t>Dell KB216 Wired Multimedia USB Keyboard with Super Quite Plunger Keys with Spill-Resistant – Black</t>
  </si>
  <si>
    <t>Computers&amp;Accessories|Accessories&amp;Peripherals|Keyboards,Mice&amp;InputDevices|Keyboards</t>
  </si>
  <si>
    <t>DEVICE TYPE: Keyboard|CONNECTIVITY TECHNOLOGY: Wired|INTERFACE: USB|HOT KEYS FUNCTION: Volume, Mute, Play/Pause, Backward, Forward|KEYS STYLE: Chiclet</t>
  </si>
  <si>
    <t>https://www.amazon.in/Dell-KB216-Wired-Multimedia-Keyboard/dp/B00ZYLMQH0/ref=sr_1_29?qid=1672902996&amp;s=computers&amp;sr=1-29</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</si>
  <si>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</si>
  <si>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</si>
  <si>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</si>
  <si>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</si>
  <si>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</si>
  <si>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</si>
  <si>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</si>
  <si>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</si>
  <si>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</si>
  <si>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https://www.amazon.in/Boya-Omnidirectional-Lavalier-Condenser-Microphone/dp/B076B8G5D8/ref=sr_1_32?qid=1672902996&amp;s=computers&amp;sr=1-32</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</si>
  <si>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</si>
  <si>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</si>
  <si>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</si>
  <si>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</si>
  <si>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</si>
  <si>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</si>
  <si>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</si>
  <si>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</si>
  <si>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</si>
  <si>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</si>
  <si>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</si>
  <si>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</si>
  <si>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</si>
  <si>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</si>
  <si>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</si>
  <si>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</si>
  <si>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</si>
  <si>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</si>
  <si>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you’re a boAthead|Plug into convenience with the 3.5mm angled jack to begin your journey|1 year warranty from the date of purchase</t>
  </si>
  <si>
    <t>https://www.amazon.in/BassHeads-152-ToneSecure-Braided-Earphones/dp/B07KY3FNQP/ref=sr_1_37?qid=1672902996&amp;s=computers&amp;sr=1-37</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</si>
  <si>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</si>
  <si>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</si>
  <si>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</si>
  <si>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</si>
  <si>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</si>
  <si>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</si>
  <si>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</si>
  <si>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</si>
  <si>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</si>
  <si>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</si>
  <si>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</si>
  <si>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</si>
  <si>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</si>
  <si>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</si>
  <si>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</si>
  <si>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</si>
  <si>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</si>
  <si>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</si>
  <si>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</si>
  <si>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</si>
  <si>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</si>
  <si>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</si>
  <si>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</si>
  <si>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</si>
  <si>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</si>
  <si>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</si>
  <si>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https://www.amazon.in/ZEBRONICS-Zeb-Dash-Wireless-Receiver-Buttons/dp/B08YDFX7Y1/ref=sr_1_46?qid=1672902996&amp;s=computers&amp;sr=1-46</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</si>
  <si>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</si>
  <si>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</si>
  <si>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</si>
  <si>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</si>
  <si>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</si>
  <si>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</si>
  <si>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</si>
  <si>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</si>
  <si>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</si>
  <si>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</si>
  <si>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</si>
  <si>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</si>
  <si>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 play-time 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</si>
  <si>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https://www.amazon.in/Boult-Audio-Lightning-Environmental-Cancellation/dp/B0B31BYXQQ/ref=sr_1_50?qid=1672902997&amp;s=computers&amp;sr=1-50</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</si>
  <si>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</si>
  <si>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</si>
  <si>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</si>
  <si>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drive’s durable and stylish metal casing keeps your important files safe, while the included SanDisk SecureAccess software lets you password-protect and encrypt your sensitive files|Compatible with both USB 2.0 and 3.0 ports, Operating temperature32° – 95°F (0° – 35°C)|Country of Origin: Malaysia|9th Generation Intel Core i9 ProcessorsProducts formerly Coffee LakeDesktopLithography14 nmProcessor Base Frequency3.60 GHzTDP95 WIntel UHD Graphics 630350 MHz|BX80684I99900K</t>
  </si>
  <si>
    <t>https://www.amazon.in/SanDisk-Ultra-Flair-USB-64GB/dp/B07SLMR1K6/ref=sr_1_52?qid=1672902997&amp;s=computers&amp;sr=1-52</t>
  </si>
  <si>
    <t>https://www.amazon.in/boAt-Display-Multiple-Monitoring-Charcoal/dp/B09MQSCJQ1/ref=sr_1_53?qid=1672902997&amp;s=computers&amp;sr=1-53</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</si>
  <si>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</si>
  <si>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</si>
  <si>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</si>
  <si>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</si>
  <si>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</si>
  <si>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</si>
  <si>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</si>
  <si>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</si>
  <si>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</si>
  <si>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</si>
  <si>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</si>
  <si>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</si>
  <si>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</si>
  <si>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 For other installation related query, compatibility issue or any other queries call on toll free no 1800 2094 168 or write us at support.in@tp-link.com</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</si>
  <si>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</si>
  <si>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</si>
  <si>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</si>
  <si>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</si>
  <si>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https://www.amazon.in/boAt-Bassheads-242-Wired-Earphones/dp/B08H9Z3XQW/ref=sr_1_58?qid=1672902997&amp;s=computers&amp;sr=1-58</t>
  </si>
  <si>
    <t>B08LPJZSSW</t>
  </si>
  <si>
    <t>DIGITEK®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</si>
  <si>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</si>
  <si>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</si>
  <si>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https://www.amazon.in/DIGITEK%C2%AE-DTR-260-GT-Flexible/dp/B08LPJZSSW/ref=sr_1_59?qid=1672902997&amp;s=computers&amp;sr=1-59</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</si>
  <si>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</si>
  <si>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</si>
  <si>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</si>
  <si>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</si>
  <si>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</si>
  <si>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</si>
  <si>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https://www.amazon.in/805-Black-Original-Ink-Cartridge/dp/B08CYPB15D/ref=sr_1_62?qid=1672902997&amp;s=computers&amp;sr=1-62</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</si>
  <si>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</si>
  <si>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</si>
  <si>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</si>
  <si>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</si>
  <si>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</si>
  <si>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</si>
  <si>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</si>
  <si>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</si>
  <si>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</si>
  <si>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</si>
  <si>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</si>
  <si>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</si>
  <si>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</si>
  <si>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</si>
  <si>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</si>
  <si>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</si>
  <si>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</si>
  <si>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</si>
  <si>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</si>
  <si>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</si>
  <si>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</si>
  <si>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https://www.amazon.in/Boult-Audio-PowerBuds-Wireless-Waterproof/dp/B08D11DZ2W/ref=sr_1_69?qid=1672902997&amp;s=computers&amp;sr=1-69</t>
  </si>
  <si>
    <t>B07Q7561HD</t>
  </si>
  <si>
    <t>Eveready 1015 Carbon Zinc AA Battery - 10 Pieces</t>
  </si>
  <si>
    <t>Eveready’s Zinc Carbon Battery are considered one of the best battery for remote controls, clocks, small toys, torches, etc.|Highly durable &amp; reliable technology|Available in wide range of sizes - AAA, AA, D, C and 9V sizes</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</si>
  <si>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</si>
  <si>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</si>
  <si>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</si>
  <si>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</si>
  <si>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</si>
  <si>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</si>
  <si>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</si>
  <si>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</si>
  <si>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</si>
  <si>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</si>
  <si>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</si>
  <si>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</si>
  <si>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</si>
  <si>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</si>
  <si>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</si>
  <si>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</si>
  <si>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</si>
  <si>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</si>
  <si>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</si>
  <si>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</si>
  <si>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</si>
  <si>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</si>
  <si>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</si>
  <si>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</si>
  <si>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</si>
  <si>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</si>
  <si>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</si>
  <si>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</si>
  <si>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https://www.amazon.in/Boult-Audio-Curve-Sweatproof-Headphones/dp/B07LG59NPV/ref=sr_1_76?qid=1672902998&amp;s=computers&amp;sr=1-76</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</si>
  <si>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</si>
  <si>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</si>
  <si>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</si>
  <si>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</si>
  <si>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</si>
  <si>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</si>
  <si>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</si>
  <si>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</si>
  <si>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</si>
  <si>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</si>
  <si>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</si>
  <si>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</si>
  <si>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</si>
  <si>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</si>
  <si>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</si>
  <si>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</si>
  <si>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</si>
  <si>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</si>
  <si>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</si>
  <si>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</si>
  <si>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</si>
  <si>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</si>
  <si>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</si>
  <si>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 —— 867 Mbps at 5 GHz and 400 Mbps at 2.4 GHz band;MU-MIMO Technology —— Simultaneously transfers data to multiple devices for 2× faster performance|Boosted Coverage —— Four external antennas equipped with Beamforming technology extend and concentrate the Wi-Fi signals|Access Point Mode —— Supports AP Mode to transform your wired connection into the wireless network;Easy Setup —— Set up your Wi-Fi in minutes with TP-Link Tether app|In an unlikely case of product quality related issue, we may ask you to reach out to brand’s customer service support and seek resolution. We will require brand proof of issue to process replacement request;Control Method: Touch;Security Protocol: 64/128-Bit Wep,Wpa / Wpa2,Wpa-Psk/ Wpa2-Psk Encryption|Operating System: Windows 10linuxmac Oswindows</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</si>
  <si>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</si>
  <si>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</si>
  <si>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</si>
  <si>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</si>
  <si>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</si>
  <si>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</si>
  <si>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</si>
  <si>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</si>
  <si>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32Ω ; Rated power: 5mW|Customer Service: 1800 103 6286, Service is available from 9 a.m. to 9 p.m. local time.</t>
  </si>
  <si>
    <t>https://www.amazon.in/Mi-Earphones-Basic-Mic-Black/dp/B07CD2BN46/ref=sr_1_87?qid=1672902998&amp;s=computers&amp;sr=1-87</t>
  </si>
  <si>
    <t>B07PLHTTB4</t>
  </si>
  <si>
    <t>Zodo 8. 5 inch LCD E-Writer Electronic Writing Pad/Tablet Drawing Board (Paperless Memo Digital Tablet)</t>
  </si>
  <si>
    <t>Size: 8. 5 inch|Good grade</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</si>
  <si>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</si>
  <si>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</si>
  <si>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</si>
  <si>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</si>
  <si>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</si>
  <si>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</si>
  <si>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</si>
  <si>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</si>
  <si>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</si>
  <si>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</si>
  <si>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</si>
  <si>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</si>
  <si>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32Ω.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</si>
  <si>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</si>
  <si>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</si>
  <si>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</si>
  <si>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</si>
  <si>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</si>
  <si>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https://www.amazon.in/ZEBRONICS-Zeb-Astra-20-Wireless-Rechargeable/dp/B0B12K5BPM/ref=sr_1_93?qid=1672902998&amp;s=computers&amp;sr=1-93</t>
  </si>
  <si>
    <t>https://www.amazon.in/GIZGA-Protector-Charging-Protective-G55/dp/B08MTCKDYN/ref=sr_1_94?qid=1672902998&amp;s=computers&amp;sr=1-94</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</si>
  <si>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</si>
  <si>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</si>
  <si>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</si>
  <si>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</si>
  <si>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</si>
  <si>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https://www.amazon.in/Panasonic-Lithium-CR2032-5BE-Battery/dp/B00LVMTA2A/ref=sr_1_97?qid=1672903000&amp;s=computers&amp;sr=1-97</t>
  </si>
  <si>
    <t>B07TR5HSR9</t>
  </si>
  <si>
    <t>MemeHo®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</si>
  <si>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</si>
  <si>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</si>
  <si>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</si>
  <si>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</si>
  <si>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</si>
  <si>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https://www.amazon.in/SanDisk-Ultra-Drive-Pendrive-Mobile/dp/B0819ZZK5K/ref=sr_1_99?qid=1672903000&amp;s=computers&amp;sr=1-99</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</si>
  <si>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</si>
  <si>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</si>
  <si>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9.4”x 7.9”,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</si>
  <si>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</si>
  <si>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</si>
  <si>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</si>
  <si>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</si>
  <si>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</si>
  <si>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</si>
  <si>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</si>
  <si>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</si>
  <si>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Ω|Call Function: Enjoy online conference, online classes, calls hands-free with a built in mic on the headphone|Multi Connectivity Options: Be spoilt for choice with multi-connectivity options like like BT, 3.5mm AUX input, FM and MicroSD card|Country of Origin: China</t>
  </si>
  <si>
    <t>https://www.amazon.in/Zebronics-Zeb-Thunder-Bluetooth-Headphone-Input/dp/B07L8KNP5F/ref=sr_1_103?qid=1672903000&amp;s=computers&amp;sr=1-103</t>
  </si>
  <si>
    <t>B08CF4SCNP</t>
  </si>
  <si>
    <t>Quantum QHM-7406 Full-Sized Keyboard with ()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</si>
  <si>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It’s also lightweight and easy to carry around. It’s designed in a way to keep your hand in a restful typing position.|NOISELESS KEYS: The keyboard has soft-touch keys which go all the way down when pressed. Moreover, it doesn’t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</si>
  <si>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</si>
  <si>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</si>
  <si>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</si>
  <si>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</si>
  <si>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</si>
  <si>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</si>
  <si>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</si>
  <si>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</si>
  <si>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</si>
  <si>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</si>
  <si>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</si>
  <si>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</si>
  <si>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</si>
  <si>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</si>
  <si>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</si>
  <si>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 minumum 30MB/s|Importer Details: Fortune marketing Pvt Ltd D1/2 -Okhla Industrial Area Phase -II New Delhi 110020|Country of Origin: Taiwan</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</si>
  <si>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</si>
  <si>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</si>
  <si>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</si>
  <si>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</si>
  <si>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</si>
  <si>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</si>
  <si>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</si>
  <si>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</si>
  <si>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</si>
  <si>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</si>
  <si>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</si>
  <si>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</si>
  <si>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</si>
  <si>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</si>
  <si>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</si>
  <si>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</si>
  <si>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</si>
  <si>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</si>
  <si>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 Applies the latest Bluetooth 5.0 technology, backward compatible with Bluetooth V4.0/3.0/2.1/2.0/1.1|Wireless Connectivity —— Provides stable and convenient communication between Bluetooth devices and your PC or laptop|Nano-Sized —— Ultra-small for convenient portability with reliable high performance, Supported Operating System – Windows 11/10/8.1/7|In an unlikely case of product quality related issue, we may ask you to reach out to brand’s customer service support and seek resolution. We will require brand proof of issue to process replacement request.</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</si>
  <si>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</si>
  <si>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</si>
  <si>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</si>
  <si>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</si>
  <si>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</si>
  <si>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https://www.amazon.in/SanDisk-Ultra-Drive-Flash-128GB/dp/B084PJSSQ1/ref=sr_1_119?qid=1672903000&amp;s=computers&amp;sr=1-119</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</si>
  <si>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</si>
  <si>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</si>
  <si>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</si>
  <si>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</si>
  <si>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【WIDER COMPATIBILITY】This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❌IMPORTANT NOTE: This product is NOT compatible with Mag-safe wireless charger due to the incompatibility of charging protocols.|【FULL FUNCTIONALITY】The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port.|【CHARGING AND DATA TRANSFER】This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❌NOTE:NOT support video signal transmission.|【2 PACK COMPACT DESIGN】Comes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spaces.|【SAFER USING】USB C and USB A connector is made of premium aluminum alloy on the ends, designed for frequent plugging &amp; unplugging and heat dissipation, which is safer compared to other plastic adapters. Every USB adapter has built-in 56KΩ resistor ensure safety during charging. Just plug and charge your devices with assurance.</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</si>
  <si>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</si>
  <si>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</si>
  <si>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</si>
  <si>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</si>
  <si>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</si>
  <si>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</si>
  <si>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</si>
  <si>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you’re ready to talk.|SYSTEM COMPATIBILTY:Computers/ smartphones/tablets Windows/Mac/Chrome OS + more</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</si>
  <si>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</si>
  <si>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</si>
  <si>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</si>
  <si>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</si>
  <si>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</si>
  <si>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https://www.amazon.in/Digitek-DTR-550-LW-Tripod/dp/B074CWD7MS/ref=sr_1_124?qid=1672903001&amp;s=computers&amp;sr=1-124</t>
  </si>
  <si>
    <t>1M Long Cable. Usb 2.0 (Type A)|Braided Usb Type C Cable|Toughened Joints|Strong And Sturdy|Country Of Origin: China|6 Months Warranty</t>
  </si>
  <si>
    <t>https://www.amazon.in/Mi-Braided-USB-Type-C-Cable/dp/B083342NKJ/ref=sr_1_125?qid=1672903001&amp;s=computers&amp;sr=1-125</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</si>
  <si>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</si>
  <si>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</si>
  <si>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</si>
  <si>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</si>
  <si>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</si>
  <si>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</si>
  <si>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</si>
  <si>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</si>
  <si>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</si>
  <si>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</si>
  <si>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</si>
  <si>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</si>
  <si>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</si>
  <si>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</si>
  <si>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https://www.amazon.in/Fujifilm-Instax-Instant-Fuji-Cameras/dp/B00R1P3B4O/ref=sr_1_129?qid=1672903001&amp;s=computers&amp;sr=1-129</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</si>
  <si>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</si>
  <si>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</si>
  <si>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</si>
  <si>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‎Galaxy Watch::Watch Strap::Wireless Charger::Quick Start Quide</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</si>
  <si>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</si>
  <si>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</si>
  <si>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</si>
  <si>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</si>
  <si>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</si>
  <si>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</si>
  <si>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</si>
  <si>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</si>
  <si>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</si>
  <si>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</si>
  <si>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</si>
  <si>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</si>
  <si>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</si>
  <si>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</si>
  <si>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</si>
  <si>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</si>
  <si>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</si>
  <si>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</si>
  <si>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</si>
  <si>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</si>
  <si>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</si>
  <si>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</si>
  <si>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</si>
  <si>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</si>
  <si>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</si>
  <si>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</si>
  <si>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</si>
  <si>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</si>
  <si>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</si>
  <si>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3Ω|Frequency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</si>
  <si>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https://www.amazon.in/Zebronics-Zeb-County-Bluetooth-Speaker-Function/dp/B07YNTJ8ZM/ref=sr_1_138?qid=1672903001&amp;s=computers&amp;sr=1-138</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</si>
  <si>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</si>
  <si>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</si>
  <si>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</si>
  <si>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</si>
  <si>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</si>
  <si>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</si>
  <si>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</si>
  <si>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</si>
  <si>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 20 kHz ; Impedance 20 ohm ; Sensitivity 118 dB SPL@ 1kHz 1mW ; Microphone sensitivity -25 dBV/Pa @1kHz|With 3 Button remote, access Hands free calling or enable Voice Assistance activation on your mobile device</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</si>
  <si>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</si>
  <si>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</si>
  <si>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</si>
  <si>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</si>
  <si>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</si>
  <si>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</si>
  <si>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</si>
  <si>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</si>
  <si>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</si>
  <si>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</si>
  <si>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</si>
  <si>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</si>
  <si>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</si>
  <si>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 Records every image in crystal-clear 1080p definition;Pan and Tilt —— 360º horizontal and 114º vertical range; Advanced Night Vision —— Provides a visual distance of up to 30 ft;Motion Detection and Notifications —— Notifies you when the camera detects movement|Sound and Light Alarm —— Trigger light and sound effects to frighten away unwanted visitors.;Two-Way Audio —— Enables communication through a built-in microphone and speaker|Safe Storage —— Locally stores up to 128 GB on a microSD card, equal to 384 hours (16 days) of footage. (Based on laboratory conditions)|Voice Control —— Free Up Your Hands with Voice Control ——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</si>
  <si>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</si>
  <si>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</si>
  <si>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</si>
  <si>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</si>
  <si>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</si>
  <si>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</si>
  <si>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</si>
  <si>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</si>
  <si>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https://www.amazon.in/Duracell-AAA-750mAh-Rechargeable-Batteries/dp/B003B00484/ref=sr_1_148?qid=1672903002&amp;s=computers&amp;sr=1-148</t>
  </si>
  <si>
    <t>https://www.amazon.in/Adapter-Projector-Computer-Laptop-Projectors/dp/B085194JFL/ref=sr_1_149?qid=1672903002&amp;s=computers&amp;sr=1-149</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</si>
  <si>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</si>
  <si>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</si>
  <si>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</si>
  <si>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</si>
  <si>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</si>
  <si>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</si>
  <si>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</si>
  <si>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‎Smartwatch, Magnetic Charger, User Manual, Warranty Card; Compatible Devices: Smartphone</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</si>
  <si>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</si>
  <si>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</si>
  <si>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</si>
  <si>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</si>
  <si>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</si>
  <si>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</si>
  <si>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</si>
  <si>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</si>
  <si>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</si>
  <si>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</si>
  <si>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</si>
  <si>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</si>
  <si>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</si>
  <si>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</si>
  <si>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</si>
  <si>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</si>
  <si>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input|What’s in the box: 1 x JBL GO 2, 1 x Micro USB cable for charging, 1 x Safety Sheet, 1 x Quick Start Guide, 1 x Warranty Card</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</si>
  <si>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</si>
  <si>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</si>
  <si>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</si>
  <si>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</si>
  <si>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</si>
  <si>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</si>
  <si>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</si>
  <si>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</si>
  <si>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</si>
  <si>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</si>
  <si>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</si>
  <si>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</si>
  <si>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</si>
  <si>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</si>
  <si>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ease—thanks to the contoured design with soft rubber grips. And your mouse is easy to slip into a bag when you want to take it with you.|You’ll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mice—plus a three-year limited hardware warranty.</t>
  </si>
  <si>
    <t>https://www.amazon.in/Logitech-M235-Wireless-Mouse-Grey/dp/B004IO5BMQ/ref=sr_1_163?qid=1672903002&amp;s=computers&amp;sr=1-163</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</si>
  <si>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</si>
  <si>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</si>
  <si>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</si>
  <si>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 300Mbps wireless speed ideal for interruption sensitive applications like HD video streaming. Power: 9 V ⎓ 0.6 A;Antenna — Three antennas greatly increase the wireless robustness and stability|Encryption — Easy wireless security encryption at a push of WPS button;Bandwidth Control — IP based bandwidth control allows administrators to determine how much bandwidth is allotted to each PC;IPv6 Compatible — Compatible with IPv6 -the more recent Internet Protocol version;Working Modes — Router Mode/ Access Point Mode/ Range Extender Mode/WISP Mode|Easy Management — TP-LINK Tether App allows quick installation and easy management using any mobile device. WiFi Range: 2 Bedroom Houses3× Fixed Antennas Multiple antennas form a signal-boosting array to cover more directions and large areas|In an unlikely case of product quality related issue, we may ask you to reach out to brand’s customer service support and seek resolution. We will require brand proof of issue to process replacement request.;Security Protocol: 64/128/152-Bit Wep / Wpa / Wpa2,Wpa-Psk / Wpa2-Psk|Operating System: Windows</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</si>
  <si>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</si>
  <si>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</si>
  <si>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</si>
  <si>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</si>
  <si>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</si>
  <si>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</si>
  <si>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</si>
  <si>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【WATCH, PLAY, STUDY - WITHOUT LEAVING THE BED! 】- Are you an avid lover of comfy bed? or now you're recovering from a past surgery,what you need most is here! It perfectly fits a small size laptop,or tablet &amp; phone, also read or do arts and crafts while sitting on the sofa or having breakfast in bed.|【MUTI-FUNCTIONAL DESK】 – Callas Bed Table Built-in iPad stand groove for holding ipad or kindle.And desk comes with a table cup holder to store cups well. The Anti-Slip Sponge can keep your laptop safe while tilted, and provide you comfort and stability while using.|【PORTABLE AND CONVENIENT】 – The metal legs are foldable, easily fold flat for convenient storage when you don't need it.There are handles on the table, you can easily take the table to any place you want to use it.It is very lightweight, easy to carry and play.Go out camping is also an ideal choice.|【ERGONOMIC DESIGN】–Curved desktop edge, scientific design, protective layer around the desktop, so you can feel comfortable when using. The W-legs are stable and flexible, which are anti-slip and can be folded to save space.|【LARGE SIZE】 - 23.64(L) x 15.72(W) x 10.4Inch(H). Callas Lap Desk perfectly fits nearly all size laptop,or tablet &amp; phone, also can put a mouse and books.And there is ample space to work, study, eat breakfast or dessert on the bed table. Package Contain : 1 Laptop Table.</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</si>
  <si>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</si>
  <si>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</si>
  <si>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</si>
  <si>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</si>
  <si>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</si>
  <si>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https://www.amazon.in/Casio-MJ-12D-Desktop-Calculator-Grey/dp/B0752LL57V/ref=sr_1_168?qid=1672903002&amp;s=computers&amp;sr=1-168</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</si>
  <si>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</si>
  <si>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</si>
  <si>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</si>
  <si>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</si>
  <si>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</si>
  <si>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</si>
  <si>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</si>
  <si>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👍【USB C TO USB ADAPTER】-This is a USB C FEMALE to USB MALE adapter, used to turn all you USB-A ports of laptops, chargers or other devices into a USB-C port. Gives you the ability to connect USB-C peripherals to devices with USB-A ports.|👍【HIGH-SPEED-TRANSMISSION 】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devices!|👍【DATA SYNC AND CHARGING】USB 3.0 (USB 3.1 Gen 1)port, up to 3A, enables up to sync and display movies or music in real time thanks to a 5Gbps transfer speed, approx 10x than USB 2.0; Also, you can edit video in camera directly via port instead of downloading files|👍【SUPERRIOR DURABILITY】Made of Premium aluminum alloy housing with specular precision process, enables plug in/out again and again. Tested and inspected meet USB Standards, fit for USB 3.0 / USB 2.0 devices, built-in 56KΩ pull-up resistor protects your devices from damage. Internal PCMA adopts EMI proof process, more stable performance.|👍【 EASY OPERATION AND PORTABILITY】-Easy to use,just PLUG and PLAY, no driver required. This USB C TO USB 3.0 adapter has the advantages of SIMPLE STRUCTURE ultra COMPACT,LIGHTWEIGHT and PORTABILITY, small enough to leave it in the USB port or anywhere in your package, take it anywhere you want!</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</si>
  <si>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</si>
  <si>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</si>
  <si>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</si>
  <si>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</si>
  <si>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</si>
  <si>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</si>
  <si>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</si>
  <si>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</si>
  <si>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</si>
  <si>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</si>
  <si>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</si>
  <si>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</si>
  <si>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</si>
  <si>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</si>
  <si>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</si>
  <si>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</si>
  <si>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</si>
  <si>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</si>
  <si>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</si>
  <si>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</si>
  <si>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</si>
  <si>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</si>
  <si>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</si>
  <si>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</si>
  <si>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</si>
  <si>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</si>
  <si>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https://www.amazon.in/JBL-Commercial-Omnidirectional-Microphone-Recording/dp/B08SCCG9D4/ref=sr_1_179?qid=1672903004&amp;s=computers&amp;sr=1-179</t>
  </si>
  <si>
    <t>B0972BQ2RS</t>
  </si>
  <si>
    <t>Fire-Boltt India's No 1 Smartwatch Brand Ring Bluetooth Calling with SpO2 &amp; 1.7” Metal Body with Blood Oxygen Monitoring, Continuous Heart Rate, Full Touch &amp; Multiple Watch Faces</t>
  </si>
  <si>
    <t>Fire-Boltt is India' No 1 Wearable Watch Brand Q122 by IDC Worldwide quarterly wearable device tracker Q122.【Bluetooth Calling Watch】- Fire-Boltt Ring bluetooth calling smart watch enables you to make and receive calls directly from your watch via the built-in speaker and microphone. This smartwatch features a dial pad, option to access recent calls &amp; sync your phone’s contacts.;|【SPo2 &amp; Heart Rate Tracking】 - The Smart watch tracks your real time Blood Oxygen Spo2 and has 24*7 Heart Rate Tracking. It also has Sleep and Fitness Tracking.; 【1.7 inch HD Full Touch】 - Industry Best Display of 1.7 Inches Size 【Full Metal Body with Changeable Strap】 - Sleek &amp; Fashionable Metal Body best smart watch. The one-click control mode and honey comb menu helps you quickly navigate 【 Battery Life】- The watch can work for 24 Hours with Bluetooth Calling ( Normal Usage )*, 8 Days without Bluetooth Calling. System requirements: Bluetooth version 5.0 and above. IOS 7.0 and above, Android version 4.4 and above.|【Music Experience On The Go】 - Equipped with an inbuilt speaker, this smartwatch lets you play your favourite tracks on the Watch without having to take out your phone.|【Multiple Watch Faces &amp; Smart Controls】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Silicone|【How to activate Bluetooth Calling】-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</si>
  <si>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</si>
  <si>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</si>
  <si>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</si>
  <si>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</si>
  <si>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</si>
  <si>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</si>
  <si>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</si>
  <si>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</si>
  <si>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</si>
  <si>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</si>
  <si>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</si>
  <si>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manufacturer’s warranty.</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</si>
  <si>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</si>
  <si>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</si>
  <si>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</si>
  <si>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</si>
  <si>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</si>
  <si>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</si>
  <si>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</si>
  <si>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</si>
  <si>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</si>
  <si>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</si>
  <si>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</si>
  <si>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</si>
  <si>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</si>
  <si>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</si>
  <si>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</si>
  <si>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</si>
  <si>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</si>
  <si>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</si>
  <si>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 Simultaneous 2.4GHz 300Mbps and 5GHz 433Mbps connections for 733Mbps of total available bandwidth. WiFi Range : 2 Bedroom Houses (3× Fixed Antennas);Antennas —— 3 external antennas provide stable omnidirectional signal and superior wireless coverage|Working Modes —— Router Mode, Access Point Mode, Range Extender Mode.;Wireless Standards —— IEEE 802.11ac/n/a 5 GHz, IEEE 802.11n/b/g 2.4 GHz|Interface —— 1× 10/100 Mbps WAN Port, 4× 10/100 Mbps LAN Ports;Guest Access —— Simple Class Wireless Access for guests without release the local network|In an unlikely case of product quality related issue, we may ask you to reach out to brand’s customer service support and seek resolution. We will require brand proof of issue to process replacement request.;Control Method: Application;Security Protocol: Wepwpa-Pskwpa2-Psk|Operating System: Windows</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</si>
  <si>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</si>
  <si>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</si>
  <si>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</si>
  <si>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</si>
  <si>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</si>
  <si>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</si>
  <si>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</si>
  <si>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</si>
  <si>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 durable enough to support up to 44 lbs (20kg).|Portable - Foldable and easy to place. Convenient to carry and use at home, the office or somewhere else.|Hollow design - Reduce the contact area with the desktop, which provides a cavity and is more conducive to heat dissipation.</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</si>
  <si>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</si>
  <si>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</si>
  <si>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</si>
  <si>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</si>
  <si>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https://www.amazon.in/Logitech-MK215-Wireless-Keyboard-Mouse/dp/B012MQS060/ref=sr_1_190?qid=1672903004&amp;s=computers&amp;sr=1-190</t>
  </si>
  <si>
    <t>B01MF8MB65</t>
  </si>
  <si>
    <t>boAt Bassheads 225 in Ear Wired Earphones with Mic(Blue)</t>
  </si>
  <si>
    <t>Has a PVC cable which is durable and tangle free. Impedance 16Ω,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</si>
  <si>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</si>
  <si>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</si>
  <si>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</si>
  <si>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</si>
  <si>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</si>
  <si>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https://www.amazon.in/Luxor-Subject-Single-Ruled-Notebook/dp/B00LHZWD0C/ref=sr_1_193?qid=1672903005&amp;s=computers&amp;sr=1-193</t>
  </si>
  <si>
    <t>B08QDPB1SL</t>
  </si>
  <si>
    <t>Duracell Chhota Power AA Battery Set of 10 Pcs</t>
  </si>
  <si>
    <t>Duracell AA Chota Power Batteries|Alkaline LR03/MN2400|Pack of 10</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</si>
  <si>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</si>
  <si>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</si>
  <si>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</si>
  <si>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</si>
  <si>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</si>
  <si>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</si>
  <si>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</si>
  <si>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</si>
  <si>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</si>
  <si>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</si>
  <si>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</si>
  <si>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</si>
  <si>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</si>
  <si>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https://www.amazon.in/Parker-Classic-Gold-Ball-Pen/dp/B00LM4W1N2/ref=sr_1_197?qid=1672903005&amp;s=computers&amp;sr=1-197</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</si>
  <si>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</si>
  <si>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</si>
  <si>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</si>
  <si>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✅【Smart Design - 2021 Model】This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table.|✅【High-Quality Materials &amp; Premium Looks】Our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support.|✅【Multi Functional】The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holder.|✅【Foldable &amp; Easy to use】The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great|✅【More Comfortable Craft】The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</si>
  <si>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https://www.amazon.in/Tarkan-Portable-Folding-Laptop-Lapdesk/dp/B08YD264ZS/ref=sr_1_200?qid=1672903005&amp;s=computers&amp;sr=1-200</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</si>
  <si>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</si>
  <si>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</si>
  <si>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</si>
  <si>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</si>
  <si>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</si>
  <si>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</si>
  <si>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</si>
  <si>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</si>
  <si>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</si>
  <si>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</si>
  <si>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</si>
  <si>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</si>
  <si>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</si>
  <si>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</si>
  <si>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</si>
  <si>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</si>
  <si>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</si>
  <si>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</si>
  <si>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</si>
  <si>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</si>
  <si>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</si>
  <si>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</si>
  <si>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</si>
  <si>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</si>
  <si>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</si>
  <si>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</si>
  <si>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</si>
  <si>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</si>
  <si>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</si>
  <si>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</si>
  <si>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</si>
  <si>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</si>
  <si>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</si>
  <si>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</si>
  <si>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https://www.amazon.in/APC-BX600C-600VA-230V-Back/dp/B016XVRKZM/ref=sr_1_211?qid=1672903005&amp;s=computers&amp;sr=1-211</t>
  </si>
  <si>
    <t>B00LHZW3XY</t>
  </si>
  <si>
    <t>Luxor 5 Subject Single Ruled Notebook - A5 Size, 70 GSM, 300 Pages</t>
  </si>
  <si>
    <t>Twin wiro binding|Paper color: White|Paper density: 70 gsm</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</si>
  <si>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</si>
  <si>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</si>
  <si>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</si>
  <si>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</si>
  <si>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https://www.amazon.in/Zebronics-Zeb-Jaguar-Wireless-Precision-Ambidextrous/dp/B098JYT4SY/ref=sr_1_214?qid=1672903005&amp;s=computers&amp;sr=1-214</t>
  </si>
  <si>
    <t>B08CFCK6CW</t>
  </si>
  <si>
    <t>Boult Audio Truebuds with 30H Playtime, IPX7 Waterproof, Lightning Boult™ Type C Fast Charging (10 Min=100Mins), BoomX™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</si>
  <si>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</si>
  <si>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https://www.amazon.in/Boult-Audio-TrueBuds-Wireless-Waterproof/dp/B08CFCK6CW/ref=sr_1_215?qid=1672903005&amp;s=computers&amp;sr=1-215</t>
  </si>
  <si>
    <t>B09P564ZTJ</t>
  </si>
  <si>
    <t>Wembley LCD Writing Pad/Tab | Writing, Drawing, Reusable, Portable Pad with Colorful Letters | 9 Inch Graphic Tablet (Assorted)</t>
  </si>
  <si>
    <t>✅Don't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on.|✅One-touch Erase Button &amp; Lock Function: Slide the lock button on the back of the tablet to prevents accidental clearing, protect your creation! .: Tablet displays your notes until you erase them with the touch of a button.One-touch button erases notes instantly.|✅Eco-friendly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</si>
  <si>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</si>
  <si>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</si>
  <si>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</si>
  <si>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</si>
  <si>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</si>
  <si>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</si>
  <si>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</si>
  <si>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</si>
  <si>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https://www.amazon.in/DASITON-Flexible-Ambient-Portable-Outdoor/dp/B09N6TTHT6/ref=sr_1_218?qid=1672903006&amp;s=computers&amp;sr=1-218</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</si>
  <si>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</si>
  <si>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</si>
  <si>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</si>
  <si>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</si>
  <si>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</si>
  <si>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</si>
  <si>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</si>
  <si>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</si>
  <si>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</si>
  <si>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</si>
  <si>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</si>
  <si>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</si>
  <si>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</si>
  <si>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</si>
  <si>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</si>
  <si>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</si>
  <si>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</si>
  <si>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</si>
  <si>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https://www.amazon.in/SanDisk-Ultra-UHS-I-Memory-SDSDUN4-032G-GN6IN/dp/B08GYG6T12/ref=sr_1_223?qid=1672903006&amp;s=computers&amp;sr=1-223</t>
  </si>
  <si>
    <t>B09BN2NPBD</t>
  </si>
  <si>
    <t>DIGITEK®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</si>
  <si>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</si>
  <si>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‎Light Stand, Mini Tripod, Ring light body, ‎Hot shoe mount, Smart phone mount|For any product related queries contact our Service Customer Support / Toll Free number 1800-123-544-444 with 12 lines to assist customer from morning 10 am to 6.30 pm Monday to Saturday except Govt. Holidays</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</si>
  <si>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</si>
  <si>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</si>
  <si>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</si>
  <si>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</si>
  <si>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</si>
  <si>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</si>
  <si>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</si>
  <si>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</si>
  <si>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</si>
  <si>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</si>
  <si>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</si>
  <si>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</si>
  <si>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</si>
  <si>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</si>
  <si>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</si>
  <si>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</si>
  <si>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</si>
  <si>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</si>
  <si>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</si>
  <si>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</si>
  <si>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you’re in busy surroundings.|C270’s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You’re always ready for your next video call.|Ideal for laptop or tablet: Compatible with Windows 10 or later, Windows 8, Windows 7, Mac OS 10.10 or later, and Chrome OS via the USB port</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</si>
  <si>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</si>
  <si>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</si>
  <si>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</si>
  <si>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manufacturer’s warranty.</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</si>
  <si>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</si>
  <si>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</si>
  <si>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</si>
  <si>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</si>
  <si>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</si>
  <si>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</si>
  <si>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</si>
  <si>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</si>
  <si>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</si>
  <si>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</si>
  <si>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</si>
  <si>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</si>
  <si>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</si>
  <si>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</si>
  <si>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</si>
  <si>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</si>
  <si>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you’re good to go|The USB receiver fits conveniently inside the mouse, for effortless portability|Supports Windows Vista/7/8/10 and USB port available</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</si>
  <si>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</si>
  <si>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</si>
  <si>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</si>
  <si>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</si>
  <si>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</si>
  <si>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</si>
  <si>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</si>
  <si>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</si>
  <si>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(21.25â?_x009d_) Max-73cm (28.75â?_x009d_) surely accommodate all age group. Quick and effortless 3 angles adjustment of top, no tool required to assemble or adjust height and angles</t>
  </si>
  <si>
    <t>https://www.amazon.in/TABLE-MAGIC-Midnight-Adjustable-Multiple/dp/B086394NY5/ref=sr_1_238?qid=1672903006&amp;s=computers&amp;sr=1-238</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</si>
  <si>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</si>
  <si>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</si>
  <si>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</si>
  <si>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</si>
  <si>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</si>
  <si>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</si>
  <si>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</si>
  <si>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</si>
  <si>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4Ω,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</si>
  <si>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</si>
  <si>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</si>
  <si>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</si>
  <si>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</si>
  <si>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</si>
  <si>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</si>
  <si>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</si>
  <si>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</si>
  <si>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</si>
  <si>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</si>
  <si>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</si>
  <si>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</si>
  <si>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</si>
  <si>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</si>
  <si>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</si>
  <si>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</si>
  <si>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</si>
  <si>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</si>
  <si>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</si>
  <si>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</si>
  <si>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</si>
  <si>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</si>
  <si>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</si>
  <si>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</si>
  <si>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</si>
  <si>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</si>
  <si>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it’s 45x more energy efficient than a typical hard drive and it can operate in an input voltage of 4.5V.</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</si>
  <si>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</si>
  <si>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</si>
  <si>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</si>
  <si>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</si>
  <si>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</si>
  <si>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</si>
  <si>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</si>
  <si>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</si>
  <si>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</si>
  <si>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</si>
  <si>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</si>
  <si>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</si>
  <si>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</si>
  <si>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</si>
  <si>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</si>
  <si>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</si>
  <si>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https://www.amazon.in/INOVERA-Extended-Rubber-Stitched-Computer/dp/B09MZ6WZ6V/ref=sr_1_251?qid=1672903007&amp;s=computers&amp;sr=1-251</t>
  </si>
  <si>
    <t>B094QZLJQ6</t>
  </si>
  <si>
    <t>Seagate One Touch 2TB External HDD with Password Protection –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</si>
  <si>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</si>
  <si>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</si>
  <si>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</si>
  <si>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</si>
  <si>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</si>
  <si>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</si>
  <si>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</si>
  <si>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</si>
  <si>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</si>
  <si>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</si>
  <si>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</si>
  <si>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</si>
  <si>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</si>
  <si>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</si>
  <si>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</si>
  <si>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</si>
  <si>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</si>
  <si>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</si>
  <si>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</si>
  <si>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</si>
  <si>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</si>
  <si>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</si>
  <si>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you’re done, dock the receiver in the mouse itself|Long hours are no match for this well-designed mouse. The Lenovo 400 Wireless Mouse is ergonomically sculpted to keep you comfortable even on days you’re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you’re burning the midnight oil</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</si>
  <si>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</si>
  <si>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</si>
  <si>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</si>
  <si>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</si>
  <si>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https://www.amazon.in/Logitech-Multi-Device-Bluetooth-Keyboard-Black/dp/B00MUTWLW4/ref=sr_1_259?qid=1672903007&amp;s=computers&amp;sr=1-259</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</si>
  <si>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</si>
  <si>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</si>
  <si>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</si>
  <si>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</si>
  <si>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</si>
  <si>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</si>
  <si>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</si>
  <si>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</si>
  <si>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</si>
  <si>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</si>
  <si>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</si>
  <si>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【MULTI-PURPOSE LAPTOP DESK】-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bed.|【USER FRIENDLY | COMFORTABLE | NON-SLIP DESIGN】- With scientific engineering design and curved sturdy edges makes this table very strong and durable.|【CUP HOLDER &amp; TABLET SLOT】- OFIXO lap desk is designed with a solid cup holder for possible cup tipping, avoiding soiling your bed or couch. The long slot on the lap desk serves as a holder for smartphone, tablet and pen, making the table helpful for work and entertainment.|【BUILT-TO-LAST】-The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floor.|【FOLD OUT DESIGN |SAVING SPACES| FOLDING SIZE】-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</si>
  <si>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</si>
  <si>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</si>
  <si>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</si>
  <si>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Q122.|【Bluetooth Calling Watch】- Fire-Boltt Ninja Calling smart watch enables you to make and receive calls directly from your watch. This smartwatch features a dial pad, option to access recent calls &amp; sync your phone’s contacts|【SpO2 &amp; Heart Rate Tracking】- Track Real Time Heart Rate on the go on this smart watch. Featuring Blood Oxygen Tracking (SpO2) with optical sensors that give almost acurate results|【1.69 inch HD Full Touch】- Best in class HD Full Touch Screen with a 240*280 pixel HQ Resolution smart watch with call function . Smooth functioning and easy swipes making life better.;|【Built In Speaker】- Listen to your favourite songs on the watch itself, with the built in speaker talk while you walk and even enjoy songs on the run|【AI Voice Assistance】- Command your watch and let the magic happen. This special technology is in the Fire-Boltt Ninja Calling Smartwatch|【30 Sports Mode】- Fire-Boltt Ninja Calling best Smart watch comes with 30 sports tracking feature. Track each acitivity with true efficiency and crown that medal.|【Socially Active】- Activate your social life while you balance your work culture. Never miss out on any event, meeting, birthday or trends, allow all the notifications to be displayed on the smartwatch and rock each party</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</si>
  <si>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</si>
  <si>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</si>
  <si>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</si>
  <si>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</si>
  <si>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</si>
  <si>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</si>
  <si>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</si>
  <si>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</si>
  <si>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</si>
  <si>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</si>
  <si>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</si>
  <si>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</si>
  <si>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</si>
  <si>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</si>
  <si>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https://www.amazon.in/Logitech-Wireless-mk270r-Keyboard-Mouse/dp/B00CEQEGPI/ref=sr_1_268?qid=1672903008&amp;s=computers&amp;sr=1-268</t>
  </si>
  <si>
    <t>B08B6XWQ1C</t>
  </si>
  <si>
    <t>DIGITEK®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</si>
  <si>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</si>
  <si>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</si>
  <si>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</si>
  <si>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</si>
  <si>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✔️HIGH-PERFORMANCE INTERNET CABLE IS CAT6 RATED - The Ethernet cord with 24 AWG CCA wire provides universal connectivity for LAN network components such as PCs, computer servers, printers, routers, switch boxes, TV, Gaming Devices, network media players, NAS, VoIP phones, PoE devices, and more.|✔️UPTO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cables|✔️FLEXIBLE AND DURABLE - RJ45 cable with high bandwidth of up to 550 MHz guarantees high-speed data transfer for server applications, cloud computing, video surveillance, and online high-definition video streaming|✔️LIFETIME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replacement|✔️QUALITY CONTROL - Each Cat 6 internet cable goes through rigorous testing to ensure a secure wired internet connection with exceptional speed and reliability.</t>
  </si>
  <si>
    <t>https://www.amazon.in/Technotech-Ethernet-Network-Patch-Cable/dp/B01DGVKBC6/ref=sr_1_270?qid=1672903008&amp;s=computers&amp;sr=1-270</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</si>
  <si>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</si>
  <si>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</si>
  <si>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</si>
  <si>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</si>
  <si>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</si>
  <si>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</si>
  <si>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</si>
  <si>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</si>
  <si>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https://www.amazon.in/Duracell-Ultra-5000688-Rechargeable-Batteries/dp/B00E3DVQFS/ref=sr_1_274?qid=1672903008&amp;s=computers&amp;sr=1-274</t>
  </si>
  <si>
    <t>https://www.amazon.in/pTron-3-5Amps-Charging-480Mbps-Smartphones/dp/B0B4HJNPV4/ref=sr_1_275?qid=1672903008&amp;s=computers&amp;sr=1-275</t>
  </si>
  <si>
    <t>B00BN5SNF0</t>
  </si>
  <si>
    <t>ENVIE®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</si>
  <si>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</si>
  <si>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</si>
  <si>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</si>
  <si>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</si>
  <si>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</si>
  <si>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https://www.amazon.in/Zebronics-Zeb-Buds-30-Multifunction-Lightweight/dp/B09SGGRKV8/ref=sr_1_278?qid=1672903008&amp;s=computers&amp;sr=1-278</t>
  </si>
  <si>
    <t>https://www.amazon.in/AmazonBasics-Apple-Certified-Lightning-Charging/dp/B07XLCFSSN/ref=sr_1_279?qid=1672903008&amp;s=computers&amp;sr=1-279</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</si>
  <si>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</si>
  <si>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</si>
  <si>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</si>
  <si>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</si>
  <si>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</si>
  <si>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</si>
  <si>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</si>
  <si>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</si>
  <si>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https://www.amazon.in/Portronics-Ruffpad-Re-Writable-Writing-Battery/dp/B09VC2D2WG/ref=sr_1_283?qid=1672903008&amp;s=computers&amp;sr=1-283</t>
  </si>
  <si>
    <t>B09163Q5CD</t>
  </si>
  <si>
    <t>Verilux®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</si>
  <si>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</si>
  <si>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</si>
  <si>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</si>
  <si>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</si>
  <si>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</si>
  <si>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≥60dB|USB Powered. Frequency response: 100Hz-18kHz</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</si>
  <si>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</si>
  <si>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</si>
  <si>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</si>
  <si>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 get clicking seamlessly with 3 handy buttons and built-in scrolling.|In it for the long run - enjoy 3-years manufacturer warranty on the device from the date of purchase.|Operating System: Windows 10</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</si>
  <si>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</si>
  <si>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</si>
  <si>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</si>
  <si>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</si>
  <si>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</si>
  <si>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</si>
  <si>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</si>
  <si>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</si>
  <si>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</si>
  <si>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</si>
  <si>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</si>
  <si>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</si>
  <si>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</si>
  <si>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</si>
  <si>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</si>
  <si>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</si>
  <si>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</si>
  <si>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</si>
  <si>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</si>
  <si>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</si>
  <si>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</si>
  <si>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</si>
  <si>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</si>
  <si>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https://www.amazon.in/Linc-Ball-Point-Pentonic-Multicolor/dp/B07SBGFDX9/ref=sr_1_291?qid=1672903010&amp;s=computers&amp;sr=1-291</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</si>
  <si>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</si>
  <si>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</si>
  <si>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</si>
  <si>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</si>
  <si>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</si>
  <si>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</si>
  <si>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</si>
  <si>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</si>
  <si>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</si>
  <si>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</si>
  <si>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https://www.amazon.in/Apsara-Platinum-Pencils-Value-Pack/dp/B00VA7YYUO/ref=sr_1_296?qid=1672903010&amp;s=computers&amp;sr=1-296</t>
  </si>
  <si>
    <t>B07L9FW9GF</t>
  </si>
  <si>
    <t>Zebronics Zeb-Power Wired USB Mouse, 3-Button, 1200 DPI Optical Sensor, Plug &amp; Play, for Windows/Mac</t>
  </si>
  <si>
    <t>If you’re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</si>
  <si>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</si>
  <si>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</si>
  <si>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</si>
  <si>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 Ant Esports GM 320 with symmetrical &amp; streamlined provides a comfortable claw-grip design, long-term use without fatigue. Top choice for computer game players. Excellent wired PC gaming mouse for casual gamers.|Reliable quality – Ant Esports gaming mouse, 20 million clicks lifespan, buttons with neat rebound and good feedback. Ant Esports Gaming mouse comes with 1 year warranty</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</si>
  <si>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</si>
  <si>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</si>
  <si>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</si>
  <si>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</si>
  <si>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</si>
  <si>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https://www.amazon.in/Pilot-Liquid-Roller-Ball-Black/dp/B00LOD70SC/ref=sr_1_300?qid=1672903010&amp;s=computers&amp;sr=1-300</t>
  </si>
  <si>
    <t>B09X76VL5L</t>
  </si>
  <si>
    <t>boAt Airdopes 191G True Wireless Earbuds with ENx™ Tech Equipped Quad Mics, Beast™ Mode(Low Latency- 65ms) for Gaming, 2x6mm Dual Drivers, 30H Playtime, IPX5, IWP™,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</si>
  <si>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</si>
  <si>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</si>
  <si>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</si>
  <si>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</si>
  <si>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</si>
  <si>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</si>
  <si>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</si>
  <si>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</si>
  <si>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</si>
  <si>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</si>
  <si>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</si>
  <si>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</si>
  <si>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 display with 320x385 px; 100 sports modes: Choose from 100 sports modes and get on the right side of fitness.;Productivity suite: Be your most productive self and stay well aware of what’s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 display with 320x385 px|100 sports modes: Choose from 100 sports modes and get on the right side of fitness.;Productivity suite: Be your most productive self and stay well aware of what’s happening around you.|Connectivity Technology: Usb; Included Components: ‎Smartwatch, Magnetic Charger, User Manual, Warranty Card</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</si>
  <si>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</si>
  <si>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</si>
  <si>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</si>
  <si>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</si>
  <si>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</si>
  <si>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</si>
  <si>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</si>
  <si>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</si>
  <si>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</si>
  <si>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https://www.amazon.in/SanDisk-Extreme-Video-Mirrorless-Cameras/dp/B09X7DY7Q4/ref=sr_1_307?qid=1672903010&amp;s=computers&amp;sr=1-307</t>
  </si>
  <si>
    <t>B09YV575RK</t>
  </si>
  <si>
    <t>Fire-Boltt Ring Pro Bluetooth Calling, 1.75” 320*385px High Res, IP68 &amp; SpO2 Monitoring, Pin Code Locking Functionality &amp; Split Screen Access, Built in Mic &amp; Speaker for HD Calls, Black, Free Size</t>
  </si>
  <si>
    <t>【Bluetooth Calling Watch】- Fire-Boltt Ring Pro enables you to make and receive calls directly from your watch via the built-in speaker and microphone. This smartwatch features a dial pad, option to access recent calls &amp; sync your phone’s contacts.;【1.75” Best HD Display with 320*385 Pixels】- This smartwatch comes with an Industry’s best 1.75” Display and has a super quality resolution of 320*385 Pixels providing you a smooth touch experience 【IP68 Water Resistant】- This smartwatch can withstand dust, spills, raindrops and is sweatproof too.Band Width:20 millimeters.Water resistance depth:1 meters|【Unique Rotating Multi-Functional Button】- Fire-Boltt Ring Pro has a unique menu viewing style and watch face changing style, you can simply rotate the button to changes watch faces and view the list menu without scrolling;【Pincode Locking System】- Just like a smartphone pin lock, this smartwatch also has a pin lock. Secure your smartwatch by setting up a pin lock on it. 【Built In Mic &amp; Speaker】- Fire-Boltt Ring Pro comes with a Mic and Speaker for best calling experience. Clear HD calls via the watch is now available 【Play Games on Your Wrist】|【Split Display Easy Access】- This smartwatch provides you a split screen display where you can easily in one click land on any function without the need to search it from the menu;【SPo2 Monitoring】- Monitor your blood oxygen levels any time anywhere. 【360 Health Ecosystem】- With this watch track your heart rate, calorie, step count and multiple sports modes with easy touch【Quick Charge Technology】- Within 100 minutes full charge your watch and you are on the go again. System requirements: IOS 7.0 and above, Android version 4.4 and above, Bluetooth version 5.0 or above.|【Smart Notification】- Get all your mobile phone notifications on the watch and stay updates about trends, meeting emails and much more. 【Remotely access smartphone features】- Click pictures, change music tracks on the watch with a single touch.;【How to activate Bluetooth Calling】-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</si>
  <si>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</si>
  <si>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</si>
  <si>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</si>
  <si>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</si>
  <si>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</si>
  <si>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</si>
  <si>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</si>
  <si>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</si>
  <si>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</si>
  <si>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</si>
  <si>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</si>
  <si>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https://www.amazon.in/Classmate-Pulse-Spiral-Notebook-Unruled/dp/B00P93X6EK/ref=sr_1_311?qid=1672903010&amp;s=computers&amp;sr=1-311</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</si>
  <si>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</si>
  <si>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</si>
  <si>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</si>
  <si>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</si>
  <si>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</si>
  <si>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</si>
  <si>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</si>
  <si>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</si>
  <si>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</si>
  <si>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</si>
  <si>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</si>
  <si>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</si>
  <si>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</si>
  <si>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</si>
  <si>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</si>
  <si>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</si>
  <si>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</si>
  <si>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</si>
  <si>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</si>
  <si>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</si>
  <si>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</si>
  <si>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</si>
  <si>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</si>
  <si>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</si>
  <si>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800×300×3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</si>
  <si>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</si>
  <si>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</si>
  <si>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</si>
  <si>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</si>
  <si>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</si>
  <si>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</si>
  <si>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</si>
  <si>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</si>
  <si>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https://www.amazon.in/Lenovo-Megapixel-Ultra-Wide-Rotation-Plug-n-Play/dp/B09P22HXH6/ref=sr_1_323?qid=1672903011&amp;s=computers&amp;sr=1-323</t>
  </si>
  <si>
    <t>B00LM4X3XE</t>
  </si>
  <si>
    <t>Parker Quink Ink Bottle (Black)</t>
  </si>
  <si>
    <t>Black Colour is washable in nature.|30ml Bottle|High quality ink</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</si>
  <si>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</si>
  <si>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</si>
  <si>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</si>
  <si>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</si>
  <si>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</si>
  <si>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</si>
  <si>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</si>
  <si>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</si>
  <si>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https://www.amazon.in/Zebronics-ZEB-NC3300-Powered-Laptop-Cooling/dp/B07YWS9SP9/ref=sr_1_326?qid=1672903011&amp;s=computers&amp;sr=1-326</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</si>
  <si>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</si>
  <si>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</si>
  <si>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</si>
  <si>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</si>
  <si>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</si>
  <si>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</si>
  <si>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</si>
  <si>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</si>
  <si>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</si>
  <si>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</si>
  <si>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</si>
  <si>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</si>
  <si>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</si>
  <si>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</si>
  <si>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</si>
  <si>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</si>
  <si>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</si>
  <si>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https://www.amazon.in/Logitech-Silent-Wireless-Mouse-Black/dp/B01MQ2A86A/ref=sr_1_333?qid=1672903011&amp;s=computers&amp;sr=1-333</t>
  </si>
  <si>
    <t>B00KIE28X0</t>
  </si>
  <si>
    <t>Camel Artist Acrylic Color Box - 9ml Tubes, 12 Shades</t>
  </si>
  <si>
    <t>Set of 12 assorted Shades in 9 ml tubes</t>
  </si>
  <si>
    <t>https://www.amazon.in/Camel-Camlin-Kokuyo-Acrylic-Color/dp/B00KIE28X0/ref=sr_1_334?qid=1672903011&amp;s=computers&amp;sr=1-334</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</si>
  <si>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</si>
  <si>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</si>
  <si>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</si>
  <si>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</si>
  <si>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</si>
  <si>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</si>
  <si>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</si>
  <si>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</si>
  <si>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</si>
  <si>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</si>
  <si>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</si>
  <si>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</si>
  <si>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</si>
  <si>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</si>
  <si>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</si>
  <si>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</si>
  <si>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</si>
  <si>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</si>
  <si>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</si>
  <si>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</si>
  <si>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</si>
  <si>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</si>
  <si>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</si>
  <si>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</si>
  <si>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</si>
  <si>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</si>
  <si>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</si>
  <si>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</si>
  <si>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</si>
  <si>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</si>
  <si>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</si>
  <si>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</si>
  <si>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</si>
  <si>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</si>
  <si>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https://www.amazon.in/Logitech-G102-Customizable-Lighting-Programmable/dp/B08LT9BMPP/ref=sr_1_347?qid=1672903012&amp;s=computers&amp;sr=1-347</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</si>
  <si>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</si>
  <si>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</si>
  <si>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</si>
  <si>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</si>
  <si>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</si>
  <si>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</si>
  <si>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</si>
  <si>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</si>
  <si>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</si>
  <si>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</si>
  <si>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</si>
  <si>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</si>
  <si>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</si>
  <si>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</si>
  <si>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</si>
  <si>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</si>
  <si>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</si>
  <si>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</si>
  <si>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</si>
  <si>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</si>
  <si>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</si>
  <si>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</si>
  <si>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</si>
  <si>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</si>
  <si>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</si>
  <si>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</si>
  <si>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</si>
  <si>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</si>
  <si>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</si>
  <si>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</si>
  <si>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</si>
  <si>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</si>
  <si>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</si>
  <si>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</si>
  <si>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</si>
  <si>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</si>
  <si>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</si>
  <si>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</si>
  <si>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</si>
  <si>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https://www.amazon.in/Redragon-K617-Keyboard-Mechanical-Supported/dp/B09BVCVTBC/ref=sr_1_362?qid=1672903013&amp;s=computers&amp;sr=1-362</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</si>
  <si>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</si>
  <si>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</si>
  <si>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</si>
  <si>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</si>
  <si>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</si>
  <si>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</si>
  <si>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</si>
  <si>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 TruViewTM display: See the clear, bigger picture on the 1.75’’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</si>
  <si>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</si>
  <si>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</si>
  <si>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</si>
  <si>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</si>
  <si>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6ΩSoundbar 4ΩFrequency response 55Hz-20kHz|Line input 3.5mm, Coaxial IN, HDMI (ARC)Max. supported memory size (USB) 32GBBT name ZEB-JUKE BAR 3900BT version 5.0</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</si>
  <si>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</si>
  <si>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</si>
  <si>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</si>
  <si>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journey.|That’s elegant, convenient and easy on the eye, travel your city with the surrounding propped up by a perfect length cable made for you to stroll through the streets with ease|1 year warranty from the date of purchase</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</si>
  <si>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</si>
  <si>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</si>
  <si>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</si>
  <si>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</si>
  <si>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</si>
  <si>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</si>
  <si>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</si>
  <si>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</si>
  <si>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</si>
  <si>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</si>
  <si>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</si>
  <si>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</si>
  <si>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</si>
  <si>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</si>
  <si>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</si>
  <si>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</si>
  <si>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</si>
  <si>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</si>
  <si>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</si>
  <si>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time|What’s Included: 2 tempered-glass screen protectors, instruction manual, alignment frame, and 2 cleaning kits</t>
  </si>
  <si>
    <t>https://www.amazon.in/ESR-iPad-Screen-Protector-Scratch-Resistant/dp/B07TMCXRFV/ref=sr_1_372?qid=1672903013&amp;s=computers&amp;sr=1-372</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</si>
  <si>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</si>
  <si>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</si>
  <si>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</si>
  <si>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</si>
  <si>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</si>
  <si>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</si>
  <si>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</si>
  <si>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</si>
  <si>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</si>
  <si>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</si>
  <si>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</si>
  <si>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</si>
  <si>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</si>
  <si>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</si>
  <si>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</si>
  <si>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</si>
  <si>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</si>
  <si>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</si>
  <si>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</si>
  <si>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</si>
  <si>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</si>
  <si>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</si>
  <si>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</si>
  <si>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</si>
  <si>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</si>
  <si>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</si>
  <si>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</si>
  <si>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</si>
  <si>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</si>
  <si>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</si>
  <si>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</si>
  <si>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</si>
  <si>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https://www.amazon.in/Zinq-Technologies-ZQ-6600-Intercom-Set-top/dp/B08FGNPQ9X/ref=sr_1_383?qid=1672903013&amp;s=computers&amp;sr=1-383</t>
  </si>
  <si>
    <t>B07NTKGW45</t>
  </si>
  <si>
    <t>SaleOn™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</si>
  <si>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</si>
  <si>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https://www.amazon.in/SaleOnTM-Portable-Organizer-Earphone-Assorted/dp/B07NTKGW45/ref=sr_1_384?qid=1672903013&amp;s=computers&amp;sr=1-384</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</si>
  <si>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</si>
  <si>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</si>
  <si>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</si>
  <si>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 7, 8, 8.1 and 10 + PS3 | dual vibration | Note: to switch from Direct to X-input mode, press and hold the "home" Button|This gamepad has 10 digital keys, 2 Analog sticks, 2 Analog sensitive triggers, 1.7 meter USB cable. X and D input compatible.|Connection: USB 2.0 high speed ​​(Wired) | vibration effects through dual vibration function (rumble effect) ensure even more realistic gaming environment.|Easy installation through plug &amp; play | ergonomic shape/ compact design | light weight</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</si>
  <si>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</si>
  <si>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</si>
  <si>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</si>
  <si>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</si>
  <si>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</si>
  <si>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</si>
  <si>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</si>
  <si>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Fantastic：The LCD writing tablet adopts 2021 LCD pressure-sensitive technology and 10-inch LCD colorful screen. This toddler doodle board without radiation, no glare, safe and comfortable even use for a long time, offers enough space for graffiti and easy viewing, free child’s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</si>
  <si>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</si>
  <si>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</si>
  <si>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</si>
  <si>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</si>
  <si>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</si>
  <si>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</si>
  <si>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</si>
  <si>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</si>
  <si>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</si>
  <si>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https://www.amazon.in/Robustrion-Anti-Scratch-Samsung-Tab-Lite/dp/B08CTQP51L/ref=sr_1_390?qid=1672903014&amp;s=computers&amp;sr=1-390</t>
  </si>
  <si>
    <t>B0BG62HMDJ</t>
  </si>
  <si>
    <t>Cablet 2.5 Inch SATA USB 3.0 HDD/SSD Portable External Enclosure for 7mm and 9.5mm, Tool-Free Design, Supports UASP Max 6TB</t>
  </si>
  <si>
    <t>【Ideal Drive Enclosure for Work】- The CABLET 2.5 Inch USB 3.0 Enclosure with durable strip appearance and classic black colour with the advantage of easy to clean. Hold the 2.5” enclosure in the office, just connect your PC, Desktop, Mobile and other devices, plug and play.|【Wide Compatibility Enclosure】- The 2.5” HDD/SSD Enclosure can support 2.5 inch 7-9.5mm HDD/SSD up to 6TB for any brand hard drive with SATA I/II/III port. Also compatible with Windows, Linux and Mac OS systems, compatible with WD, Seagate, Samsung, PS4, TV, and other devices.|【USB3.0 5Gbps Enclosure】- Adopting with USB 3.0 interface and UASP accelerated transmission protocol supported, the 2.5” HDD/SSD Enclosure can help with the data transfer rate up to 5Gbps, about 20% faster than traditional USB data port, transfers 1G file in 3 seconds, no data delay.|【Easy to Use, Plug and Play】-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loss.]|【Shock-proof Performance】- Enclosed with a shock-proof sponge pad, enhance the protection of the hard drive effectively and keep it steady.</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</si>
  <si>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</si>
  <si>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</si>
  <si>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</si>
  <si>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</si>
  <si>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</si>
  <si>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</si>
  <si>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</si>
  <si>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</si>
  <si>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</si>
  <si>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</si>
  <si>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</si>
  <si>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</si>
  <si>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</si>
  <si>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</si>
  <si>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</si>
  <si>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</si>
  <si>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</si>
  <si>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</si>
  <si>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</si>
  <si>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</si>
  <si>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</si>
  <si>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</si>
  <si>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keyâ€”music,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</si>
  <si>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</si>
  <si>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</si>
  <si>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</si>
  <si>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</si>
  <si>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</si>
  <si>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</si>
  <si>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</si>
  <si>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</si>
  <si>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</si>
  <si>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https://www.amazon.in/Redgear-Cloak-Gaming-Headphones-Microphone/dp/B07T9FV9YP/ref=sr_1_400?qid=1672903014&amp;s=computers&amp;sr=1-400</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</si>
  <si>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</si>
  <si>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</si>
  <si>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</si>
  <si>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⚡【65W High Speed Charging】: Output power up to 20V 3.25A, which is ensured by high-speed safe charging, and the USB 2.0 supports data transfer speed can reach 40~60MB/S (480Mbps). NOTE: This product DO NOT support video output.|💪【Military grade material】:Strong military fiber, the most flexible, powerful and durable material, makes tensile force increased by 200%. Special Strain Relief design, can bear 10000+ bending test. Premium Aluminum housing makes the cable more durable|📢【NOTE before purchase】:This is a USB-C to USB-C cable, which means it has the same USB C plug on both ends, please be aware that this is not a USB-C to USB-A cable. Besides, you may need a USB C wall charger to charge your device.|【What you get】:We provide this 1meter/3ft Type C to Type C Cable and 24/7 customer service, if you have any questions,we will resolve your issue within 24 hours.|【Compatibility List】: This USB C to USB C cable compatible with Samsung Galaxy S21 S21+ / S20 S20+ S20 Ultra Note10/Note 10 Plus,S20, S21 Ultra, iPad Air 2020 10.9‘’ (Gen 4), iPad Pro 12.9'' Gen3 (2018) , iPad Pro 11'' (2018), Nexus 6P/5X , Compatible with Macbook with the original charger (View Product Description for details)</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</si>
  <si>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</si>
  <si>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</si>
  <si>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</si>
  <si>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</si>
  <si>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https://www.amazon.in/Amazfit-Version-Always-Display-Monitoring/dp/B09TBCVJS3/ref=sr_1_403?qid=1672903014&amp;s=computers&amp;sr=1-403</t>
  </si>
  <si>
    <t>B08TR61BVK</t>
  </si>
  <si>
    <t>Tabelito® Polyester Foam, Nylon Hybrid laptopss Bag Sleeve Case Cover Pouch for laptopss Apple/Dell/Lenovo/ Asus/ Hp/Samsung/Mi/MacBook/Ultrabook/Thinkpad/Ideapad/Surfacepro (15.6 inches /39.6cm, Blue) laptopsss</t>
  </si>
  <si>
    <t>Compatible Devices - Internal dimensions: 15.6 x 11 x 0.8 inches​​,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</si>
  <si>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</si>
  <si>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</si>
  <si>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</si>
  <si>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</si>
  <si>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</si>
  <si>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</si>
  <si>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</si>
  <si>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</si>
  <si>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‘Clear’ button conveniently erases the content on the LCD Writing tablet, instantly. Keep that trash empty, and your content safe. Also protects your vision by being radiation-free, has no glowing colors or glares, and is fit for long hours- extra safe for your kids too!</t>
  </si>
  <si>
    <t>https://www.amazon.in/Portronics-Ruffpad-Re-Writable-15-inch-Handwriting/dp/B08XNL93PL/ref=sr_1_407?qid=1672903014&amp;s=computers&amp;sr=1-407</t>
  </si>
  <si>
    <t>B088GXTJM3</t>
  </si>
  <si>
    <t>DIGITEK®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</si>
  <si>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</si>
  <si>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</si>
  <si>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</si>
  <si>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</si>
  <si>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</si>
  <si>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</si>
  <si>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https://www.amazon.in/Classmate-Pulse-Subject-Notebook-Single/dp/B099S26HWG/ref=sr_1_409?qid=1672903016&amp;s=computers&amp;sr=1-409</t>
  </si>
  <si>
    <t>B08461VC1Z</t>
  </si>
  <si>
    <t>Scarters Mouse Pad, Desk Mat Extended for Work from Home/Office/Gaming | Vegan PU Leather | Anti-Skid, Anti-Slip, Reversible Splash-Proof – Deskspread ~ Navy Blue &amp; Yellow</t>
  </si>
  <si>
    <t>Dimensions: 90 cm X 45 cm | Reversible Use - Navy Blue &amp; Yellow Ochre | Material –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</si>
  <si>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</si>
  <si>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</si>
  <si>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</si>
  <si>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</si>
  <si>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</si>
  <si>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https://www.amazon.in/Casio-MJ-120D-Electronic-Calculator/dp/B00K32PEW4/ref=sr_1_411?qid=1672903016&amp;s=computers&amp;sr=1-411</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</si>
  <si>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</si>
  <si>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</si>
  <si>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</si>
  <si>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Ultrabook’s, Maximum Fit Size, and easy to use, practical design and exquisite workmanship.|External Dimension: 28 cm X 38 cm X 3.5 cm, Light Weight: 146 Grams</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</si>
  <si>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</si>
  <si>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</si>
  <si>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</si>
  <si>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</si>
  <si>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</si>
  <si>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</si>
  <si>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</si>
  <si>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 867 Mbps at 5 GHz and 400 Mbps at 2.4 GHz band|MU-MIMO Technology —— Simultaneously transfers data to multiple devices for 2× faster performance|Boosted Coverage —— Four external antennas equipped with Beamforming technology extend and concentrate the Wi-Fi signals|Access Point Mode —— Supports AP Mode to transform your wired connection into the wireless network|Easy Setup —— Set up your Wi-Fi in minutes with the TP-Link Tether app.</t>
  </si>
  <si>
    <t>https://www.amazon.in/TP-Link-Archer-A6-Wireless-Internet/dp/B07W9KYT62/ref=sr_1_415?qid=1672903016&amp;s=computers&amp;sr=1-415</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</si>
  <si>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</si>
  <si>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</si>
  <si>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</si>
  <si>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</si>
  <si>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https://www.amazon.in/HP-DeskJet-2723-Wireless-Printer/dp/B08D9MNH4B/ref=sr_1_418?qid=1672903016&amp;s=computers&amp;sr=1-418</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</si>
  <si>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</si>
  <si>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</si>
  <si>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</si>
  <si>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</si>
  <si>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https://www.amazon.in/Dualband-1200Mbps-Frequency-Directional-app-Parental/dp/B09MKG4ZCM/ref=sr_1_420?qid=1672903016&amp;s=computers&amp;sr=1-420</t>
  </si>
  <si>
    <t>B07RZZ1QSW</t>
  </si>
  <si>
    <t>SLOVIC®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</si>
  <si>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</si>
  <si>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https://www.amazon.in/SLOVIC%C2%AE-Adapter-Smartphone-Clipper-Pictures/dp/B07RZZ1QSW/ref=sr_1_421?qid=1672903016&amp;s=computers&amp;sr=1-421</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</si>
  <si>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</si>
  <si>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</si>
  <si>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</si>
  <si>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</si>
  <si>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</si>
  <si>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</si>
  <si>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</si>
  <si>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</si>
  <si>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</si>
  <si>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</si>
  <si>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</si>
  <si>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</si>
  <si>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</si>
  <si>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</si>
  <si>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</si>
  <si>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</si>
  <si>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</si>
  <si>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</si>
  <si>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</si>
  <si>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</si>
  <si>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</si>
  <si>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</si>
  <si>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</si>
  <si>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</si>
  <si>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It’s luxurious noise-isolating memory foam ear pads and adjustable split headband which reduces pressure and provides optimal comfort for long gaming sessions|Noise Cancellation: Redgear Cosmo 7.1 provides you a passive noise cancelling experience. It’s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</si>
  <si>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</si>
  <si>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</si>
  <si>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</si>
  <si>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</si>
  <si>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</si>
  <si>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</si>
  <si>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</si>
  <si>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</si>
  <si>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</si>
  <si>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https://www.amazon.in/Classmate-Long-Book-Unruled-Pages/dp/B086PXQ2R4/ref=sr_1_431?qid=1672903016&amp;s=computers&amp;sr=1-431</t>
  </si>
  <si>
    <t>B07L1N3TJX</t>
  </si>
  <si>
    <t>Artis AR-45W-MG2 45 Watts MG2 Laptop Adapter/Charger Compatible with MB Air 13” &amp; MB Air 11”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</si>
  <si>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</si>
  <si>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</si>
  <si>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</si>
  <si>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</si>
  <si>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 – 122001|Included Components: 1 Camera, 1 Power Adapter, 1 Power Cable, 1 Mounting Plate, 1 Quick Service Guide, 3 Sets Of Screw; Specific Uses For Product: Surveillance</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</si>
  <si>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</si>
  <si>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</si>
  <si>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</si>
  <si>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</si>
  <si>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</si>
  <si>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</si>
  <si>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</si>
  <si>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</si>
  <si>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</si>
  <si>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</si>
  <si>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</si>
  <si>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</si>
  <si>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</si>
  <si>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17–20,000 Hz (-10 dB),Microphone sensitivity -42 dBv (1 kHz),Impedance 28 Ω</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</si>
  <si>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</si>
  <si>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</si>
  <si>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</si>
  <si>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</si>
  <si>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https://www.amazon.in/HB-Adjustable-Aluminum-Foldable-Adjustment/dp/B0BHVPTM2C/ref=sr_1_439?qid=1672903017&amp;s=computers&amp;sr=1-439</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</si>
  <si>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</si>
  <si>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</si>
  <si>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</si>
  <si>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</si>
  <si>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</si>
  <si>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</si>
  <si>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</si>
  <si>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</si>
  <si>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</si>
  <si>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</si>
  <si>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</si>
  <si>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</si>
  <si>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</si>
  <si>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</si>
  <si>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</si>
  <si>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</si>
  <si>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</si>
  <si>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</si>
  <si>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</si>
  <si>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</si>
  <si>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</si>
  <si>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</si>
  <si>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</si>
  <si>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</si>
  <si>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</si>
  <si>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</si>
  <si>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</si>
  <si>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</si>
  <si>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</si>
  <si>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</si>
  <si>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</si>
  <si>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</si>
  <si>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</si>
  <si>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</si>
  <si>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</si>
  <si>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</si>
  <si>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</si>
  <si>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https://www.amazon.in/PC-SQUARE-Adjustable-Ergonomic-Compatible/dp/B09B9SPC7F/ref=sr_1_453?qid=1672903017&amp;s=computers&amp;sr=1-453</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</si>
  <si>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</si>
  <si>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</si>
  <si>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</si>
  <si>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It’s easy to get more done when you don’t have to waste time untangling messy cables or searching the office for new batteries. Its compact size makes it the perfect companion no matter what the occasion. Slide it into your pocket, backpack or laptop bag, and you’re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</si>
  <si>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https://www.amazon.in/Lenovo-Optical-Compact-Mouse-Black/dp/B099SD8PRP/ref=sr_1_455?qid=1672903017&amp;s=computers&amp;sr=1-455</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</si>
  <si>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</si>
  <si>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</si>
  <si>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</si>
  <si>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</si>
  <si>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 If pen is exposed to temperature that reaches 140℉, the ink will be colorless when writing. To restore color, cool to at least 14℉ in freezer and the ink will again write in color.|Eraser is at the top of the pen, tip is retractable by pressing clip down</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</si>
  <si>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</si>
  <si>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</si>
  <si>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</si>
  <si>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</si>
  <si>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</si>
  <si>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</si>
  <si>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</si>
  <si>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</si>
  <si>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</si>
  <si>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</si>
  <si>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</si>
  <si>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</si>
  <si>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https://www.amazon.in/Clublaptop-Reversible-15-6-inch-Laptop-Sleeve/dp/B00C3GBCIS/ref=sr_1_460?qid=1672903018&amp;s=computers&amp;sr=1-460</t>
  </si>
  <si>
    <t>B00URH5E34</t>
  </si>
  <si>
    <t>Inventis 5V 1.2W Portable Flexible USB LED Light Lamp (Colors may vary)</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</si>
  <si>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</si>
  <si>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</si>
  <si>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</si>
  <si>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 1 x 10/100mbps RJ45 Ethernet port|Works with Any Wi-Fi Router|In an unlikely case of product quality related issue, we may ask you to reach out to brand’s customer service support and seek resolution. We will require brand proof of issue to process replacement request.</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</si>
  <si>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</si>
  <si>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</si>
  <si>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</si>
  <si>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</si>
  <si>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https://www.amazon.in/boAt-Stone-250-Playback-Hours/dp/B08SMJT55F/ref=sr_1_464?qid=1672903018&amp;s=computers&amp;sr=1-464</t>
  </si>
  <si>
    <t>https://www.amazon.in/SWAPKART-Charging-Compatible-iPhone-Devices/dp/B0B2DJDCPX/ref=sr_1_465?qid=1672903018&amp;s=computers&amp;sr=1-465</t>
  </si>
  <si>
    <t>B08Y7MXFMK</t>
  </si>
  <si>
    <t>Offbeat® - DASH 2.4GHz Wireless + Bluetooth 5.1 Mouse, Multi-Device Dual Mode Slim Rechargeable Silent Click Buttons Wireless Bluetooth Mouse, 3 Adjustable DPI, Works on 2 devices at the same time with a switch button for Windows/Mac/Android/Ipad/Smart TV</t>
  </si>
  <si>
    <t>► 【2.4G WIRELESS DUAL MODE AND BLUETOOTH 5.1】The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 【 RECHARGEABLE AND ENERGY SAVING】 : The mouse built-in rechargeable battery, with a charging cable. No need to change batteries. To save power and for long-term usage, the mouse will automatically enter into the sleep mode after 11 minutes of inactivity, it can be waken up by clicking any button.|► 【PLUG/PLAY AND ADJUSTABLE DPI】No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 【SILENT CLICK &amp; ERGONOMIC DESIGN】Silent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</si>
  <si>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</si>
  <si>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</si>
  <si>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</si>
  <si>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</si>
  <si>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</si>
  <si>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</si>
  <si>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</si>
  <si>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</si>
  <si>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</si>
  <si>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</si>
  <si>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</si>
  <si>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</si>
  <si>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</si>
  <si>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</si>
  <si>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</si>
  <si>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</si>
  <si>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</si>
  <si>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https://www.amazon.in/Camlin-Elegante-Fountain-Pen-Black/dp/B00LY17RHI/ref=sr_1_476?qid=1672903018&amp;s=computers&amp;sr=1-476</t>
  </si>
  <si>
    <t>B07W14CHV8</t>
  </si>
  <si>
    <t>CARECASE®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</si>
  <si>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</si>
  <si>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</si>
  <si>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https://www.amazon.in/Optical-Drive-Caddy-Universal-9-5mm/dp/B07W14CHV8/ref=sr_1_483?qid=1672903019&amp;s=computers&amp;sr=1-483</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</si>
  <si>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</si>
  <si>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</si>
  <si>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</si>
  <si>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</si>
  <si>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</si>
  <si>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</si>
  <si>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</si>
  <si>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generation⁴|Dynamic write acceleration. Multistep data integrity algorithm.</t>
  </si>
  <si>
    <t>https://www.amazon.in/Crucial-500GB-PCIe-NAND-3500MB/dp/B0B25LQQPC/ref=sr_1_486?qid=1672903019&amp;s=computers&amp;sr=1-486</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</si>
  <si>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</si>
  <si>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</si>
  <si>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</si>
  <si>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âgo storing!|Offers a sleek and slim way to store and share your music, photos, files and more.|For product related query contact brand customer support for faster resolution</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</si>
  <si>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</si>
  <si>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</si>
  <si>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</si>
  <si>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</si>
  <si>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https://www.amazon.in/Duracell-Alkaline-Battery-Duralock-Technology/dp/B014SZPBM4/ref=sr_1_490?qid=1672903019&amp;s=computers&amp;sr=1-490</t>
  </si>
  <si>
    <t>B08CZHGHKH</t>
  </si>
  <si>
    <t>BESTOR®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</si>
  <si>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</si>
  <si>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</si>
  <si>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</si>
  <si>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</si>
  <si>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</si>
  <si>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</si>
  <si>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</si>
  <si>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</si>
  <si>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</si>
  <si>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</si>
  <si>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</si>
  <si>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</si>
  <si>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</si>
  <si>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</si>
  <si>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https://www.amazon.in/ZEBRONICS-Zeb-Astra-Wireless-Portable-Function/dp/B08S74GTBT/ref=sr_1_495?qid=1672903019&amp;s=computers&amp;sr=1-495</t>
  </si>
  <si>
    <t>https://www.amazon.in/Wireless-Generation-Sensitive-Rejection-Compatible/dp/B0B9BD2YL4/ref=sr_1_496?qid=1672903019&amp;s=computers&amp;sr=1-496</t>
  </si>
  <si>
    <t>https://www.amazon.in/Lapster-compatible-OnePlus-charging-Compatible/dp/B0BMXMLSMM/ref=sr_1_497?qid=1672903019&amp;s=computers&amp;sr=1-497</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</si>
  <si>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</si>
  <si>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</si>
  <si>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</si>
  <si>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</si>
  <si>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</si>
  <si>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</si>
  <si>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</si>
  <si>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manufacturer’s warranty</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</si>
  <si>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</si>
  <si>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</si>
  <si>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</si>
  <si>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</si>
  <si>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</si>
  <si>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</si>
  <si>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</si>
  <si>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</si>
  <si>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</si>
  <si>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</si>
  <si>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</si>
  <si>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</si>
  <si>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</si>
  <si>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</si>
  <si>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</si>
  <si>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</si>
  <si>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</si>
  <si>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</si>
  <si>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</si>
  <si>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✅REJUVENATE FABRICS &amp; KEEP TIDY - Restore your clothes and fabrics to a fresh new look! Powerful engine can easily and gently remove fluffs, lints, pilling, fuzzes and bobbles from fabrics like bed sheets, cushions, sweaters, woolen coats, curtains, carpets and more!|✅MAKE ALL FABRICS LOOK BRAND NEW: Even the highest quality of fabrics require a little rejuvenation every now and then, and this Fabric Shaver features a sharp stainless steel razor blade that will make quick work of damaged fabrics and make them look good as new.|✅ERGONOMIC DESIGN WITH A BATTERY POWERED MOTOR: Specially designed and lightweight with a 180° handle so it's easy to grip while you efforlessly defuzz your fabrics at any angle. The motor generates a strong suction when the blades are rotating for maximum effect.|✅EASY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</si>
  <si>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</si>
  <si>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</si>
  <si>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</si>
  <si>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</si>
  <si>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 [LCD Screen] : A wide LCD screen display makes this scale easy to read, and it automatically locks its reading when the data is stable.|✅ [Multiple Features] : There are multiple features on the scale, such as an ON/OFF mode, a tare function, a unit exchange function, and an overload indicator.|✅ [Salient Features] : BeatXP kitchen weighing has Wide Screen Display, Automatic Data Locking, Low Power Consumption, Low Battery Indicator, High Precision Sensor, When the scale is overloaded, the scale will appear O/C.|✅ [Flat Surface] : To ensure accurate measurements, place the Kitchen weighing scale on a flat surface.|✅ [Color] : This scale is white in color and made from PVC</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</si>
  <si>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</si>
  <si>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</si>
  <si>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</si>
  <si>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</si>
  <si>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</si>
  <si>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</si>
  <si>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</si>
  <si>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</si>
  <si>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</si>
  <si>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</si>
  <si>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</si>
  <si>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</si>
  <si>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</si>
  <si>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</si>
  <si>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</si>
  <si>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</si>
  <si>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</si>
  <si>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</si>
  <si>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</si>
  <si>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</si>
  <si>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</si>
  <si>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</si>
  <si>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</si>
  <si>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</si>
  <si>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</si>
  <si>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</si>
  <si>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</si>
  <si>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</si>
  <si>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</si>
  <si>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</si>
  <si>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</si>
  <si>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</si>
  <si>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</si>
  <si>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</si>
  <si>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</si>
  <si>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</si>
  <si>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</si>
  <si>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</si>
  <si>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</si>
  <si>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</si>
  <si>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</si>
  <si>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</si>
  <si>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✅【Get Creamy Froth Quickly】With a higher speed motor, this milk frother spins quickly and smoothly. It makes best creamy froth with milk heated . Enjoy your favorite coffee with foam topping in seconds.|✅【For Perfect Froth】This coffee frother is powered by 2 AA batteries, it brings creamy froth instantly. Within 1 minute, you get a glass filled with milk foam for your coffee.|✅【Enjoy Your Latte Anywhere】Missing your morning latte when travelling? Just take this portable frother on the road. Small yet effective, easily to make your cafe style cappuccino|✅【100% Satisfaction] We aim to provide high quality product, and stand behind it with a full replacement service. In case you have any issues, just contact us and we will make it right for you, at any time!</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</si>
  <si>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</si>
  <si>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</si>
  <si>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</si>
  <si>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</si>
  <si>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</si>
  <si>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</si>
  <si>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</si>
  <si>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</si>
  <si>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</si>
  <si>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</si>
  <si>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</si>
  <si>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</si>
  <si>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</si>
  <si>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</si>
  <si>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</si>
  <si>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</si>
  <si>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</si>
  <si>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</si>
  <si>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</si>
  <si>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</si>
  <si>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</si>
  <si>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</si>
  <si>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</si>
  <si>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</si>
  <si>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</si>
  <si>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</si>
  <si>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</si>
  <si>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</si>
  <si>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</si>
  <si>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</si>
  <si>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</si>
  <si>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</si>
  <si>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</si>
  <si>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</si>
  <si>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</si>
  <si>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</si>
  <si>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</si>
  <si>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</si>
  <si>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</si>
  <si>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</si>
  <si>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</si>
  <si>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</si>
  <si>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</si>
  <si>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</si>
  <si>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</si>
  <si>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</si>
  <si>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</si>
  <si>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</si>
  <si>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</si>
  <si>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</si>
  <si>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</si>
  <si>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</si>
  <si>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</si>
  <si>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</si>
  <si>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</si>
  <si>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</si>
  <si>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</si>
  <si>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</si>
  <si>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</si>
  <si>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</si>
  <si>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</si>
  <si>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</si>
  <si>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</si>
  <si>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</si>
  <si>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</si>
  <si>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</si>
  <si>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</si>
  <si>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</si>
  <si>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</si>
  <si>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</si>
  <si>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</si>
  <si>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</si>
  <si>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</si>
  <si>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</si>
  <si>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</si>
  <si>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</si>
  <si>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</si>
  <si>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</si>
  <si>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</si>
  <si>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</si>
  <si>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</si>
  <si>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</si>
  <si>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</si>
  <si>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</si>
  <si>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</si>
  <si>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</si>
  <si>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</si>
  <si>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</si>
  <si>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</si>
  <si>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</si>
  <si>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</si>
  <si>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</si>
  <si>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</si>
  <si>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</si>
  <si>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</si>
  <si>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</si>
  <si>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</si>
  <si>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</si>
  <si>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</si>
  <si>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</si>
  <si>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</si>
  <si>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</si>
  <si>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</si>
  <si>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</si>
  <si>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</si>
  <si>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</si>
  <si>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</si>
  <si>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</si>
  <si>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</si>
  <si>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</si>
  <si>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</si>
  <si>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</si>
  <si>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</si>
  <si>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</si>
  <si>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</si>
  <si>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</si>
  <si>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</si>
  <si>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</si>
  <si>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</si>
  <si>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</si>
  <si>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</si>
  <si>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</si>
  <si>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</si>
  <si>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Asia’s most trusted brand(As per Research by ibrands360 &amp; WCRCINT. Category: Home Appliances.)</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</si>
  <si>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</si>
  <si>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</si>
  <si>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</si>
  <si>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</si>
  <si>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</si>
  <si>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</si>
  <si>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</si>
  <si>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</si>
  <si>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</si>
  <si>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</si>
  <si>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</si>
  <si>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</si>
  <si>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</si>
  <si>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</si>
  <si>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</si>
  <si>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</si>
  <si>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</si>
  <si>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</si>
  <si>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</si>
  <si>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</si>
  <si>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</si>
  <si>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</si>
  <si>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</si>
  <si>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</si>
  <si>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</si>
  <si>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</si>
  <si>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</si>
  <si>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</si>
  <si>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 with plug-in facility|Capacity: 1.5 L|Embedded optimal power-consuming technology; Wattage:1500 Watts|Heat-resistant and cool-touch plastic handle; energy-efficient, affordable and long-lasting kettle|Care instructions: Do not immerse the product in water. Do not touch the stainless steel body during and after boiling. Keep the kettle away from children</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</si>
  <si>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</si>
  <si>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</si>
  <si>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</si>
  <si>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</si>
  <si>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 Non stick coating for oil free toasting|Power Indicators for easy of use|800 watts power, Voltage(V): 230 Volts|Easy to clean|Warranty: 1 year warranty provided by the manufacturer from date of purchase</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</si>
  <si>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</si>
  <si>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</si>
  <si>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</si>
  <si>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</si>
  <si>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</si>
  <si>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</si>
  <si>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</si>
  <si>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</si>
  <si>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</si>
  <si>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</si>
  <si>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</si>
  <si>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</si>
  <si>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</si>
  <si>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</si>
  <si>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</si>
  <si>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You’ll love how it delivers the seamless removing of lint on coat and sweater.|NOTE - Use fast charging adaptor (&gt;30W) to completely charge device within 2 Hours.|1 year manufacturer’s warranty</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</si>
  <si>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</si>
  <si>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</si>
  <si>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</si>
  <si>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</si>
  <si>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</si>
  <si>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</si>
  <si>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</si>
  <si>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</si>
  <si>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</si>
  <si>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</si>
  <si>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</si>
  <si>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</si>
  <si>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</si>
  <si>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</si>
  <si>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</si>
  <si>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</si>
  <si>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</si>
  <si>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</si>
  <si>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</si>
  <si>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 for storing and sprinkling come with the product|Trademark Design: The attractive trademark flower design stands apart and is a symbol of health and quality. It’s a reflection of your refined taste in the kitchen|2 YEARS WARRANTY &amp; AFTER SALES SERVICE: Reliable Wonderchef warranty with the best after sales service in over 12,000 pin codes across India. Also buy Spares &amp; Accessories here.</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</si>
  <si>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</si>
  <si>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</si>
  <si>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</si>
  <si>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fabric|180⁰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</si>
  <si>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</si>
  <si>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</si>
  <si>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</si>
  <si>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</si>
  <si>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</si>
  <si>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</si>
  <si>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</si>
  <si>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</si>
  <si>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</si>
  <si>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</si>
  <si>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</si>
  <si>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</si>
  <si>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</si>
  <si>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</si>
  <si>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</si>
  <si>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</si>
  <si>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</si>
  <si>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</si>
  <si>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</si>
  <si>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</si>
  <si>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</si>
  <si>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</si>
  <si>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</si>
  <si>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</si>
  <si>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</si>
  <si>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</si>
  <si>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</si>
  <si>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</si>
  <si>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</si>
  <si>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</si>
  <si>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</si>
  <si>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</si>
  <si>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</si>
  <si>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</si>
  <si>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</si>
  <si>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</si>
  <si>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</si>
  <si>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</si>
  <si>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</si>
  <si>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</si>
  <si>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</si>
  <si>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</si>
  <si>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</si>
  <si>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</si>
  <si>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</si>
  <si>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✔[ACCURATE WEIGHT]: Made with 4 Japanese-precision sensors, this digital kitchen scale will give you accurate weight every single time. Don’t settle for other scales with low-quality materials. We use food grade 304 stainless steel, while others are made from plastic.|✔[SUPER SMART FEATURES]: Bulfyss new scale comes with tare and instant unit conversion for 6 UNITS. It has a feather-light build, a gorgeous backlit LCD display, and anti-fingerprint technology. Plus, it turns off automatically after 2 minutes in case you left it on. (g, kg, lb, oz, ml, milk ml)|✔[SLEEK, UPGRADED DESIGN]: Our new thinner version is a breeze to clean and looks beautiful sitting on your kitchen counter. The sleek petite build eliminates the clutter and gives you easy storage. It is made with lightweight materials, so you can carry it around.|✔[TRUSTED BY PROS]: Our food scale is used and endorsed by celebrity chefs around the world. This means you get the same amazing service and quality assurance that we dedicate to them. If they trust it, so can you. Measures max 5 Kg and Minimum - 1g.|✔[SHOP WITH CONFIDENCE]: You can have peace of mind that this product has great quality &amp; it’s warranted for 2 year. Batteries are included for your convenience.</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</si>
  <si>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</si>
  <si>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</si>
  <si>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</si>
  <si>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</si>
  <si>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</si>
  <si>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</si>
  <si>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</si>
  <si>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</si>
  <si>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</si>
  <si>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</si>
  <si>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</si>
  <si>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</si>
  <si>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</si>
  <si>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</si>
  <si>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</si>
  <si>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</si>
  <si>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</si>
  <si>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</si>
  <si>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</si>
  <si>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</si>
  <si>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</si>
  <si>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</si>
  <si>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</si>
  <si>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</si>
  <si>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</si>
  <si>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</si>
  <si>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</si>
  <si>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</si>
  <si>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</si>
  <si>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</si>
  <si>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</si>
  <si>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</si>
  <si>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</si>
  <si>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</si>
  <si>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</si>
  <si>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</si>
  <si>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</si>
  <si>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</si>
  <si>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</si>
  <si>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</si>
  <si>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</si>
  <si>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</si>
  <si>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</si>
  <si>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</si>
  <si>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</si>
  <si>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</si>
  <si>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</si>
  <si>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</si>
  <si>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</si>
  <si>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</si>
  <si>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</si>
  <si>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</si>
  <si>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</si>
  <si>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</si>
  <si>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</si>
  <si>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</si>
  <si>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</si>
  <si>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</si>
  <si>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</si>
  <si>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</si>
  <si>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</si>
  <si>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</si>
  <si>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</si>
  <si>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</si>
  <si>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</si>
  <si>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</si>
  <si>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</si>
  <si>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</si>
  <si>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</si>
  <si>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</si>
  <si>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</si>
  <si>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</si>
  <si>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</si>
  <si>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</si>
  <si>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</si>
  <si>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</si>
  <si>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</si>
  <si>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</si>
  <si>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</si>
  <si>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</si>
  <si>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</si>
  <si>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décor|High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</si>
  <si>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</si>
  <si>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</si>
  <si>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</si>
  <si>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</si>
  <si>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</si>
  <si>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</si>
  <si>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</si>
  <si>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</si>
  <si>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</si>
  <si>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</si>
  <si>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</si>
  <si>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</si>
  <si>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</si>
  <si>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</si>
  <si>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</si>
  <si>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</si>
  <si>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</si>
  <si>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</si>
  <si>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</si>
  <si>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</si>
  <si>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</si>
  <si>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</si>
  <si>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</si>
  <si>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</si>
  <si>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(‎ACGRH- INSTACOMFORT)</t>
  </si>
  <si>
    <t>Two heat setting|Adjustable Thermostat|Over heat protection|Thermal cut off|Vertical &amp; horizontal mounting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</si>
  <si>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</si>
  <si>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</si>
  <si>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</si>
  <si>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</si>
  <si>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</si>
  <si>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</si>
  <si>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</si>
  <si>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</si>
  <si>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</si>
  <si>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</si>
  <si>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</si>
  <si>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✅REJUVENATE FABRICS &amp; KEEP TIDY - Restore your clothes and fabrics to a fresh new look! The powerful engine can quickly and gently remove fluffs, pilling, fuzzes, and bobbles from materials like bed sheets, cushions, sweaters, woolen coats, curtains, carpets, and more!|✅MAKE ALL FABRICS LOOK BRAND NEW: Even the highest quality of fabrics require a little rejuvenation every now and then, and this Fabric Shaver features a sharp stainless steel razor blade that will make quick work of damaged materials and make them look good as new.|✅ERGONOMIC DESIGN WITH A BATTERY POWERED MOTOR: Specially designed and lightweight with a 180° handle so it's easy to grip while you effortlessly your fabrics at any angle. The motor generates a strong suction when the blades are rotating for maximum effect.|✅EASY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</si>
  <si>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</si>
  <si>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</si>
  <si>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</si>
  <si>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</si>
  <si>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</si>
  <si>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</si>
  <si>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</si>
  <si>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</si>
  <si>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</si>
  <si>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</si>
  <si>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</si>
  <si>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</si>
  <si>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</si>
  <si>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</si>
  <si>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</si>
  <si>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</si>
  <si>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</si>
  <si>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</si>
  <si>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</si>
  <si>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</si>
  <si>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</si>
  <si>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</si>
  <si>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</si>
  <si>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</si>
  <si>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</si>
  <si>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</si>
  <si>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</si>
  <si>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</si>
  <si>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</si>
  <si>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</si>
  <si>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Processorᵀᴹ and Polisher|Activated Carbon Filter - Removes harmful parasites &amp; pesticides|Germkill Processorᵀᴹ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</si>
  <si>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</si>
  <si>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</si>
  <si>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</si>
  <si>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</si>
  <si>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Processorᵀᴹ and Polisher|Activated Carbon Filter - Removes harmful parasites &amp; pesticides|Germkill Processorᵀᴹ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</si>
  <si>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</si>
  <si>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</si>
  <si>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</si>
  <si>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</si>
  <si>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</si>
  <si>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</si>
  <si>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</si>
  <si>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</si>
  <si>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</si>
  <si>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</si>
  <si>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</si>
  <si>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</si>
  <si>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</si>
  <si>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</si>
  <si>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</si>
  <si>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</si>
  <si>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</si>
  <si>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</si>
  <si>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</si>
  <si>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</si>
  <si>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</si>
  <si>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</si>
  <si>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</si>
  <si>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</si>
  <si>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</si>
  <si>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</si>
  <si>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</si>
  <si>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</si>
  <si>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No|360⁰ swivel cord for easy operation|1.8 m long chord|Indicator lamp for thermostat function indication</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</si>
  <si>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</si>
  <si>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</si>
  <si>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</si>
  <si>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</si>
  <si>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</si>
  <si>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</si>
  <si>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</si>
  <si>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</si>
  <si>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</si>
  <si>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</si>
  <si>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</si>
  <si>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</si>
  <si>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</si>
  <si>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</si>
  <si>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</si>
  <si>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</si>
  <si>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</si>
  <si>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</si>
  <si>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</si>
  <si>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</si>
  <si>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</si>
  <si>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</si>
  <si>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</si>
  <si>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speed.|【Elegant &amp; Ergonomic Design】Ergonomic design, the pilling remover for clothes has an easy-grip handle which offers users a comfortable experience.|【Easy to Use and Clean】This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</si>
  <si>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</si>
  <si>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</si>
  <si>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</si>
  <si>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</si>
  <si>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</si>
  <si>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</si>
  <si>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</si>
  <si>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</si>
  <si>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</si>
  <si>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</si>
  <si>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</si>
  <si>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✔Quick Electric Hot Water Tap Heating tube: high-purity copper liner heating element Rated voltage: 220V/50HZ Rated Power: 3000W|✔When you receive Swiffer Water tankless instant electric tap water heater, please do not test it in your hands, you need install it well and then test, or it will be dangerous. Please operate it according to the instructions.|✔Support and well-being of dual-use electric faucet, while heated, the water, the lower the temperature, whereas the smaller the flow, the higher the temperature.|✔Power unified are the 3000-watt, 5 seconds fast heat! Your hands won't feel cold when washing dishes or doing the laundry or washing vegetables. Of course, washing face and brushing teeth with warm water every morning are great enjoyments.|✔Your hands won't feel cold when washing dishes or doing the laundry. Of course,washing face and brushing teeth with warm water every morning are great enjoyments.|✔When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</si>
  <si>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</si>
  <si>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</si>
  <si>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</si>
  <si>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</si>
  <si>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</si>
  <si>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</si>
  <si>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</si>
  <si>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</si>
  <si>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</si>
  <si>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</si>
  <si>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</si>
  <si>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</si>
  <si>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</si>
  <si>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</si>
  <si>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</si>
  <si>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</si>
  <si>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</si>
  <si>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</si>
  <si>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</si>
  <si>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</si>
  <si>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</si>
  <si>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</si>
  <si>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</si>
  <si>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</si>
  <si>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</si>
  <si>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</si>
  <si>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</si>
  <si>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</si>
  <si>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</si>
  <si>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</si>
  <si>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</si>
  <si>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</si>
  <si>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</si>
  <si>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</si>
  <si>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</si>
  <si>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</si>
  <si>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</si>
  <si>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</si>
  <si>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</si>
  <si>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</si>
  <si>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</si>
  <si>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</si>
  <si>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</si>
  <si>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 operates only when Cookware is placed on|5 Pre-set Indian menu, Timer: 1 min to 3 hours</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</si>
  <si>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</si>
  <si>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</si>
  <si>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</si>
  <si>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</si>
  <si>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m³/h. AX30 is Re-designed 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 limited warranty from the date of purchase. In case if you face any problem with our product, please contact us before leaving any review. Our friendly customer care team is always ready to enhance your product experience. Filter life is up to 6 months and Authentic Reffair replacement filter is always available at B0912LC8R9 (ASIN).</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</si>
  <si>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</si>
  <si>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</si>
  <si>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</si>
  <si>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</si>
  <si>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</si>
  <si>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</si>
  <si>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</si>
  <si>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</si>
  <si>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</si>
  <si>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</si>
  <si>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</si>
  <si>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</si>
  <si>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</si>
  <si>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</si>
  <si>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</si>
  <si>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</si>
  <si>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</si>
  <si>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https://www.amazon.in/Philips-Collection-HL1655-00-250-Watt/dp/B00YQLG7GK/ref=sr_1_169?qid=1672923598&amp;s=kitchen&amp;sr=1-169</t>
  </si>
  <si>
    <t>B00SMJPA9C</t>
  </si>
  <si>
    <t>Bajaj DX-2 600W Dry Iron with Advance Soleplate and Anti-Bacterial German Coating Technology, Grey</t>
  </si>
  <si>
    <t>https://www.amazon.in/Bajaj-DX-600-Watt-Light-Weight/dp/B00SMJPA9C/ref=sr_1_170?qid=1672923598&amp;s=kitchen&amp;sr=1-170</t>
  </si>
  <si>
    <t>B0B9RN5X8B</t>
  </si>
  <si>
    <t>V-Guard Zio Instant Water Geyser | 3 Litre | 3000 W Heating | White-Blue | | 2 Year Warranty</t>
  </si>
  <si>
    <t>POWERFUL INSTANT HEATING: The geyser is powered by a superior 3 kW heating element with a copper sheath and high-grade magnesium oxide insulation for quick movement of heat|ADVANCED 4 LAYER SAFETY: 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 1800-103-1300 (Toll Free) | 1860-180-3000 (Toll) or send a “Hi” via WhatsApp to +91963350333 or email us at customercare@vguard.in</t>
  </si>
  <si>
    <t>https://www.amazon.in/V-Guard-Instant-Heating-White-Blue-Warranty/dp/B0B9RN5X8B/ref=sr_1_171?qid=1672923598&amp;s=kitchen&amp;sr=1-171</t>
  </si>
  <si>
    <t>B08QW937WV</t>
  </si>
  <si>
    <t>Homeistic Applience™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</si>
  <si>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</si>
  <si>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</si>
  <si>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</si>
  <si>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</si>
  <si>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</si>
  <si>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</si>
  <si>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</si>
  <si>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</si>
  <si>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</si>
  <si>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</si>
  <si>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</si>
  <si>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</si>
  <si>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</si>
  <si>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</si>
  <si>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</si>
  <si>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</si>
  <si>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</si>
  <si>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</si>
  <si>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</si>
  <si>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</si>
  <si>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‘switch-on’ mode</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</si>
  <si>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</si>
  <si>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</si>
  <si>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</si>
  <si>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</si>
  <si>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</si>
  <si>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</si>
  <si>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</si>
  <si>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</si>
  <si>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</si>
  <si>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</si>
  <si>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</si>
  <si>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</si>
  <si>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</si>
  <si>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</si>
  <si>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</si>
  <si>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</si>
  <si>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</si>
  <si>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</si>
  <si>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</si>
  <si>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</si>
  <si>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</si>
  <si>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</si>
  <si>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</si>
  <si>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</si>
  <si>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</si>
  <si>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</si>
  <si>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</si>
  <si>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</si>
  <si>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</si>
  <si>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</si>
  <si>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décor|Laundry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</si>
  <si>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</si>
  <si>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</si>
  <si>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</si>
  <si>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“ADD TO CART” now and get this Fabware Lint remover Roller &amp; Pet Hair remover from clothes and home today!</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</si>
  <si>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</si>
  <si>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</si>
  <si>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</si>
  <si>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‘N’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</si>
  <si>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</si>
  <si>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</si>
  <si>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</si>
  <si>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</si>
  <si>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</si>
  <si>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</si>
  <si>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</si>
  <si>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</si>
  <si>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</si>
  <si>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</si>
  <si>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</si>
  <si>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</si>
  <si>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</si>
  <si>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</si>
  <si>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</si>
  <si>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</si>
  <si>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</si>
  <si>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</si>
  <si>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</si>
  <si>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</si>
  <si>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</si>
  <si>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</si>
  <si>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</si>
  <si>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</si>
  <si>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</si>
  <si>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</si>
  <si>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</si>
  <si>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</si>
  <si>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</si>
  <si>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</si>
  <si>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</si>
  <si>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</si>
  <si>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</si>
  <si>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</si>
  <si>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</si>
  <si>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</si>
  <si>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</si>
  <si>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</si>
  <si>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</si>
  <si>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</si>
  <si>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</si>
  <si>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</si>
  <si>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</si>
  <si>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</si>
  <si>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https://www.amazon.in/Tosaa-Nonstick-Sandwich-Toaster-Regular/dp/B07RX42D3D/ref=sr_1_200?qid=1672923601&amp;s=kitchen&amp;sr=1-200</t>
  </si>
  <si>
    <t>B08WRKSF9D</t>
  </si>
  <si>
    <t>V-Guard Divino 5 Star Rated 15 Litre Storage Water Heater (Geyser) with Advanced Safety Features, White</t>
  </si>
  <si>
    <t>【15 LITRE】Storage Water Heater; 【BEE 5 STAR RATED】: Highly Energy Efficient with Extra Thick &amp; High Density CFC Free PUF Insulation for Maximum Heat Retention;【COUNTRY OF ORIGIN】: India|【ANTI-CORROSIVE &amp; SUITABLE FOR HARD WATER USAGE】: Advanced Vitreous Enamel Coating protects the Inner Tank, Superior Incoloy 800 Heating Element ensures Sustained Performance, Extra Thick Magnesium Anode provides Added Protection|【66% REDUCTION IN LEAKAGE】: Single Weld Line High Grade Mild Steel Tank|【SAFETY ASSURED】: Advanced Thermostat &amp; Thermal Cut-out Mechanism for Dual Overheat Protection; 5-in-1 Multi-function Safety Valve prevents excessive Pressure Build-up, Vacuum Formation &amp; Reverse Water Flow|【HYGIENIC &amp; PUNGENT-FREE WATER】: Multi-layer protection against Corrosion &amp; Scaling|【PAN INDIA INSTALLATION AVAILABLE AT INR 350+GST】: Inlet and Outlet Connection Pipes can be purchased from the technician on a chargeable basis (INR.250)|【WITHSTANDS UP TO 8 BAR PRESSURE】: Suitable for High Rise Buildings up to 35 floors and Pressure Pump Application</t>
  </si>
  <si>
    <t>https://www.amazon.in/V-Guard-Divino-Storage-15-Vertical/dp/B08WRKSF9D/ref=sr_1_201?qid=1672923601&amp;s=kitchen&amp;sr=1-201</t>
  </si>
  <si>
    <t>B09R83SFYV</t>
  </si>
  <si>
    <t>Akiara®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</si>
  <si>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</si>
  <si>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</si>
  <si>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</si>
  <si>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</si>
  <si>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</si>
  <si>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</si>
  <si>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</si>
  <si>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</si>
  <si>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</si>
  <si>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 a Big Jar for yummy shakes, Juicer attachment and an exciting Chopper, offering an all-in-one solution that functions as a mixer, grinder, blender, juicer and chopper –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</si>
  <si>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</si>
  <si>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</si>
  <si>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</si>
  <si>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caffè latte, hot chocolate, frappè, milkshake and any other drinks. It’s easy to make drinks by this milk frother handheld version.|Not Included for safety , please insert new batteries in opposite direction only|OPERATED BY AA 1.5 V x 2 Batteries (NOT included) &amp; Color send as per availabilty.</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</si>
  <si>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</si>
  <si>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</si>
  <si>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</si>
  <si>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</si>
  <si>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</si>
  <si>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</si>
  <si>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</si>
  <si>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</si>
  <si>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</si>
  <si>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</si>
  <si>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</si>
  <si>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</si>
  <si>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</si>
  <si>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</si>
  <si>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</si>
  <si>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</si>
  <si>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</si>
  <si>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</si>
  <si>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</si>
  <si>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</si>
  <si>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</si>
  <si>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</si>
  <si>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</si>
  <si>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</si>
  <si>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</si>
  <si>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</si>
  <si>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</si>
  <si>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</si>
  <si>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</si>
  <si>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</si>
  <si>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</si>
  <si>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</si>
  <si>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</si>
  <si>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</si>
  <si>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https://www.amazon.in/Havells-Glaze-Pearl-Ivory-Ceiling/dp/B09MT94QLL/ref=sr_1_217?qid=1672923601&amp;s=kitchen&amp;sr=1-217</t>
  </si>
  <si>
    <t>B07NKNBTT3</t>
  </si>
  <si>
    <t>Pick Ur Needs®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</si>
  <si>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</si>
  <si>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</si>
  <si>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</si>
  <si>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</si>
  <si>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</si>
  <si>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</si>
  <si>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</si>
  <si>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</si>
  <si>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</si>
  <si>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</si>
  <si>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</si>
  <si>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</si>
  <si>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</si>
  <si>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</si>
  <si>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</si>
  <si>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</si>
  <si>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</si>
  <si>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</si>
  <si>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</si>
  <si>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</si>
  <si>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</si>
  <si>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</si>
  <si>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</si>
  <si>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</si>
  <si>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</si>
  <si>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</si>
  <si>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</si>
  <si>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</si>
  <si>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</si>
  <si>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</si>
  <si>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</si>
  <si>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</si>
  <si>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</si>
  <si>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</si>
  <si>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</si>
  <si>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</si>
  <si>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</si>
  <si>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</si>
  <si>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</si>
  <si>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</si>
  <si>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</si>
  <si>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</si>
  <si>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📞【UTMOST CUSTOMER SUPPORT: 】24 hours WhatsApp, at ENEM, we try our best to provide great experience to you. For any reason, if you are not completely satisfied with your purchase, you may return the machine for a service or exchange within 1 year of purchase. Providing lifetime manufacturer’s support, in case of any trouble just call/WhatsApp us on +91 9958404521.|⭐【MADE IN INDIA! IMPROVED SEALING MACHINE:】ENEM sealing machine is proudly Made in India! We have used high quality transformer + High Quality Plug + heavy gauge wire so ensures good performance and optimum safety.|⭐【SUPPORT ALL HEAT SEALABLE MATERIAL BAGS: 】This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after.|⭐【ADJUSTABLE TIMER SETTING:】Adjustable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(2-3).|⭐【AUTO – POWER OFF PROTECTION:】ENEM Plastic Packing Machine remains in standby mode when not used, thereby not utilizing power. Only when same is used for sealing, power is consumed.|⭐【UPGRADED TRANSFORMER: 】The transformer used in machine is twice bigger than any others’ substitutes which can reduce heat and work loss, make sure this table top heat impulse sealer working life is double longer than normal sealing machine. Max seal thickness:10 mils. Sealing width: 2mm.</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</si>
  <si>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</si>
  <si>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</si>
  <si>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</si>
  <si>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</si>
  <si>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</si>
  <si>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</si>
  <si>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</si>
  <si>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</si>
  <si>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</si>
  <si>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</si>
  <si>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</si>
  <si>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【CLEAN CLOTHES EVERY TIME】 : Our lint roller has an extra sticky formula that helps you easily collect fuzz, fluff, and bobble balls from your pants, clothes, and fabrics without damaging the material.|【2X EXTRA STICKINESS】: VRPRIME offers 200% more pick-up per strong adhesive sheet for a quick and effective way to remove annoying pet hair, lint, and debris. You will save time and effort in removing stubborn hair and fuzzy bits from your clothes, sofa, furniture, car, carpet, etc.|【TOTAL 360 SHEETS】 : VRPRIME lint rollers come with 1 reusable ergonomic grip handles that comfortably fit in your hand, four refills of 90 sticky easy peel off spiraled sheets. Total 360 sheets in one package with great value.|【MULTI FUNCTION】 : The fluff remover is not limited to just clothing and garments, it also is your perfect tool to remove dog hair, cat hair, pet fur, fluff, fuzz, and lint from furniture, upholstery, bedding, car seats, etc.|【EASY TO PEEL OFF DESIGN 】: New improvement on cutting makes peeling off sheets extremely easy, you can start a new sheet from the top or bottom freely and tear off the sheets easily after use.|【A MUST-HAVE CLEANING TOOL】: VRPRIME dog lint remover for clothes can help pick up any shards or dirts from small spaces that a vacuum cleaner can never reach. Adhesive remover is especially effective for removing pet hair. It’s great for keeping clothes and furniture like couches, carpets, and curtains clean from debris in everyday life.You will never regret having Lint Roller pet fur remover.</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</si>
  <si>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</si>
  <si>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</si>
  <si>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</si>
  <si>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</si>
  <si>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</si>
  <si>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</si>
  <si>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</si>
  <si>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🔥PTC CERAMIC CHIP HEATING TECHNOLOGY: The EOPORA heater is powered by PTC ceramic chip heating technology with 1 second instant heat, which can heat a room faster and quickly and efficiently heating can quickly cover your office or room in minutes.|🔥2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environments.|🔥TIP-OVER PROTECTION &amp; OVER-HEAT PROTECTION: Room heater automatically turn off if they accidentally tip over, perfect for houses with kids and pets. When the heater overheats, the overheat protection will also automatically shut down the heater, making it safer for you to use.|🔥LOW NOISE TO USE: Room heaters have noise levels below 50 dB. Our room heater can provide warmth without interruption for the spaces you need to study, read, work and sleep.|🔥PERFECT FOR YOUR HOME OR OFFICE: The compact and portable design combined with the ergonomic built-in handle, will allow you to easily move your space heater to any room you want. Make sure your office, kitchen, bedroom, guest room, study or living room is nice and warm.|🔥1 YEAR WARRANTY: Eopora PTC Ceramic Fast Heating Room Heater has professional after -sales service and 12 -month warranty. If you have any questions or doubts, please contact us, we will solve your problems as soon as possible.</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</si>
  <si>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</si>
  <si>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</si>
  <si>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</si>
  <si>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</si>
  <si>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</si>
  <si>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</si>
  <si>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</si>
  <si>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</si>
  <si>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</si>
  <si>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</si>
  <si>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</si>
  <si>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</si>
  <si>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</si>
  <si>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</si>
  <si>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</si>
  <si>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</si>
  <si>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</si>
  <si>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</si>
  <si>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</si>
  <si>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</si>
  <si>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【Rechargeable Multi-Function Milk Frother】The Milk Frother comes with two Whisk-Heads attached to the handle - the Spring Whisk-Head is for making milk&amp;coffee foam, the Balloon Whisk-Head is for beating eggs|【High Quality】The product is made of food-grade 304 stainless steel and ABS; The rechargeable built-in Lithium Battery is powerful and can help you make things faster and more efficient - You can make a full cup of milk foam in about 15 seconds|【Detachable Design】The two whisk-heads are detachable, so it is easy for you to change, clean and store|【One-Touch Operation and Three-Staged Speed】It is very easy for you to operate our Milk Frother: Just push the switch button once for stage 1 - low speed, twice for stage 2 - medium speed and three times for stage 3 - high speed; If you push the switch button for 2 seconds, the power will be turned off</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</si>
  <si>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</si>
  <si>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</si>
  <si>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</si>
  <si>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</si>
  <si>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</si>
  <si>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</si>
  <si>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</si>
  <si>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</si>
  <si>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</si>
  <si>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</si>
  <si>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</si>
  <si>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</si>
  <si>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</si>
  <si>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</si>
  <si>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</si>
  <si>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</si>
  <si>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</si>
  <si>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</si>
  <si>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</si>
  <si>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</si>
  <si>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</si>
  <si>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</si>
  <si>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</si>
  <si>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</si>
  <si>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grade​|Warranty: 5 years on inner container, 2 years on Heating Element, 2 years comprehensive warranty|Product Dimensions: 20.5 cms x 29.4 cms x 18.5 cms</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</si>
  <si>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</si>
  <si>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</si>
  <si>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</si>
  <si>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</si>
  <si>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https://www.amazon.in/Lifelong-Boiler-Poacher-500-Watt-Transparent/dp/B08S7V8YTN/ref=sr_1_245?qid=1672923605&amp;s=kitchen&amp;sr=1-245</t>
  </si>
  <si>
    <t>B07H5PBN54</t>
  </si>
  <si>
    <t>INDIAS®™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</si>
  <si>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</si>
  <si>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</si>
  <si>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</si>
  <si>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</si>
  <si>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</si>
  <si>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</si>
  <si>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</si>
  <si>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</si>
  <si>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you’ve chosen. A low-fat milk wouldn’t create much of lather than a full fat milk would create. Therefore, to get the best results you are highly recommended for the usage of full fat milk.|Safe and healthy: The material used to manufacture the “blending head”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</si>
  <si>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</si>
  <si>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</si>
  <si>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</si>
  <si>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</si>
  <si>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</si>
  <si>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</si>
  <si>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</si>
  <si>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</si>
  <si>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</si>
  <si>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</si>
  <si>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</si>
  <si>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</si>
  <si>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</si>
  <si>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</si>
  <si>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</si>
  <si>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</si>
  <si>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</si>
  <si>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</si>
  <si>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</si>
  <si>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steamer’s lifetime</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</si>
  <si>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</si>
  <si>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</si>
  <si>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</si>
  <si>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doesn’t generate much heat.|DUAL BLADE TECHNOLOGY: Bi-level AERO4 blades have sharp edges that cleave down chunky pieces like a nice one. Makes your work simple and spends lesser time in your kitchen area.|ENLARGE CAPACITY: Brayden’s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</si>
  <si>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</si>
  <si>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</si>
  <si>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</si>
  <si>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It’s a reflection of your refined taste in the kitchen|2 YEARS WARRANTY &amp; AFTER SALES SERVICE: Reliable Wonderchef warranty with the best after sales service in over 12,000 pin codes across India.</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</si>
  <si>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</si>
  <si>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</si>
  <si>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</si>
  <si>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</si>
  <si>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</si>
  <si>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</si>
  <si>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</si>
  <si>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</si>
  <si>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</si>
  <si>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</si>
  <si>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</si>
  <si>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✔【Easy to carry around】- This handheld blender is equipped with a travel cover for easy carrying. You can drink nutritious juices, milkshakes or smoothies wherever you want, such as home, office, gym, travel or any other outdoor activities. In addition, it can be taken on the plane.|✔【Portable design】: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juice.|✔【food grade material】- The portable blender is made by high-quality ABS and silicone, food-grade material. It has unique safety design including Silicone bottom, non-slip and shock absorption.This portable juicer is also a suitable gift for juice and travel enthusiasts.|✔【4 Blade design】- The portable blender for milkshakes and smoothies has a powerful motor base and 4 food-grade stainless steel 3D blades.The SUS304 Stainless Stell of cutter head made with food-grade electrolysis technology is durable and has excellent mixing ability, allowing the pulp to be quickl|✔【One button blending/cleaning】: simple button touch. 350ml capacity when cleaning, just put an appropriate amount of water in the cup and press the button to automatically clean. This can save you a lot of trouble.</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</si>
  <si>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</si>
  <si>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</si>
  <si>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</si>
  <si>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</si>
  <si>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</si>
  <si>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</si>
  <si>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</si>
  <si>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</si>
  <si>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</si>
  <si>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</si>
  <si>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</si>
  <si>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</si>
  <si>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</si>
  <si>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</si>
  <si>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</si>
  <si>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</si>
  <si>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</si>
  <si>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</si>
  <si>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</si>
  <si>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</si>
  <si>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✅ABOUT : This top performance kettle is part of the Fine Collection, featuring a premium textured finish, stainless steel inside &amp; cool touch outer body for an attractive addition to your kitchen|✅SAVE TIME AND ENERGY: Made with double-wall construction . Stainless Steel Inside keeps your Stuff warm much longer and Cool to touch when heating. Enjoy quick boiling times so you can enjoy your coffee, tea, or boil eggs in no time.|✅CORDLESS SERVING - Pick up, pour, put back! You can set the Cordless kettle down on the 360° swivel base at any angle.|✅LARGE CAPACITY: It is perfect for frequent use with a capacity of 1.8 litre . Infact ! The wide mouth makes it easy to fill, pour, and clean and is designed to avoid spillage.|✅CONCEALED HEATING ELEMENT: Tesora’s Electric Kettle heating element is concealed , not exposed like many other kettles. So absolutely safe for Adults and children|✅OVERHEAT PROTECTION: For peace of mind while multi-tasking in the kitchen, the kettle automatically shuts off when water reaches a rolling boil or when there’s no water in the kettle.|✅1 YEAR WARRANTY AND PAN INDIA SERVICE: on all manufacturing defects And Pan India customer service as per the mentioned manufacturer details</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</si>
  <si>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</si>
  <si>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</si>
  <si>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</si>
  <si>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</si>
  <si>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</si>
  <si>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</si>
  <si>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</si>
  <si>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</si>
  <si>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</si>
  <si>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</si>
  <si>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</si>
  <si>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</si>
  <si>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</si>
  <si>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</si>
  <si>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</si>
  <si>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</si>
  <si>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</si>
  <si>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</si>
  <si>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</si>
  <si>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</si>
  <si>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</si>
  <si>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</si>
  <si>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</si>
  <si>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</si>
  <si>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</si>
  <si>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</si>
  <si>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-180ᶿ&amp;105ᶿ |2 year warranty|SS Finish|Standard size</t>
  </si>
  <si>
    <t>Truly multifunctional Grill Sandwich Maker which could used to make a sandwich maker to panini ,toast &amp; Roast and also operate as a smokeless indoor Grill|Sandwich Maker – Big size non stick plate (230mm*145 mm) opens upto 105ᶿ (Extra 15ᶿ) for easy operation and usage|Grill – With Huge plates can also be used to grill with plated opening upto 180ᶿ|Auto cut off feature to avoid excessive burning of food and stress free operation|Cool touch handle for safety and easy usage|Easy to clean non stick grill with quick heat up enabled by 1000 Watt function (2 years warranty)</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</si>
  <si>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</si>
  <si>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</si>
  <si>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</si>
  <si>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</si>
  <si>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</si>
  <si>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</si>
  <si>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</si>
  <si>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</si>
  <si>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https://www.amazon.in/Eureka-Forbes-Active-Cleaner-washable/dp/B08HDCWDXD/ref=sr_1_273?qid=1672923606&amp;s=kitchen&amp;sr=1-273</t>
  </si>
  <si>
    <t>B0836JGZ74</t>
  </si>
  <si>
    <t>CSI INTERNATIONAL®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</si>
  <si>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</si>
  <si>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</si>
  <si>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</si>
  <si>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</si>
  <si>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</si>
  <si>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</si>
  <si>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</si>
  <si>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</si>
  <si>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</si>
  <si>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</si>
  <si>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</si>
  <si>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</si>
  <si>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</si>
  <si>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</si>
  <si>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</si>
  <si>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</si>
  <si>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</si>
  <si>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</si>
  <si>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</si>
  <si>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</si>
  <si>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</si>
  <si>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</si>
  <si>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 battery backup provides continual operation during power cut and uninterrupted air delivery|With a size of 158 L x 95 W x 204 H MM, it gives instant comfort with high speed operation and high air thrust.|Mounting Type: Tabletop; Material Type: Plastic</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</si>
  <si>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</si>
  <si>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</si>
  <si>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</si>
  <si>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360⁰ swivel cord for easy cord movement and 6 pre-set fabric settings with variable temperature control|DESIGN: Matte black finished base and bronze lining, and a larger soleplate area with curved edges to ensure quick ironing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</si>
  <si>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</si>
  <si>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</si>
  <si>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</si>
  <si>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</si>
  <si>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</si>
  <si>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</si>
  <si>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</si>
  <si>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</si>
  <si>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</si>
  <si>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</si>
  <si>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</si>
  <si>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</si>
  <si>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</si>
  <si>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</si>
  <si>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</si>
  <si>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Processorᵀᴹ and Carbon Polisherᵀᴹ|Microfiber Filter - Removes visible impurities like dust, dirt, sand, etc.|Germkill Processorᵀᴹ - Uses programmed Germkill technology to remove invisible harmful viruses &amp; bacteria|Carbon Polisherᵀᴹ - Removes chlorine, odor, along with other impurities to purify water and improve its taste|For GKK replacement instructions, refer to the user manual pdf (in Product guides &amp; documents section)</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</si>
  <si>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</si>
  <si>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</si>
  <si>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</si>
  <si>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</si>
  <si>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</si>
  <si>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</si>
  <si>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</si>
  <si>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</si>
  <si>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</si>
  <si>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</si>
  <si>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</si>
  <si>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</si>
  <si>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</si>
  <si>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</si>
  <si>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</si>
  <si>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</si>
  <si>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</si>
  <si>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</si>
  <si>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</si>
  <si>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</si>
  <si>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</si>
  <si>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</si>
  <si>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</si>
  <si>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</si>
  <si>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</si>
  <si>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</si>
  <si>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</si>
  <si>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</si>
  <si>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</si>
  <si>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</si>
  <si>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</si>
  <si>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</si>
  <si>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</si>
  <si>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</si>
  <si>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</si>
  <si>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</si>
  <si>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</si>
  <si>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</si>
  <si>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</si>
  <si>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</si>
  <si>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</si>
  <si>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</si>
  <si>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</si>
  <si>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</si>
  <si>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</si>
  <si>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No Installation is provided for this product|100 Watts Powerful Motor|Powerful Suction|In-Built LED Torch|Range of accessories for different cleaning needs|Fit type: Universal Fit</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</si>
  <si>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</si>
  <si>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</si>
  <si>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</si>
  <si>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donâ€t have to concern about the safety|KENT Sandwich Grillâ€s adjustable height lets you easily cook various sizes of snacks|The automatic temperature cut-off turns off the appliance once your dish is cooked</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</si>
  <si>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</si>
  <si>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</si>
  <si>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</si>
  <si>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</si>
  <si>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</si>
  <si>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</si>
  <si>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</si>
  <si>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</si>
  <si>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https://www.amazon.in/Inalsa-Electric-Heater-Hotty-Certification/dp/B09H34V36W/ref=sr_1_298_mod_primary_new?qid=1672923607&amp;s=kitchen&amp;sbo=RZvfv%2F%2FHxDF%2BO5021pAnSA%3D%3D&amp;sr=1-298</t>
  </si>
  <si>
    <t>B09J2QCKKM</t>
  </si>
  <si>
    <t>Havells Zella Flap Auto Immersion Rod 1500 Watts</t>
  </si>
  <si>
    <t>India’s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</si>
  <si>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</si>
  <si>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</si>
  <si>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</si>
  <si>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</si>
  <si>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</si>
  <si>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</si>
  <si>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</si>
  <si>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 Equipped with powerful motor delivers 14KPA strong suction power and ensures long time operation. The vacuum cleaner has an impact resistant polymer tank for longer usage life|Safe buoy technology –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</si>
  <si>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</si>
  <si>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</si>
  <si>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</si>
  <si>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</si>
  <si>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</si>
  <si>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</si>
  <si>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</si>
  <si>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</si>
  <si>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</si>
  <si>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</si>
  <si>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</si>
  <si>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</si>
  <si>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</si>
  <si>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</si>
  <si>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</si>
  <si>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 to 40˚C,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â€“ RO Purifier, Pre Filter, Installation accessories, user manual. Installation You need to pay Up-to Rs. 500/- to the technician for installation.</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</si>
  <si>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</si>
  <si>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</si>
  <si>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</si>
  <si>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</si>
  <si>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</si>
  <si>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</si>
  <si>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</si>
  <si>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“convection”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</si>
  <si>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</si>
  <si>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</si>
  <si>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</si>
  <si>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</si>
  <si>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</si>
  <si>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</si>
  <si>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</si>
  <si>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</si>
  <si>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</si>
  <si>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</si>
  <si>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</si>
  <si>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</si>
  <si>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</si>
  <si>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</si>
  <si>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</si>
  <si>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</si>
  <si>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</si>
  <si>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</si>
  <si>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</si>
  <si>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</si>
  <si>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</si>
  <si>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</si>
  <si>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</si>
  <si>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</si>
  <si>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</si>
  <si>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</si>
  <si>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</si>
  <si>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</si>
  <si>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https://www.amazon.in/Demokrazy-Remover-Woolens-Sweaters-Blankets/dp/B08SKZ2RMG/ref=sr_1_318?qid=1672923607&amp;s=kitchen&amp;sr=1-318</t>
  </si>
  <si>
    <t>B0B53DS4TF</t>
  </si>
  <si>
    <t>Instant Pot Air Fryer, Vortex 2QT, Touch Control Panel, 360° EvenCrisp™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</si>
  <si>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</si>
  <si>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</si>
  <si>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</si>
  <si>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</si>
  <si>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 to 40˚C,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</si>
  <si>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</si>
  <si>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</si>
  <si>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</si>
  <si>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</si>
  <si>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</si>
  <si>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</si>
  <si>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</si>
  <si>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</si>
  <si>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</si>
  <si>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</si>
  <si>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</si>
  <si>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</si>
  <si>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</si>
  <si>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</si>
  <si>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</si>
  <si>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</si>
  <si>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</si>
  <si>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</si>
  <si>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</si>
  <si>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</si>
  <si>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360⁰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</si>
  <si>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</si>
  <si>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</si>
  <si>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</si>
  <si>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</si>
  <si>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</si>
  <si>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</si>
  <si>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</si>
  <si>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</si>
  <si>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</si>
  <si>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</si>
  <si>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</si>
  <si>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</si>
  <si>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</si>
  <si>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</si>
  <si>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</si>
  <si>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</si>
  <si>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</si>
  <si>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</si>
  <si>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</si>
  <si>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</si>
  <si>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</si>
  <si>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https://www.amazon.in/USHA-RapidMix-500-Watt-Copper-Grinder/dp/B08MXJYB2V/ref=sr_1_331?qid=1672923609&amp;s=kitchen&amp;sr=1-331</t>
  </si>
  <si>
    <t>B081B1JL35</t>
  </si>
  <si>
    <t>CSI INTERNATIONAL® Instant Water Geyser, Water Heater, Portable Water Heater, Geyser Made of First Class ABS Plastic 3KW (Red)</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</si>
  <si>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</si>
  <si>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</si>
  <si>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</si>
  <si>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</si>
  <si>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</si>
  <si>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</si>
  <si>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</si>
  <si>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</si>
  <si>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</si>
  <si>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</si>
  <si>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</si>
  <si>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</si>
  <si>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</si>
  <si>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</si>
  <si>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</si>
  <si>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【Easy to Use】After installing the battery, you need to press and hold the switch button for 3-5 seconds to heat up. Put the bag that needs to be sealed in the middle, the thinner bag can be torn quickly, the thicker should be drawn slowly and evenly.|【Portable】After use, it is not necessary to disassemble the battery, and the hook can be stuck at the sealing place, and can be hung with other appliances. The perfect portable bag sealing machine, suitable for kitchen, camping, travel, etc.|【Dual use】This product is not only a sealing machine but also an opening machine, the opening is very easy and convenient.Mini and portable bag cutter and sealer,Quickly seals and cuts.|【Material】Using high-quality ABS material, fine workmanship without burrs, high temperature and low temperature resistance, durable.|【Note】Do not press violently when sealing, otherwise it will cause the metal contact piece to deform without heating. The bag to be sealed must be kept clean and free from water., oil and other stains</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</si>
  <si>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</si>
  <si>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</si>
  <si>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</si>
  <si>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</si>
  <si>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https://www.amazon.in/Cello-Non-Stick-Aluminium-Sandwich-Toaster/dp/B07YQ5SN4H/ref=sr_1_339?qid=1672923609&amp;s=kitchen&amp;sr=1-339</t>
  </si>
  <si>
    <t>B0B7FJNSZR</t>
  </si>
  <si>
    <t>Proven® Copper + Mineral RO+UV+UF 10 to 12 Liter RO + UV + TDS ADJUSTER Water Purifier with Copper Charge Technology black &amp; copper Best For Home and Office (Made In India)</t>
  </si>
  <si>
    <t>Color: Black and Copper, Capacity: 10-12 liters, Power: 60 watts, Input Water Temperature: 10˚ to 40˚C,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â€“ RO Purifier, Pre Filter, Installation accessories, user manual. Installation â€“ You need to pay Up-to Rs. 500/- to the technician for installation.</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</si>
  <si>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</si>
  <si>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</si>
  <si>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</si>
  <si>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</si>
  <si>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</si>
  <si>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</si>
  <si>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</si>
  <si>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</si>
  <si>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https://www.amazon.in/Lightweight-Automatic-bacterial-Weilburger-Soleplate/dp/B0B84QN4CN/ref=sr_1_342?qid=1672923609&amp;s=kitchen&amp;sr=1-342</t>
  </si>
  <si>
    <t>B0B8ZM9RVV</t>
  </si>
  <si>
    <t>Zuvexa Egg Boiler Poacher Automatic Off Steaming, Cooking, Boiling Double Layer 14 Egg Boiler (Multicolor)…</t>
  </si>
  <si>
    <t>egg boiler have Compatible design with new appearance makes for a great gift for your family and friends|Special Feature: Anti Dry Safety Protection || Less Noise || Stainless Steel And Anti Scald Design || 14 Eggs Capacity Removable Tray White</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</si>
  <si>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</si>
  <si>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</si>
  <si>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</si>
  <si>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</si>
  <si>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</si>
  <si>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</si>
  <si>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</si>
  <si>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</si>
  <si>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</si>
  <si>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</si>
  <si>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</si>
  <si>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</si>
  <si>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</si>
  <si>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</si>
  <si>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</si>
  <si>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</si>
  <si>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</si>
  <si>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</si>
  <si>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</si>
  <si>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</si>
  <si>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</si>
  <si>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</si>
  <si>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</si>
  <si>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</si>
  <si>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https://www.amazon.in/Havells-Instanio-3-Litre-Instant-Geyser/dp/B078JF6X9B/ref=sr_1_347?qid=1672923610&amp;s=kitchen&amp;sr=1-347</t>
  </si>
  <si>
    <t>B08CGW4GYR</t>
  </si>
  <si>
    <t>Milk Frother, Immersion Blender Cordlesss Foam Maker USB Rechargeable Small Mixer Handheld with 2 Stainless Whisks，Wisker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</si>
  <si>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</si>
  <si>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</si>
  <si>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</si>
  <si>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</si>
  <si>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</si>
  <si>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</si>
  <si>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</si>
  <si>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</si>
  <si>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TIMEÃ‚ - the mixer is battery powered so you don't have to worry about cords and finding sockets.|BECOME A BARISTA OVERNIGHT -Ã‚ with our froth wand you can make cafe style coffee at home instantly. Impress your friends and family with your new magic wand!|GET CREAMY FROTH QUICKLY -Ã‚ our milk frother will start creating creamy froth for your morning coffee within 15 - 20 seconds.|BEAUTIFULLY STYLED WITH VERSATILITYÃ‚ - our coffee beater comes with an elegant stainless steel stand to fit into any modern kitchen.</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</si>
  <si>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</si>
  <si>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</si>
  <si>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</si>
  <si>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</si>
  <si>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</si>
  <si>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</si>
  <si>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</si>
  <si>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</si>
  <si>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</si>
  <si>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</si>
  <si>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</si>
  <si>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</si>
  <si>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</si>
  <si>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</si>
  <si>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</si>
  <si>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</si>
  <si>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</si>
  <si>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</si>
  <si>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</si>
  <si>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</si>
  <si>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</si>
  <si>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</si>
  <si>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</si>
  <si>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</si>
  <si>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</si>
  <si>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</si>
  <si>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</si>
  <si>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</si>
  <si>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</si>
  <si>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</si>
  <si>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</si>
  <si>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</si>
  <si>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</si>
  <si>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</si>
  <si>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</si>
  <si>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</si>
  <si>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</si>
  <si>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</si>
  <si>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</si>
  <si>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</si>
  <si>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</si>
  <si>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</si>
  <si>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</si>
  <si>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</si>
  <si>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</si>
  <si>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</si>
  <si>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https://www.amazon.in/SaiEllin-Heater-Portable-Bedroom-Compact/dp/B09MQ9PDHR/ref=sr_1_364?qid=1672923611&amp;s=kitchen&amp;sr=1-364</t>
  </si>
  <si>
    <t>B014HDJ7ZE</t>
  </si>
  <si>
    <t>Bajaj Majesty Duetto Gas 6 Ltr Vertical Water Heater ( LPG), White</t>
  </si>
  <si>
    <t>Dimensions: 35.56 Cms X 19 Cms X 55 Cms</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</si>
  <si>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</si>
  <si>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</si>
  <si>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</si>
  <si>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</si>
  <si>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</si>
  <si>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</si>
  <si>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</si>
  <si>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</si>
  <si>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https://www.amazon.in/Inalsa-Easy-Mix-200-Watt-Mixer/dp/B075K76YW1/ref=sr_1_367?qid=1672923611&amp;s=kitchen&amp;sr=1-367</t>
  </si>
  <si>
    <t>B0BNLFQDG2</t>
  </si>
  <si>
    <t>Longway Blaze 2 Rod Quartz Room Heater (White, Gray, 800 watts)</t>
  </si>
  <si>
    <t>Power Consumed: 800 W</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</si>
  <si>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</si>
  <si>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</si>
  <si>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</si>
  <si>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</si>
  <si>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</si>
  <si>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</si>
  <si>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</si>
  <si>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</si>
  <si>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</si>
  <si>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</si>
  <si>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</si>
  <si>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</si>
  <si>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</si>
  <si>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</si>
  <si>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</si>
  <si>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</si>
  <si>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</si>
  <si>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</si>
  <si>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</si>
  <si>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</si>
  <si>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</si>
  <si>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</si>
  <si>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</si>
  <si>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</si>
  <si>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</si>
  <si>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</si>
  <si>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</si>
  <si>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36⁰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</si>
  <si>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</si>
  <si>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</si>
  <si>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</si>
  <si>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</si>
  <si>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</si>
  <si>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</si>
  <si>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</si>
  <si>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</si>
  <si>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</si>
  <si>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</si>
  <si>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</si>
  <si>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</si>
  <si>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</si>
  <si>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</si>
  <si>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</si>
  <si>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</si>
  <si>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</si>
  <si>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</si>
  <si>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</si>
  <si>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</si>
  <si>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</si>
  <si>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</si>
  <si>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</si>
  <si>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</si>
  <si>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</si>
  <si>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</si>
  <si>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</si>
  <si>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</si>
  <si>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</si>
  <si>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</si>
  <si>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</si>
  <si>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</si>
  <si>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</si>
  <si>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</si>
  <si>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</si>
  <si>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</si>
  <si>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</si>
  <si>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</si>
  <si>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</si>
  <si>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</si>
  <si>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</si>
  <si>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</si>
  <si>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</si>
  <si>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</si>
  <si>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</si>
  <si>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</si>
  <si>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</si>
  <si>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</si>
  <si>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</si>
  <si>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</si>
  <si>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</si>
  <si>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</si>
  <si>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</si>
  <si>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</si>
  <si>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</si>
  <si>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</si>
  <si>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</si>
  <si>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</si>
  <si>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</si>
  <si>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</si>
  <si>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</si>
  <si>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</si>
  <si>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</si>
  <si>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</si>
  <si>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</si>
  <si>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</si>
  <si>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</si>
  <si>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https://www.amazon.in/ESN-999-Quality-Immersion-Heater/dp/B07LG96SDB/ref=sr_1_392?qid=1672923612&amp;s=kitchen&amp;sr=1-392</t>
  </si>
  <si>
    <t>B08KS2KQTK</t>
  </si>
  <si>
    <t>Pajaka®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</si>
  <si>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</si>
  <si>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</si>
  <si>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</si>
  <si>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</si>
  <si>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</si>
  <si>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</si>
  <si>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</si>
  <si>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</si>
  <si>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</si>
  <si>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</si>
  <si>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</si>
  <si>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</si>
  <si>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</si>
  <si>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</si>
  <si>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</si>
  <si>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</si>
  <si>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</si>
  <si>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</si>
  <si>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</si>
  <si>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</si>
  <si>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</si>
  <si>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</si>
  <si>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</si>
  <si>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</si>
  <si>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</si>
  <si>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</si>
  <si>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</si>
  <si>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</si>
  <si>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</si>
  <si>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</si>
  <si>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 4 PCS CUPSET of supreme quality and sturdy stainless steel measuring cups, including 60ML (1/4Cup), 80ML (1/3Cup), 125ML (1/2Cup) and 250ML (1Cup) and COMPLETE‬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 SAFE and super easy to clean, thus ensuring complete hygiene with each use, whether you measure dry of liquid ingredients.|DURABLE‬ CONSTRUCTION with robust materials and a compact design that features flat handles bearing engraved measurements to assure you of lifetime measuring cups.‎|‎ECO‬-FRIENDLY stainless steel measuring cups last a lifetime, a great alternative to flimsy plastic cups that easily break and end up polluting the environment.</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</si>
  <si>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</si>
  <si>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</si>
  <si>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</si>
  <si>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</si>
  <si>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</si>
  <si>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</si>
  <si>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</si>
  <si>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</si>
  <si>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https://www.amazon.in/Havells-Dzire-1000-Watt-Iron-Mint/dp/B07LDN9Q2P/ref=sr_1_406?qid=1672923612&amp;s=kitchen&amp;sr=1-406</t>
  </si>
  <si>
    <t>B08T8KWNQ9</t>
  </si>
  <si>
    <t>TE™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</si>
  <si>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</si>
  <si>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</si>
  <si>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</si>
  <si>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</si>
  <si>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</si>
  <si>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</si>
  <si>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</si>
  <si>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</si>
  <si>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body’s pH levels, boosting immunity and fortifying your health|It reduces the oxygen reduction potential (ORP) and makes antioxidant alkaline water that tastes fresh and clean;Doesn’t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</si>
  <si>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</si>
  <si>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</si>
  <si>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</si>
  <si>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</si>
  <si>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https://www.amazon.in/Sujata-DynaMix-DX-900-Watt-Grinder/dp/B00K57MR22/ref=sr_1_411?qid=1672923612&amp;s=kitchen&amp;sr=1-411</t>
  </si>
  <si>
    <t>B07TTSS5MP</t>
  </si>
  <si>
    <t>Lifelong LLMG74 750 Watt Mixer Grinder with 3 Jars (White and Grey)</t>
  </si>
  <si>
    <t>Warranty: 1 Year</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</si>
  <si>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</si>
  <si>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</si>
  <si>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</si>
  <si>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</si>
  <si>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</si>
  <si>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</si>
  <si>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</si>
  <si>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</si>
  <si>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https://www.amazon.in/AGARO-Regal-Electric-Ceramic-functions/dp/B09XHXXCFH/ref=sr_1_412?qid=1672923613&amp;s=kitchen&amp;sr=1-412</t>
  </si>
  <si>
    <t>B0BL3R4RGS</t>
  </si>
  <si>
    <t>VAPJA® Portable Mini Juicer Cup Blender USB Rechargeable with 4 Blades for Shakes and Smoothies Fruits Vegetables Juice Maker Grinder Mixer Strong Cutting Bottle Sports Travel Outdoors Gym (BOTTLE)</t>
  </si>
  <si>
    <t>【USB Rechargeable &amp; Great Portability】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home.|【Advanced Tips on Blending】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result.|【Powerful &amp; Effective】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cube.|【One-button Operation &amp; Cleaning】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concern.|【Unique Appearance &amp; User-Friendly Design】Beautiful and elegant private mold design, Small size, Wireless, USB rechargeable, and portable design make it a personal travel mixer. The charging port at the bottom and the silicone plug make it water-proof.</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</si>
  <si>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</si>
  <si>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</si>
  <si>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</si>
  <si>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</si>
  <si>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</si>
  <si>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</si>
  <si>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</si>
  <si>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</si>
  <si>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</si>
  <si>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</si>
  <si>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</si>
  <si>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</si>
  <si>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https://www.amazon.in/Spring-Chef-Stainless-Restaurant-Installation/dp/B0BP89YBC1/ref=sr_1_419?qid=1672923613&amp;s=kitchen&amp;sr=1-419</t>
  </si>
  <si>
    <t>B09W9V2PXG</t>
  </si>
  <si>
    <t>Themisto TH-WS20 Digital Kitchen Weighing Scale Stainless Steel (5Kg)</t>
  </si>
  <si>
    <t>High Precision Core Technology：Kitchen Scale Equipped with sensitive sensors, it can provide you precision graduation 0.1oz/1g, capacity 11lb/5kg. This digital scale with 2 models of gram and lb:oz to switch between imperial and metric measuring units.|Stainless Steel Food Scale Set：Digital Kitchen Scale is made with food-grade 202 stainless steel. Sturdy and not easy to damage.|Liquid Weighing Capacity：Themsito kitchen scale is a multifunctional scale with unique features. Besides weighing solid unit lb: oz and g, you can easily measure your recipe ingredients in fluid ounces (fl'oz), and milliliters by water volume or milk volume.|Easy Tare Function：The taring and auto-zero function of Kitchen Scale allow you to subtract the weight of the bowl, dish, or container from the weight of the food. To ensure food safety, you can use multiple-sized bowls to weigh various types of food separately.|Clear LCD Display：This Kitchen scale comes with 2.5" Large LCD with white backlight can display the reading more clearly, even cooking in a dim place. 2 x AAA batteries included.</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</si>
  <si>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</si>
  <si>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</si>
  <si>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</si>
  <si>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【High Power Suction】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minutes.|【Suction &amp; Blowing Dual Function】The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dust.|【Multifunctional Accessories &amp; Storage Bag】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accessories.|【Portable &amp; Family Gift】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time.|【Vacuum Cleaner Set include】the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</si>
  <si>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</si>
  <si>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</si>
  <si>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</si>
  <si>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</si>
  <si>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</si>
  <si>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</si>
  <si>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</si>
  <si>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</si>
  <si>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</si>
  <si>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</si>
  <si>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</si>
  <si>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</si>
  <si>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</si>
  <si>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</si>
  <si>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</si>
  <si>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★7 Speed hand mixer, please see the image or read instruction manual for speed guide|★Attachments: Tackle a number of kitchen tasks with two professional-style wire beaters for eggs and ream and two hooks for mixing dough. All are dishwasher-safe|★Motor 180-watt - this powerful motor has 7 speeds, so you can start slow and finish fast|2 Stainless Steel Hooks For Mixing and Kneading.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</si>
  <si>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</si>
  <si>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</si>
  <si>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</si>
  <si>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</si>
  <si>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</si>
  <si>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</si>
  <si>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</si>
  <si>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</si>
  <si>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</si>
  <si>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</si>
  <si>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</si>
  <si>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</si>
  <si>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</si>
  <si>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</si>
  <si>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</si>
  <si>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</si>
  <si>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</si>
  <si>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</si>
  <si>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</si>
  <si>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</si>
  <si>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</si>
  <si>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</si>
  <si>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</si>
  <si>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</si>
  <si>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</si>
  <si>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</si>
  <si>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</si>
  <si>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</si>
  <si>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</si>
  <si>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</si>
  <si>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</si>
  <si>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</si>
  <si>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</si>
  <si>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</si>
  <si>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</si>
  <si>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</si>
  <si>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</si>
  <si>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</si>
  <si>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</si>
  <si>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</si>
  <si>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</si>
  <si>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</si>
  <si>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</si>
  <si>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</si>
  <si>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</si>
  <si>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</si>
  <si>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</si>
  <si>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</si>
  <si>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</si>
  <si>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</si>
  <si>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</si>
  <si>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</si>
  <si>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</si>
  <si>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</si>
  <si>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</si>
  <si>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</si>
  <si>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 Travel-friendly.  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</si>
  <si>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</si>
  <si>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</si>
  <si>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</si>
  <si>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</si>
  <si>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</si>
  <si>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</si>
  <si>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</si>
  <si>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</si>
  <si>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</si>
  <si>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</si>
  <si>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</si>
  <si>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</si>
  <si>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</si>
  <si>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</si>
  <si>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</si>
  <si>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“Hi”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</si>
  <si>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</si>
  <si>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</si>
  <si>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</si>
  <si>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</si>
  <si>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</si>
  <si>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</si>
  <si>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</si>
  <si>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</si>
  <si>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</si>
  <si>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</si>
  <si>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</si>
  <si>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</si>
  <si>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</si>
  <si>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</si>
  <si>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</si>
  <si>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 RO Purifier, Pre Filter, Installation accessories, user manual. Installation – You need to pay Up-to Rs. 500/- to the technician for installation|Auto Shut OFF - Fully automatic shut off function which automatically switched off the Machine when its water tanks get full</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</si>
  <si>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</si>
  <si>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</si>
  <si>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</si>
  <si>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</si>
  <si>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</si>
  <si>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</si>
  <si>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</si>
  <si>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</si>
  <si>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</si>
  <si>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</si>
  <si>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</si>
  <si>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</si>
  <si>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</si>
  <si>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</si>
  <si>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</si>
  <si>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</si>
  <si>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</si>
  <si>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</si>
  <si>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</si>
  <si>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</si>
  <si>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</si>
  <si>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</si>
  <si>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</si>
  <si>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</si>
  <si>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</si>
  <si>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</si>
  <si>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</si>
  <si>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</si>
  <si>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</si>
  <si>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</si>
  <si>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https://www.amazon.in/Induction-Cooktop-Overheat-Protection-Certified/dp/B0BL11S5QK/ref=sr_1_460?qid=1672923614&amp;s=kitchen&amp;sr=1-460</t>
  </si>
  <si>
    <t>B09BL2KHQW</t>
  </si>
  <si>
    <t>KENT POWP-Sediment Filter 10'' Thread WCAP</t>
  </si>
  <si>
    <t>Sediment filter 10 inch Kent</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</si>
  <si>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</si>
  <si>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</si>
  <si>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</si>
  <si>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 The medium or mini lint roller can be taken into your bag, the mini lint roller even can be easy taken into your pocket. You can finish remove hair work anywhere.</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</si>
  <si>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</si>
  <si>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</si>
  <si>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</si>
  <si>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</si>
  <si>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</si>
  <si>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</si>
  <si>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</si>
  <si>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</si>
  <si>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</si>
  <si>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</si>
  <si>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</si>
  <si>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</si>
  <si>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</si>
  <si>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</si>
  <si>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</si>
  <si>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</si>
  <si>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</si>
  <si>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</si>
  <si>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</si>
  <si>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</si>
  <si>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</si>
  <si>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</si>
  <si>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</si>
  <si>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</si>
  <si>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</si>
  <si>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</si>
  <si>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</si>
  <si>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</si>
  <si>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</si>
  <si>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</si>
  <si>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</si>
  <si>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</si>
  <si>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</si>
  <si>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https://www.amazon.in/Crompton-Highspeed-Anti-Dust-Ceiling-Efficient/dp/B08WWKM5HQ/ref=sr_1_467?qid=1672923615&amp;s=kitchen&amp;sr=1-467</t>
  </si>
  <si>
    <t>B015GX9Y0W</t>
  </si>
  <si>
    <t>Lifelong LLWM105 750-Watt Belgian Waffle Maker for Home| Makes 2 Square Shape Waffles| Non-stick Plates| Easy to Use 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</si>
  <si>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</si>
  <si>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</si>
  <si>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</si>
  <si>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</si>
  <si>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</si>
  <si>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</si>
  <si>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</si>
  <si>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</si>
  <si>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</si>
  <si>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</si>
  <si>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</si>
  <si>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 whether it’s dry, wet, fine or coarse dirt. For perfect wet and dry vacuum cleaning results with convenience and flexibility|The capacity of the wet and dry vacuum cleaner is 17 litres|Warranty: 1 year from the date of invoice|Power: 1000 watts; Operating voltage: 240 volts</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</si>
  <si>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</si>
  <si>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</si>
  <si>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</si>
  <si>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80ºC and 200ºC.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</si>
  <si>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</si>
  <si>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</si>
  <si>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</si>
  <si>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</si>
  <si>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</si>
  <si>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https://www.amazon.in/AmazonBasics-400mm-Pedestal-Remote-White/dp/B07NPBG1B4/ref=sr_1_477?qid=1672923615&amp;s=kitchen&amp;sr=1-477</t>
  </si>
  <si>
    <t>B01MRARGBW</t>
  </si>
  <si>
    <t>Eco Crystal J 5 inch Cartridge (Pack of 2)</t>
  </si>
  <si>
    <t>removes dirt from water</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</si>
  <si>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</si>
  <si>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</si>
  <si>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</si>
  <si>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</si>
  <si>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</si>
  <si>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</si>
  <si>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</si>
  <si>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</si>
  <si>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</si>
  <si>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</si>
  <si>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</si>
  <si>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</si>
  <si>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</si>
  <si>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</si>
  <si>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</si>
  <si>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</si>
  <si>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</si>
  <si>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</si>
  <si>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</si>
  <si>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</si>
  <si>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</si>
  <si>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</si>
  <si>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</si>
  <si>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</si>
  <si>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</si>
  <si>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</si>
  <si>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</si>
  <si>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</si>
  <si>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</si>
  <si>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</si>
  <si>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</si>
  <si>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</si>
  <si>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</si>
  <si>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</si>
  <si>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</si>
  <si>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</si>
  <si>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</si>
  <si>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</si>
  <si>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</si>
  <si>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</si>
  <si>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“waffle” into single serving portions. Great for families or on the go.|MINI IS MIGHTY: With a 4” nonstick cooking surface, this is a MUST-HAVE for that first apartment, smaller kitchen, college dorm, or camper/RV and stores easily in a kitchen cabinet or drawer.|MINI IS MIGHTY: With a 4”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</si>
  <si>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</si>
  <si>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</si>
  <si>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</si>
  <si>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</si>
  <si>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</si>
  <si>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</si>
  <si>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</si>
  <si>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</si>
  <si>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https://www.amazon.in/Electric-Handheld-BLACK-COFFEE-BEATER/dp/B0B8CB7MHW/ref=sr_1_491?qid=1672923617&amp;s=kitchen&amp;sr=1-491</t>
  </si>
  <si>
    <t>B07K19NYZ8</t>
  </si>
  <si>
    <t>Usha Hc 812 T Thermo Fan Room Heater</t>
  </si>
  <si>
    <t>Heat convector|Warranty for one year</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</si>
  <si>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</si>
  <si>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</si>
  <si>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</si>
  <si>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</si>
  <si>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</si>
  <si>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</si>
  <si>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</si>
  <si>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</si>
  <si>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</si>
  <si>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</si>
  <si>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</si>
  <si>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</si>
  <si>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</si>
  <si>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</si>
  <si>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</si>
  <si>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</si>
  <si>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</si>
  <si>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</si>
  <si>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</si>
  <si>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</si>
  <si>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</si>
  <si>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</si>
  <si>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</si>
  <si>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</si>
  <si>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</si>
  <si>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</si>
  <si>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</si>
  <si>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</si>
  <si>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https://www.amazon.in/Noir-Aqua-Spanner-Purifiers-cartridge/dp/B08L7J3T31/ref=sr_1_502?qid=1672923617&amp;s=kitchen&amp;sr=1-502</t>
  </si>
  <si>
    <t>B01M6453MB</t>
  </si>
  <si>
    <t>Prestige Delight PRWO Electric Rice Cooker (1 L, White)</t>
  </si>
  <si>
    <t>230 Volts, 400 watts, 1 Year</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</si>
  <si>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</si>
  <si>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</si>
  <si>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</si>
  <si>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</si>
  <si>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</si>
  <si>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</si>
  <si>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</si>
  <si>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</si>
  <si>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https://www.amazon.in/Havells-Ventilair-230mm-Exhaust-Grey/dp/B00J5DYCCA/ref=sr_1_505?qid=1672923617&amp;s=kitchen&amp;sr=1-505</t>
  </si>
  <si>
    <t>B01486F4G6</t>
  </si>
  <si>
    <t>Borosil Jumbo 1000-Watt Grill Sandwich Maker (Black)</t>
  </si>
  <si>
    <t>Brand-Borosil, Specification â€“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</si>
  <si>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https://www.amazon.in/Borosil-Jumbo-1000-Watt-Grill-Sandwich/dp/B01486F4G6/ref=sr_1_506?qid=1672923617&amp;s=kitchen&amp;sr=1-506</t>
  </si>
  <si>
    <t>Valores</t>
  </si>
  <si>
    <t>Quantidade</t>
  </si>
  <si>
    <t>Até R$50,00</t>
  </si>
  <si>
    <t>Entre R$50,00 e R$500,00</t>
  </si>
  <si>
    <t>Acima de R$500,00</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</si>
</sst>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
    <numFmt numFmtId="165" formatCode="[$R$]#,##0.00"/>
  </numFmts>
  <fonts count="4">
    <font>
      <sz val="10.0"/>
      <color rgb="FF000000"/>
      <name val="Arial"/>
      <scheme val="minor"/>
    </font>
    <font>
      <color theme="1"/>
      <name val="Arial"/>
      <scheme val="minor"/>
    </font>
    <font>
      <u/>
      <color rgb="FF0000FF"/>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10" xfId="0" applyAlignment="1" applyFont="1" applyNumberFormat="1">
      <alignment readingOrder="0"/>
    </xf>
    <xf borderId="0" fillId="0" fontId="1" numFmtId="165" xfId="0" applyAlignment="1" applyFont="1" applyNumberFormat="1">
      <alignment readingOrder="0"/>
    </xf>
    <xf borderId="0" fillId="0" fontId="2" numFmtId="0" xfId="0" applyAlignment="1" applyFont="1">
      <alignment readingOrder="0"/>
    </xf>
    <xf borderId="0" fillId="0" fontId="1" numFmtId="164" xfId="0" applyFont="1" applyNumberFormat="1"/>
    <xf borderId="0" fillId="0" fontId="3" numFmtId="2" xfId="0" applyAlignment="1" applyFont="1" applyNumberFormat="1">
      <alignment vertical="bottom"/>
    </xf>
    <xf borderId="0" fillId="0" fontId="3" numFmtId="0" xfId="0" applyAlignment="1" applyFont="1">
      <alignment vertical="bottom"/>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amazon.in/Karbonn-Millennium-KJW32SKHD-Phantom-Bezel-Less/dp/B0B466C3G4/ref=sr_1_208?qid=1672909134&amp;s=electronics&amp;sr=1-208" TargetMode="External"/><Relationship Id="rId194" Type="http://schemas.openxmlformats.org/officeDocument/2006/relationships/hyperlink" Target="https://www.amazon.in/Samsung-inches-Crystal-Ultra-UA55AUE65AKXXL/dp/B0B15GSPQW/ref=sr_1_212?qid=1672909134&amp;s=electronics&amp;sr=1-212" TargetMode="External"/><Relationship Id="rId193" Type="http://schemas.openxmlformats.org/officeDocument/2006/relationships/hyperlink" Target="https://www.amazon.in/AmazonBasics-Certified-Lightning-Charge-Meters/dp/B07DC4RZPY/ref=sr_1_211?qid=1672909134&amp;s=electronics&amp;sr=1-211" TargetMode="External"/><Relationship Id="rId192" Type="http://schemas.openxmlformats.org/officeDocument/2006/relationships/hyperlink" Target="https://www.amazon.in/Visio-World-inches-VW24A-Ready/dp/B07MDRGHWQ/ref=sr_1_210?qid=1672909134&amp;s=electronics&amp;sr=1-210" TargetMode="External"/><Relationship Id="rId191" Type="http://schemas.openxmlformats.org/officeDocument/2006/relationships/hyperlink" Target="https://www.amazon.in/BlueRigger-Digital-Optical-Toslink-Meters/dp/B005LJQMZC/ref=sr_1_209?qid=1672909134&amp;s=electronics&amp;sr=1-209" TargetMode="External"/><Relationship Id="rId187" Type="http://schemas.openxmlformats.org/officeDocument/2006/relationships/hyperlink" Target="https://www.amazon.in/AmazonBasics-USB-3-0-Cable-Meters/dp/B00NH12R1O/ref=sr_1_205?qid=1672909134&amp;s=electronics&amp;sr=1-205" TargetMode="External"/><Relationship Id="rId186" Type="http://schemas.openxmlformats.org/officeDocument/2006/relationships/hyperlink" Target="https://www.amazon.in/AmazonBasics-Double-Braided-Nylon-Type-C/dp/B07CWNJLPC/ref=sr_1_204?qid=1672909134&amp;s=electronics&amp;sr=1-204" TargetMode="External"/><Relationship Id="rId185" Type="http://schemas.openxmlformats.org/officeDocument/2006/relationships/hyperlink" Target="https://www.amazon.in/AmazonBasics-Lightning-Aluminum-Certified-Charging/dp/B0B8SRZ5SV/ref=sr_1_203?qid=1672909134&amp;s=electronics&amp;sr=1-203" TargetMode="External"/><Relationship Id="rId184" Type="http://schemas.openxmlformats.org/officeDocument/2006/relationships/hyperlink" Target="https://www.amazon.in/LTG500-Indestructible-Certified-Lightning-2Meter/dp/B0162K34H2/ref=sr_1_202?qid=1672909134&amp;s=electronics&amp;sr=1-202" TargetMode="External"/><Relationship Id="rId189" Type="http://schemas.openxmlformats.org/officeDocument/2006/relationships/hyperlink" Target="https://www.amazon.in/Wayona-Charging-Charger-Compatible-Samsung/dp/B08WKG2MWT/ref=sr_1_207?qid=1672909134&amp;s=electronics&amp;sr=1-207" TargetMode="External"/><Relationship Id="rId188" Type="http://schemas.openxmlformats.org/officeDocument/2006/relationships/hyperlink" Target="https://www.amazon.in/AmazonBasics-Lightning-Aluminum-Certified-Charging/dp/B0B8SSC5D9/ref=sr_1_206?qid=1672909134&amp;s=electronics&amp;sr=1-206" TargetMode="External"/><Relationship Id="rId183" Type="http://schemas.openxmlformats.org/officeDocument/2006/relationships/hyperlink" Target="https://www.amazon.in/Storite-USB-3-0-Micro-Cable/dp/B00GE55L22/ref=sr_1_201?qid=1672909134&amp;s=electronics&amp;sr=1-201" TargetMode="External"/><Relationship Id="rId182" Type="http://schemas.openxmlformats.org/officeDocument/2006/relationships/hyperlink" Target="https://www.amazon.in/Sony-TV-Remote-Compatible-Control/dp/B09L8DT7D6/ref=sr_1_200?qid=1672909134&amp;s=electronics&amp;sr=1-200" TargetMode="External"/><Relationship Id="rId181" Type="http://schemas.openxmlformats.org/officeDocument/2006/relationships/hyperlink" Target="https://www.amazon.in/7SEVEN-Bluetooth-Command-Netflix-XMRM-00A/dp/B08XMSKKMM/ref=sr_1_199?qid=1672909134&amp;s=electronics&amp;sr=1-199" TargetMode="External"/><Relationship Id="rId180" Type="http://schemas.openxmlformats.org/officeDocument/2006/relationships/hyperlink" Target="https://www.amazon.in/FLiX-Charging-480Mbps-Andriod-XCD-FPM01/dp/B0B3MQXNFB/ref=sr_1_198?qid=1672909134&amp;s=electronics&amp;sr=1-198" TargetMode="External"/><Relationship Id="rId176" Type="http://schemas.openxmlformats.org/officeDocument/2006/relationships/hyperlink" Target="https://www.amazon.in/Syncwire-Cable-Charging-Compatible-Devices/dp/B0BP7XLX48/ref=sr_1_194?qid=1672909134&amp;s=electronics&amp;sr=1-194" TargetMode="External"/><Relationship Id="rId175" Type="http://schemas.openxmlformats.org/officeDocument/2006/relationships/hyperlink" Target="https://www.amazon.in/Wayona-Charging-Charger-Samsung-Galaxy/dp/B08CTNJ985/ref=sr_1_193?qid=1672909134&amp;s=electronics&amp;sr=1-193" TargetMode="External"/><Relationship Id="rId174" Type="http://schemas.openxmlformats.org/officeDocument/2006/relationships/hyperlink" Target="https://www.amazon.in/Ambrane-Charging-Neckband-Wireless-ACM/dp/B09YLYB9PB/ref=sr_1_192?qid=1672909133&amp;s=electronics&amp;sr=1-192" TargetMode="External"/><Relationship Id="rId173" Type="http://schemas.openxmlformats.org/officeDocument/2006/relationships/hyperlink" Target="https://www.amazon.in/Acer-inches-Ultra-Android-AR55AR2851UDFL/dp/B0B1YZ9CB8/ref=sr_1_191?qid=1672909133&amp;s=electronics&amp;sr=1-191" TargetMode="External"/><Relationship Id="rId179" Type="http://schemas.openxmlformats.org/officeDocument/2006/relationships/hyperlink" Target="https://www.amazon.in/Charging-Braided-Compatible-Samsung-Galaxy/dp/B08PSVBB2X/ref=sr_1_197?qid=1672909134&amp;s=electronics&amp;sr=1-197" TargetMode="External"/><Relationship Id="rId178" Type="http://schemas.openxmlformats.org/officeDocument/2006/relationships/hyperlink" Target="https://www.amazon.in/FLiX-Charging-480Mbps-Andriod-Devices/dp/B0B3N8VG24/ref=sr_1_196?qid=1672909134&amp;s=electronics&amp;sr=1-196" TargetMode="External"/><Relationship Id="rId177" Type="http://schemas.openxmlformats.org/officeDocument/2006/relationships/hyperlink" Target="https://www.amazon.in/Skadioo-Accessories-Receiver-Compatible-dongle/dp/B09LHXNZLR/ref=sr_1_195?qid=1672909134&amp;s=electronics&amp;sr=1-195" TargetMode="External"/><Relationship Id="rId198" Type="http://schemas.openxmlformats.org/officeDocument/2006/relationships/hyperlink" Target="https://www.amazon.in/FLiX-Beetel-Durable-Lightning-Charge/dp/B08P9RYPLR/ref=sr_1_216?qid=1672909134&amp;s=electronics&amp;sr=1-216" TargetMode="External"/><Relationship Id="rId197" Type="http://schemas.openxmlformats.org/officeDocument/2006/relationships/hyperlink" Target="https://www.amazon.in/Zebronics-CU3100V-charging-capacity-durability/dp/B0B65MJ45G/ref=sr_1_215?qid=1672909134&amp;s=electronics&amp;sr=1-215" TargetMode="External"/><Relationship Id="rId196" Type="http://schemas.openxmlformats.org/officeDocument/2006/relationships/hyperlink" Target="https://www.amazon.in/DURACELL-Micro-braided-Charge-Cable/dp/B09C6FML9B/ref=sr_1_214?qid=1672909134&amp;s=electronics&amp;sr=1-214" TargetMode="External"/><Relationship Id="rId195" Type="http://schemas.openxmlformats.org/officeDocument/2006/relationships/hyperlink" Target="https://www.amazon.in/LOHAYA-Television-Remote-Compatible-Control/dp/B08GJNM9N7/ref=sr_1_213?qid=1672909134&amp;s=electronics&amp;sr=1-213" TargetMode="External"/><Relationship Id="rId199" Type="http://schemas.openxmlformats.org/officeDocument/2006/relationships/hyperlink" Target="https://www.amazon.in/MI-inches-Smart-Android-L43M7-EAIN/dp/B0B6F8HHR6/ref=sr_1_217?qid=1672909135&amp;s=electronics&amp;sr=1-217" TargetMode="External"/><Relationship Id="rId150" Type="http://schemas.openxmlformats.org/officeDocument/2006/relationships/hyperlink" Target="https://www.amazon.in/BlueRigger-Digital-Optical-Audio-Toslink/dp/B005LJQMCK/ref=sr_1_167?qid=1672909131&amp;s=electronics&amp;sr=1-167" TargetMode="External"/><Relationship Id="rId392" Type="http://schemas.openxmlformats.org/officeDocument/2006/relationships/hyperlink" Target="https://www.amazon.in/Noise-ColorFit-Display-Monitoring-Smartwatches/dp/B09PNKXSKF/ref=sr_1_59?qid=1672895762&amp;s=electronics&amp;sr=1-59" TargetMode="External"/><Relationship Id="rId391" Type="http://schemas.openxmlformats.org/officeDocument/2006/relationships/hyperlink" Target="https://www.amazon.in/realme-Classic-Wired-Earphones-Microphone/dp/B08G28Z33M/ref=sr_1_58?qid=1672895762&amp;s=electronics&amp;sr=1-58" TargetMode="External"/><Relationship Id="rId390" Type="http://schemas.openxmlformats.org/officeDocument/2006/relationships/hyperlink" Target="https://www.amazon.in/Samsung-EP-TA800NBEGIN-25W-Travel-Adapter/dp/B08VF8V79P/ref=sr_1_57?qid=1672895762&amp;s=electronics&amp;sr=1-57" TargetMode="External"/><Relationship Id="rId1" Type="http://schemas.openxmlformats.org/officeDocument/2006/relationships/comments" Target="../comments1.xml"/><Relationship Id="rId2" Type="http://schemas.openxmlformats.org/officeDocument/2006/relationships/hyperlink" Target="https://www.amazon.in/Wayona-Braided-WN3LG1-Syncing-Charging/dp/B07JW9H4J1/ref=sr_1_1?qid=1672909124&amp;s=electronics&amp;sr=1-1" TargetMode="External"/><Relationship Id="rId3" Type="http://schemas.openxmlformats.org/officeDocument/2006/relationships/hyperlink" Target="https://www.amazon.in/Ambrane-Unbreakable-Charging-Braided-Cable/dp/B098NS6PVG/ref=sr_1_2?qid=1672909124&amp;s=electronics&amp;sr=1-2" TargetMode="External"/><Relationship Id="rId149" Type="http://schemas.openxmlformats.org/officeDocument/2006/relationships/hyperlink" Target="https://www.amazon.in/Ambrane-Charging-480mbps-ABCC-100-Black-Grey/dp/B09CMQRQM6/ref=sr_1_166?qid=1672909131&amp;s=electronics&amp;sr=1-166" TargetMode="External"/><Relationship Id="rId4" Type="http://schemas.openxmlformats.org/officeDocument/2006/relationships/hyperlink" Target="https://www.amazon.in/Sounce-iPhone-Charging-Compatible-Devices/dp/B096MSW6CT/ref=sr_1_3?qid=1672909124&amp;s=electronics&amp;sr=1-3" TargetMode="External"/><Relationship Id="rId148" Type="http://schemas.openxmlformats.org/officeDocument/2006/relationships/hyperlink" Target="https://www.amazon.in/AmazonBasics-Nylon-Braided-Lightning-Cable/dp/B082T6GXS5/ref=sr_1_165?qid=1672909131&amp;s=electronics&amp;sr=1-165" TargetMode="External"/><Relationship Id="rId1090" Type="http://schemas.openxmlformats.org/officeDocument/2006/relationships/hyperlink" Target="https://www.amazon.in/Simxen-Electric-Automatic-Steaming-Multicolour/dp/B07H3WDC4X/ref=sr_1_83?qid=1672923595&amp;s=kitchen&amp;sr=1-83" TargetMode="External"/><Relationship Id="rId1091" Type="http://schemas.openxmlformats.org/officeDocument/2006/relationships/hyperlink" Target="https://www.amazon.in/Amazon-Basics-Adjustable-Thermostat-certified/dp/B09ZTZ9N3Q/ref=sr_1_86?qid=1672923595&amp;s=kitchen&amp;sr=1-86" TargetMode="External"/><Relationship Id="rId1092" Type="http://schemas.openxmlformats.org/officeDocument/2006/relationships/hyperlink" Target="https://www.amazon.in/HealthSense-Chef-Mate-KS-40-Weighing/dp/B083P71WKK/ref=sr_1_87?qid=1672923595&amp;s=kitchen&amp;sr=1-87" TargetMode="External"/><Relationship Id="rId1093" Type="http://schemas.openxmlformats.org/officeDocument/2006/relationships/hyperlink" Target="https://www.amazon.in/Bajaj-Shakti-Heater-Multiple-Safety/dp/B097R4D42G/ref=sr_1_91?qid=1672923595&amp;s=kitchen&amp;sr=1-91" TargetMode="External"/><Relationship Id="rId1094" Type="http://schemas.openxmlformats.org/officeDocument/2006/relationships/hyperlink" Target="https://www.amazon.in/Bosch-TrueMixx-Pro-Grinder-Watt-MGM8842MIN/dp/B07MKMFKPG/ref=sr_1_92?qid=1672923595&amp;s=kitchen&amp;sr=1-92" TargetMode="External"/><Relationship Id="rId9" Type="http://schemas.openxmlformats.org/officeDocument/2006/relationships/hyperlink" Target="https://www.amazon.in/MI-MTCY001IN-USB-Type-C-Cable/dp/B08DDRGWTJ/ref=sr_1_9?qid=1672909124&amp;s=electronics&amp;sr=1-9" TargetMode="External"/><Relationship Id="rId143" Type="http://schemas.openxmlformats.org/officeDocument/2006/relationships/hyperlink" Target="https://www.amazon.in/TP-LINK-T3U-Wireless-MU-MIMO-Supports/dp/B0859M539M/ref=sr_1_160?qid=1672909131&amp;s=electronics&amp;sr=1-160" TargetMode="External"/><Relationship Id="rId385" Type="http://schemas.openxmlformats.org/officeDocument/2006/relationships/hyperlink" Target="https://www.amazon.in/realme-Storage-Processor-Triple-Display/dp/B09RMQYHLH/ref=sr_1_52?qid=1672895762&amp;s=electronics&amp;sr=1-52" TargetMode="External"/><Relationship Id="rId1095" Type="http://schemas.openxmlformats.org/officeDocument/2006/relationships/hyperlink" Target="https://www.amazon.in/Bulfyss-Stainless-Weighing-Nutrition-Warranty/dp/B0949FPSFY/ref=sr_1_93?qid=1672923595&amp;s=kitchen&amp;sr=1-93" TargetMode="External"/><Relationship Id="rId142" Type="http://schemas.openxmlformats.org/officeDocument/2006/relationships/hyperlink" Target="https://www.amazon.in/Charging-Braided-Compatible-Samsung-Galaxy/dp/B08PSQRW2T/ref=sr_1_159?qid=1672909131&amp;s=electronics&amp;sr=1-159" TargetMode="External"/><Relationship Id="rId384" Type="http://schemas.openxmlformats.org/officeDocument/2006/relationships/hyperlink" Target="https://www.amazon.in/DURACELL-Charger-Qualcomm-Certified-Charge/dp/B09FFK1PQG/ref=sr_1_51?qid=1672895762&amp;s=electronics&amp;sr=1-51" TargetMode="External"/><Relationship Id="rId1096" Type="http://schemas.openxmlformats.org/officeDocument/2006/relationships/hyperlink" Target="https://www.amazon.in/VR-Pcs-Different-Multi-Color-Multicolor/dp/B08F47T4X5/ref=sr_1_94?qid=1672923595&amp;s=kitchen&amp;sr=1-94" TargetMode="External"/><Relationship Id="rId141" Type="http://schemas.openxmlformats.org/officeDocument/2006/relationships/hyperlink" Target="https://www.amazon.in/Indestructible-Type-C-Cable-Type-Phones/dp/B071SDRGWL/ref=sr_1_158?qid=1672909131&amp;s=electronics&amp;sr=1-158" TargetMode="External"/><Relationship Id="rId383" Type="http://schemas.openxmlformats.org/officeDocument/2006/relationships/hyperlink" Target="https://www.amazon.in/Redmi-Storage-Battery-Finger-Booster/dp/B09XB7SRQ5/ref=sr_1_50?qid=1672895762&amp;s=electronics&amp;sr=1-50" TargetMode="External"/><Relationship Id="rId1097" Type="http://schemas.openxmlformats.org/officeDocument/2006/relationships/hyperlink" Target="https://www.amazon.in/Orient-Electric-Apex-FX-1200mm-Ceiling/dp/B01M0505SJ/ref=sr_1_95?qid=1672923595&amp;s=kitchen&amp;sr=1-95" TargetMode="External"/><Relationship Id="rId140" Type="http://schemas.openxmlformats.org/officeDocument/2006/relationships/hyperlink" Target="https://www.amazon.in/LRIPL-Compatible-Bravia-Remote-Almost/dp/B071VMP1Z4/ref=sr_1_157?qid=1672909131&amp;s=electronics&amp;sr=1-157" TargetMode="External"/><Relationship Id="rId382" Type="http://schemas.openxmlformats.org/officeDocument/2006/relationships/hyperlink" Target="https://www.amazon.in/Fire-Boltt-Bluetooth-Calling-Assistance-Resolution/dp/B0BF54LXW6/ref=sr_1_49?qid=1672895762&amp;s=electronics&amp;sr=1-49" TargetMode="External"/><Relationship Id="rId1098" Type="http://schemas.openxmlformats.org/officeDocument/2006/relationships/hyperlink" Target="https://www.amazon.in/PrettyKrafts-Laundry-Clothes-Storage-Mushroom/dp/B08D6RCM3Q/ref=sr_1_96?qid=1672923595&amp;s=kitchen&amp;sr=1-96" TargetMode="External"/><Relationship Id="rId5" Type="http://schemas.openxmlformats.org/officeDocument/2006/relationships/hyperlink" Target="https://www.amazon.in/Deuce-300-Resistant-Tangle-Free-Transmission/dp/B08HDJ86NZ/ref=sr_1_4?qid=1672909124&amp;s=electronics&amp;sr=1-4" TargetMode="External"/><Relationship Id="rId147" Type="http://schemas.openxmlformats.org/officeDocument/2006/relationships/hyperlink" Target="https://www.amazon.in/OXYURA-Airtel-Digital-Recording-Compatible/dp/B00RFWNJMC/ref=sr_1_164?qid=1672909131&amp;s=electronics&amp;sr=1-164" TargetMode="External"/><Relationship Id="rId389" Type="http://schemas.openxmlformats.org/officeDocument/2006/relationships/hyperlink" Target="https://www.amazon.in/Redmi-Stealth-Additional-Exchange-Included/dp/B09T39K9YL/ref=sr_1_56?qid=1672895762&amp;s=electronics&amp;sr=1-56" TargetMode="External"/><Relationship Id="rId1099" Type="http://schemas.openxmlformats.org/officeDocument/2006/relationships/hyperlink" Target="https://www.amazon.in/Bajaj-RX-11-2000-Watt-Convector/dp/B009P2LITG/ref=sr_1_98?qid=1672923595&amp;s=kitchen&amp;sr=1-98" TargetMode="External"/><Relationship Id="rId6" Type="http://schemas.openxmlformats.org/officeDocument/2006/relationships/hyperlink" Target="https://www.amazon.in/Portronics-Konnect-POR-1080-Charging-Function/dp/B08CF3B7N1/ref=sr_1_5?qid=1672909124&amp;s=electronics&amp;sr=1-5" TargetMode="External"/><Relationship Id="rId146" Type="http://schemas.openxmlformats.org/officeDocument/2006/relationships/hyperlink" Target="https://www.amazon.in/Kodak-Inches-Certified-Android-32HDX7XPRO/dp/B08CS3BT4L/ref=sr_1_163?qid=1672909131&amp;s=electronics&amp;sr=1-163" TargetMode="External"/><Relationship Id="rId388" Type="http://schemas.openxmlformats.org/officeDocument/2006/relationships/hyperlink" Target="https://www.amazon.in/OPPO-Fantastic-Purple-128GB-Storage/dp/B08VB34KJ1/ref=sr_1_55?qid=1672895762&amp;s=electronics&amp;sr=1-55" TargetMode="External"/><Relationship Id="rId7" Type="http://schemas.openxmlformats.org/officeDocument/2006/relationships/hyperlink" Target="https://www.amazon.in/Solero-TB301-Charging-480Mbps-1-5-Meter/dp/B08Y1TFSP6/ref=sr_1_6?qid=1672909124&amp;s=electronics&amp;sr=1-6" TargetMode="External"/><Relationship Id="rId145" Type="http://schemas.openxmlformats.org/officeDocument/2006/relationships/hyperlink" Target="https://www.amazon.in/TP-Link-TL-WN722N-150Mbps-Wireless-Adapter/dp/B002SZEOLG/ref=sr_1_162?qid=1672909131&amp;s=electronics&amp;sr=1-162" TargetMode="External"/><Relationship Id="rId387" Type="http://schemas.openxmlformats.org/officeDocument/2006/relationships/hyperlink" Target="https://www.amazon.in/Fire-Boltt-Phoenix-Bluetooth-Calling-Monitoring/dp/B0B3RSDSZ3/ref=sr_1_54?qid=1672895762&amp;s=electronics&amp;sr=1-54" TargetMode="External"/><Relationship Id="rId8" Type="http://schemas.openxmlformats.org/officeDocument/2006/relationships/hyperlink" Target="https://www.amazon.in/boAt-Micro-USB-Tangle-Free-Transmission/dp/B08WRWPM22/ref=sr_1_8?qid=1672909124&amp;s=electronics&amp;sr=1-8" TargetMode="External"/><Relationship Id="rId144" Type="http://schemas.openxmlformats.org/officeDocument/2006/relationships/hyperlink" Target="https://www.amazon.in/LRIPL-Remote-Control-Netflix-Compatible/dp/B08RX8G496/ref=sr_1_161?qid=1672909131&amp;s=electronics&amp;sr=1-161" TargetMode="External"/><Relationship Id="rId386" Type="http://schemas.openxmlformats.org/officeDocument/2006/relationships/hyperlink" Target="https://www.amazon.in/WeCool-Bluetooth-Extendable-Multifunctional-Compatible/dp/B08ZN4B121/ref=sr_1_53?qid=1672895762&amp;s=electronics&amp;sr=1-53" TargetMode="External"/><Relationship Id="rId381" Type="http://schemas.openxmlformats.org/officeDocument/2006/relationships/hyperlink" Target="https://www.amazon.in/Sounce-iPhone-Charging-Compatible-Devices/dp/B096MSW6CT/ref=sr_1_48?qid=1672895755&amp;s=electronics&amp;sr=1-48" TargetMode="External"/><Relationship Id="rId380" Type="http://schemas.openxmlformats.org/officeDocument/2006/relationships/hyperlink" Target="https://www.amazon.in/iQOO-Stellar-Snapdragon-Purchased-Separately/dp/B07WJV6P1R/ref=sr_1_47?qid=1672895755&amp;s=electronics&amp;sr=1-47" TargetMode="External"/><Relationship Id="rId139" Type="http://schemas.openxmlformats.org/officeDocument/2006/relationships/hyperlink" Target="https://www.amazon.in/Cable-Certified-48Gbps-Ultra-Dynamic/dp/B08TGG316Z/ref=sr_1_156?qid=1672909131&amp;s=electronics&amp;sr=1-156" TargetMode="External"/><Relationship Id="rId138" Type="http://schemas.openxmlformats.org/officeDocument/2006/relationships/hyperlink" Target="https://www.amazon.in/pTron-3-4Amps-Multifunction-Charging-Tangle-free/dp/B0B4HKH19N/ref=sr_1_155?qid=1672909131&amp;s=electronics&amp;sr=1-155" TargetMode="External"/><Relationship Id="rId137" Type="http://schemas.openxmlformats.org/officeDocument/2006/relationships/hyperlink" Target="https://www.amazon.in/LG-inches-Ultra-43UQ7500PSF-Ceramic/dp/B0B3XY5YT4/ref=sr_1_154?qid=1672909131&amp;s=electronics&amp;sr=1-154" TargetMode="External"/><Relationship Id="rId379" Type="http://schemas.openxmlformats.org/officeDocument/2006/relationships/hyperlink" Target="https://www.amazon.in/Ambrane-Unbreakable-Charging-Braided-Cable/dp/B098NS6PVG/ref=sr_1_46?qid=1672895755&amp;s=electronics&amp;sr=1-46" TargetMode="External"/><Relationship Id="rId1080" Type="http://schemas.openxmlformats.org/officeDocument/2006/relationships/hyperlink" Target="https://www.amazon.in/Bajaj-Shakti-Heater-Multiple-Safety/dp/B097R3XH9R/ref=sr_1_76?qid=1672923593&amp;s=kitchen&amp;sr=1-76" TargetMode="External"/><Relationship Id="rId1081" Type="http://schemas.openxmlformats.org/officeDocument/2006/relationships/hyperlink" Target="https://www.amazon.in/PHILIPS-Handheld-Garment-STH3000-20/dp/B08TM71L54/ref=sr_1_77?qid=1672923593&amp;s=kitchen&amp;sr=1-77" TargetMode="External"/><Relationship Id="rId1082" Type="http://schemas.openxmlformats.org/officeDocument/2006/relationships/hyperlink" Target="https://www.amazon.in/Wall-Outlet-Electric-Heaters-Bedroom-bathrooms/dp/B0BPBXNQQT/ref=sr_1_78?qid=1672923593&amp;s=kitchen&amp;sr=1-78" TargetMode="External"/><Relationship Id="rId1083" Type="http://schemas.openxmlformats.org/officeDocument/2006/relationships/hyperlink" Target="https://www.amazon.in/Wonderchef-Nutri-Blend-Watts-Juicer-Grinder/dp/B00W56GLOQ/ref=sr_1_76?qid=1672923595&amp;s=kitchen&amp;sr=1-76" TargetMode="External"/><Relationship Id="rId132" Type="http://schemas.openxmlformats.org/officeDocument/2006/relationships/hyperlink" Target="https://www.amazon.in/Acer-inches-Ultra-Android-AR43AR2851UDFL/dp/B0B1YY6JJL/ref=sr_1_146?qid=1672909131&amp;s=electronics&amp;sr=1-146" TargetMode="External"/><Relationship Id="rId374" Type="http://schemas.openxmlformats.org/officeDocument/2006/relationships/hyperlink" Target="https://www.amazon.in/Fire-Boltt-Bluetooth-Calling-Assistance-Resolution/dp/B0BF4YBLPX/ref=sr_1_41?qid=1672895755&amp;s=electronics&amp;sr=1-41" TargetMode="External"/><Relationship Id="rId1084" Type="http://schemas.openxmlformats.org/officeDocument/2006/relationships/hyperlink" Target="https://www.amazon.in/Armour-AR1100WB-1100-Watt-Soleplate-Purple/dp/B0883KDSXC/ref=sr_1_77?qid=1672923595&amp;s=kitchen&amp;sr=1-77" TargetMode="External"/><Relationship Id="rId131" Type="http://schemas.openxmlformats.org/officeDocument/2006/relationships/hyperlink" Target="https://www.amazon.in/AmazonBasics-3-5mm-2-Male-Adapter-cable/dp/B01D5H8LDM/ref=sr_1_144?qid=1672909130&amp;s=electronics&amp;sr=1-144" TargetMode="External"/><Relationship Id="rId373" Type="http://schemas.openxmlformats.org/officeDocument/2006/relationships/hyperlink" Target="https://www.amazon.in/Redmi-9A-Sport-Octa-core-Processor/dp/B09GFLXVH9/ref=sr_1_40?qid=1672895755&amp;s=electronics&amp;sr=1-40" TargetMode="External"/><Relationship Id="rId1085" Type="http://schemas.openxmlformats.org/officeDocument/2006/relationships/hyperlink" Target="https://www.amazon.in/Butterfly-EKN-1-5-Litre-Kettle-Silver/dp/B078V8R9BS/ref=sr_1_78?qid=1672923595&amp;s=kitchen&amp;sr=1-78" TargetMode="External"/><Relationship Id="rId130" Type="http://schemas.openxmlformats.org/officeDocument/2006/relationships/hyperlink" Target="https://www.amazon.in/7SEVENTM-Universal-Replacement-Original-AKB75095303/dp/B09MM6P76N/ref=sr_1_143?qid=1672909130&amp;s=electronics&amp;sr=1-143" TargetMode="External"/><Relationship Id="rId372" Type="http://schemas.openxmlformats.org/officeDocument/2006/relationships/hyperlink" Target="https://www.amazon.in/Redmi-Activ-Carbon-Black-Storage/dp/B09GFPVD9Y/ref=sr_1_39?qid=1672895755&amp;s=electronics&amp;sr=1-39" TargetMode="External"/><Relationship Id="rId1086" Type="http://schemas.openxmlformats.org/officeDocument/2006/relationships/hyperlink" Target="https://www.amazon.in/Crompton-Arno-Neo-ASWH-3015-Star-Rated/dp/B08GSQXLJ2/ref=sr_1_79?qid=1672923595&amp;s=kitchen&amp;sr=1-79" TargetMode="External"/><Relationship Id="rId371" Type="http://schemas.openxmlformats.org/officeDocument/2006/relationships/hyperlink" Target="https://www.amazon.in/Wayona-Braided-WN3LG1-Syncing-Charging/dp/B07JW9H4J1/ref=sr_1_38?qid=1672895755&amp;s=electronics&amp;sr=1-38" TargetMode="External"/><Relationship Id="rId1087" Type="http://schemas.openxmlformats.org/officeDocument/2006/relationships/hyperlink" Target="https://www.amazon.in/Borosil-Plastic-Chefdelite-BCH20DBB21-Technology/dp/B01M5B0TPW/ref=sr_1_80?qid=1672923595&amp;s=kitchen&amp;sr=1-80" TargetMode="External"/><Relationship Id="rId136" Type="http://schemas.openxmlformats.org/officeDocument/2006/relationships/hyperlink" Target="https://www.amazon.in/AmazonBasics-Lightning-USB-Cable-Certified/dp/B082T6GVG9/ref=sr_1_153?qid=1672909131&amp;s=electronics&amp;sr=1-153" TargetMode="External"/><Relationship Id="rId378" Type="http://schemas.openxmlformats.org/officeDocument/2006/relationships/hyperlink" Target="https://www.amazon.in/Noise-ColorFit-Bluetooth-Fully-Functional-Brightness/dp/B09ZQK9X8G/ref=sr_1_45?qid=1672895755&amp;s=electronics&amp;sr=1-45" TargetMode="External"/><Relationship Id="rId1088" Type="http://schemas.openxmlformats.org/officeDocument/2006/relationships/hyperlink" Target="https://www.amazon.in/Amaze-Litre-Electric-Kettle-Stainless/dp/B082KVTRW8/ref=sr_1_81?qid=1672923595&amp;s=kitchen&amp;sr=1-81" TargetMode="External"/><Relationship Id="rId135" Type="http://schemas.openxmlformats.org/officeDocument/2006/relationships/hyperlink" Target="https://www.amazon.in/USB-Cable-Micro-Type-30cm/dp/B09X79PP8F/ref=sr_1_151?qid=1672909131&amp;s=electronics&amp;sr=1-151" TargetMode="External"/><Relationship Id="rId377" Type="http://schemas.openxmlformats.org/officeDocument/2006/relationships/hyperlink" Target="https://www.amazon.in/Fire-Boltt-Smartwatch-Resolution-Connection-Assistance/dp/B0B3N7LR6K/ref=sr_1_44?qid=1672895755&amp;s=electronics&amp;sr=1-44" TargetMode="External"/><Relationship Id="rId1089" Type="http://schemas.openxmlformats.org/officeDocument/2006/relationships/hyperlink" Target="https://www.amazon.in/Prestige-IRIS-mixer-grinder-Black/dp/B08CFJBZRK/ref=sr_1_82?qid=1672923595&amp;s=kitchen&amp;sr=1-82" TargetMode="External"/><Relationship Id="rId134" Type="http://schemas.openxmlformats.org/officeDocument/2006/relationships/hyperlink" Target="https://www.amazon.in/SAIFSMART-Compact-Bracket-Management-Bathroom/dp/B08L4SBJRY/ref=sr_1_150?qid=1672909131&amp;s=electronics&amp;sr=1-150" TargetMode="External"/><Relationship Id="rId376" Type="http://schemas.openxmlformats.org/officeDocument/2006/relationships/hyperlink" Target="https://www.amazon.in/AGARO-Type-C-USB-Female-Adapter/dp/B07PFJ5W31/ref=sr_1_43?qid=1672895755&amp;s=electronics&amp;sr=1-43" TargetMode="External"/><Relationship Id="rId133" Type="http://schemas.openxmlformats.org/officeDocument/2006/relationships/hyperlink" Target="https://www.amazon.in/Wayona-Charging-Cable-Compatible-Samsung/dp/B09QGZM8QB/ref=sr_1_149?qid=1672909131&amp;s=electronics&amp;sr=1-149" TargetMode="External"/><Relationship Id="rId375" Type="http://schemas.openxmlformats.org/officeDocument/2006/relationships/hyperlink" Target="https://www.amazon.in/Redmi-Storage-Battery-Finger-Booster/dp/B09XB7DPW1/ref=sr_1_42?qid=1672895755&amp;s=electronics&amp;sr=1-42" TargetMode="External"/><Relationship Id="rId172" Type="http://schemas.openxmlformats.org/officeDocument/2006/relationships/hyperlink" Target="https://www.amazon.in/TP-Link-Archer-T3U-Wireless-MU-MIMO/dp/B07M69276N/ref=sr_1_190?qid=1672909133&amp;s=electronics&amp;sr=1-190" TargetMode="External"/><Relationship Id="rId171" Type="http://schemas.openxmlformats.org/officeDocument/2006/relationships/hyperlink" Target="https://www.amazon.in/realme-Charging-Micro-USB-Cable-Braided/dp/B09PNR6F8Q/ref=sr_1_189?qid=1672909133&amp;s=electronics&amp;sr=1-189" TargetMode="External"/><Relationship Id="rId170" Type="http://schemas.openxmlformats.org/officeDocument/2006/relationships/hyperlink" Target="https://www.amazon.in/Acer-inches-Ready-Android-AR32AR2841HDSB/dp/B0B9959XF3/ref=sr_1_188?qid=1672909133&amp;s=electronics&amp;sr=1-188" TargetMode="External"/><Relationship Id="rId165" Type="http://schemas.openxmlformats.org/officeDocument/2006/relationships/hyperlink" Target="https://www.amazon.in/Ambrane-BCL-15-Lightning-Cable-Smartphone/dp/B0B3RHX6B6/ref=sr_1_183?qid=1672909133&amp;s=electronics&amp;sr=1-183" TargetMode="External"/><Relationship Id="rId164" Type="http://schemas.openxmlformats.org/officeDocument/2006/relationships/hyperlink" Target="https://www.amazon.in/Pinnaclz-Original-Type-Charging-Transfer/dp/B08R69WBN7/ref=sr_1_182?qid=1672909133&amp;s=electronics&amp;sr=1-182" TargetMode="External"/><Relationship Id="rId163" Type="http://schemas.openxmlformats.org/officeDocument/2006/relationships/hyperlink" Target="https://www.amazon.in/Wayona-Braided-Charging-Samsung-Galaxy/dp/B081FG1QYX/ref=sr_1_180?qid=1672909133&amp;s=electronics&amp;sr=1-180" TargetMode="External"/><Relationship Id="rId162" Type="http://schemas.openxmlformats.org/officeDocument/2006/relationships/hyperlink" Target="https://www.amazon.in/AmazonBasics-Digital-Optical-Converter-Adapter/dp/B07KSB1MLX/ref=sr_1_179?qid=1672909133&amp;s=electronics&amp;sr=1-179" TargetMode="External"/><Relationship Id="rId169" Type="http://schemas.openxmlformats.org/officeDocument/2006/relationships/hyperlink" Target="https://www.amazon.in/Electvision-Compatible-verification-coustmer-7738090464/dp/B09JKNF147/ref=sr_1_187?qid=1672909133&amp;s=electronics&amp;sr=1-187" TargetMode="External"/><Relationship Id="rId168" Type="http://schemas.openxmlformats.org/officeDocument/2006/relationships/hyperlink" Target="https://www.amazon.in/Wayona-Nylon-Braided-Charging-iPhones/dp/B07JPJJZ2H/ref=sr_1_186?qid=1672909133&amp;s=electronics&amp;sr=1-186" TargetMode="External"/><Relationship Id="rId167" Type="http://schemas.openxmlformats.org/officeDocument/2006/relationships/hyperlink" Target="https://www.amazon.in/LOHAYA-Television-Compatible-Samsung-Control/dp/B081NHWT6Z/ref=sr_1_185?qid=1672909133&amp;s=electronics&amp;sr=1-185" TargetMode="External"/><Relationship Id="rId166" Type="http://schemas.openxmlformats.org/officeDocument/2006/relationships/hyperlink" Target="https://www.amazon.in/Belkin-USB-C-Charging-USB-IF-Certified/dp/B084N18QZY/ref=sr_1_184?qid=1672909133&amp;s=electronics&amp;sr=1-184" TargetMode="External"/><Relationship Id="rId161" Type="http://schemas.openxmlformats.org/officeDocument/2006/relationships/hyperlink" Target="https://www.amazon.in/7SEVEN-Control-YouTube-Netflix-Compatible/dp/B08RWCZ6SY/ref=sr_1_178?qid=1672909133&amp;s=electronics&amp;sr=1-178" TargetMode="External"/><Relationship Id="rId160" Type="http://schemas.openxmlformats.org/officeDocument/2006/relationships/hyperlink" Target="https://www.amazon.in/Zeb-HAA2021-HDMI-Meter-Cable/dp/B07VSG5SXZ/ref=sr_1_177?qid=1672909133&amp;s=electronics&amp;sr=1-177" TargetMode="External"/><Relationship Id="rId159" Type="http://schemas.openxmlformats.org/officeDocument/2006/relationships/hyperlink" Target="https://www.amazon.in/Support-Display-Projector-Connectivity-E03i31/dp/B088Z1YWBC/ref=sr_1_176?qid=1672909133&amp;s=electronics&amp;sr=1-176" TargetMode="External"/><Relationship Id="rId154" Type="http://schemas.openxmlformats.org/officeDocument/2006/relationships/hyperlink" Target="https://www.amazon.in/Samsung-inches-Wondertainment-Ready-UA32TE40AAKBXL/dp/B08PV1X771/ref=sr_1_171?qid=1672909133&amp;s=electronics&amp;sr=1-171" TargetMode="External"/><Relationship Id="rId396" Type="http://schemas.openxmlformats.org/officeDocument/2006/relationships/hyperlink" Target="https://www.amazon.in/iQOO-128GB-Storage-Snapdragon%C2%AE-FlashCharge/dp/B07WDKLDRX/ref=sr_1_63?qid=1672895762&amp;s=electronics&amp;sr=1-63" TargetMode="External"/><Relationship Id="rId153" Type="http://schemas.openxmlformats.org/officeDocument/2006/relationships/hyperlink" Target="https://www.amazon.in/Charging-Braided-Charger-Samsung-Galaxy/dp/B08QSDKFGQ/ref=sr_1_170?qid=1672909133&amp;s=electronics&amp;sr=1-170" TargetMode="External"/><Relationship Id="rId395" Type="http://schemas.openxmlformats.org/officeDocument/2006/relationships/hyperlink" Target="https://www.amazon.in/Portronics-Konnect-POR-1080-Charging-Function/dp/B08CF3B7N1/ref=sr_1_62?qid=1672895762&amp;s=electronics&amp;sr=1-62" TargetMode="External"/><Relationship Id="rId152" Type="http://schemas.openxmlformats.org/officeDocument/2006/relationships/hyperlink" Target="https://www.amazon.in/VU-inches-Premium-Ultra-Smart/dp/B0BB3CBFBM/ref=sr_1_169?qid=1672909133&amp;s=electronics&amp;sr=1-169" TargetMode="External"/><Relationship Id="rId394" Type="http://schemas.openxmlformats.org/officeDocument/2006/relationships/hyperlink" Target="https://www.amazon.in/Deuce-300-Resistant-Tangle-Free-Transmission/dp/B08HDJ86NZ/ref=sr_1_61?qid=1672895762&amp;s=electronics&amp;sr=1-61" TargetMode="External"/><Relationship Id="rId151" Type="http://schemas.openxmlformats.org/officeDocument/2006/relationships/hyperlink" Target="https://www.amazon.in/DURACELL-Type-C-Micro-braided-Charge/dp/B09C6H53KH/ref=sr_1_168?qid=1672909131&amp;s=electronics&amp;sr=1-168" TargetMode="External"/><Relationship Id="rId393" Type="http://schemas.openxmlformats.org/officeDocument/2006/relationships/hyperlink" Target="https://www.amazon.in/boAt-Wave-Call-Dedicated-Multi-Sport/dp/B0B5DDJNH4/ref=sr_1_60?qid=1672895762&amp;s=electronics&amp;sr=1-60" TargetMode="External"/><Relationship Id="rId158" Type="http://schemas.openxmlformats.org/officeDocument/2006/relationships/hyperlink" Target="https://www.amazon.in/Belkin-Lightning-iPhone-Charging-MFi-Certified/dp/B084N133Y7/ref=sr_1_175?qid=1672909133&amp;s=electronics&amp;sr=1-175" TargetMode="External"/><Relationship Id="rId157" Type="http://schemas.openxmlformats.org/officeDocument/2006/relationships/hyperlink" Target="https://www.amazon.in/7SEVEN%C2%AE-Compatible-Control-Replacement-Original/dp/B09XJ1LM7R/ref=sr_1_174?qid=1672909133&amp;s=electronics&amp;sr=1-174" TargetMode="External"/><Relationship Id="rId399" Type="http://schemas.openxmlformats.org/officeDocument/2006/relationships/hyperlink" Target="https://www.amazon.in/Samsung-microSDXC-Memory-Adapter-MB-MC128KA/dp/B09MT84WV5/ref=sr_1_66?qid=1672895762&amp;s=electronics&amp;sr=1-66" TargetMode="External"/><Relationship Id="rId156" Type="http://schemas.openxmlformats.org/officeDocument/2006/relationships/hyperlink" Target="https://www.amazon.in/GENERIC-Ultra-Mini-Bluetooth-Dongle-Adapter/dp/B0117H7GZ6/ref=sr_1_173_mod_primary_new?qid=1672909133&amp;s=electronics&amp;sbo=RZvfv%2F%2FHxDF%2BO5021pAnSA%3D%3D&amp;sr=1-173" TargetMode="External"/><Relationship Id="rId398" Type="http://schemas.openxmlformats.org/officeDocument/2006/relationships/hyperlink" Target="https://www.amazon.in/Tygot-Bluetooth-Extendable-Multifunctional-Compatible/dp/B094YFFSMY/ref=sr_1_65?qid=1672895762&amp;s=electronics&amp;sr=1-65" TargetMode="External"/><Relationship Id="rId155" Type="http://schemas.openxmlformats.org/officeDocument/2006/relationships/hyperlink" Target="https://www.amazon.in/Xiaomi-HyperCharge-Cable-100cm-Type-C/dp/B07YTNKVJQ/ref=sr_1_172?qid=1672909133&amp;s=electronics&amp;sr=1-172" TargetMode="External"/><Relationship Id="rId397" Type="http://schemas.openxmlformats.org/officeDocument/2006/relationships/hyperlink" Target="https://www.amazon.in/boAt-Display-Multiple-Monitoring-Charcoal/dp/B09MQSCJQ1/ref=sr_1_64?qid=1672895762&amp;s=electronics&amp;sr=1-64" TargetMode="External"/><Relationship Id="rId808" Type="http://schemas.openxmlformats.org/officeDocument/2006/relationships/hyperlink" Target="https://www.amazon.in/boAt-Stone-Bluetooth-Speaker-Black/dp/B08JMC1988/ref=sr_1_243?qid=1672903007&amp;s=computers&amp;sr=1-243" TargetMode="External"/><Relationship Id="rId807" Type="http://schemas.openxmlformats.org/officeDocument/2006/relationships/hyperlink" Target="https://www.amazon.in/ESnipe-Mart-Worldwide-Protected-Electrical/dp/B07WKBD37W/ref=sr_1_242?qid=1672903007&amp;s=computers&amp;sr=1-242" TargetMode="External"/><Relationship Id="rId806" Type="http://schemas.openxmlformats.org/officeDocument/2006/relationships/hyperlink" Target="https://www.amazon.in/Stone-650-Wireless-Bluetooth-Speaker/dp/B07NC12T2R/ref=sr_1_241?qid=1672903007&amp;s=computers&amp;sr=1-241" TargetMode="External"/><Relationship Id="rId805" Type="http://schemas.openxmlformats.org/officeDocument/2006/relationships/hyperlink" Target="https://www.amazon.in/Generic-Multi-Angle-tablets-Samsung-paperwhite-Phablets/dp/B017PDR9N0/ref=sr_1_240?qid=1672903006&amp;s=computers&amp;sr=1-240" TargetMode="External"/><Relationship Id="rId809" Type="http://schemas.openxmlformats.org/officeDocument/2006/relationships/hyperlink" Target="https://www.amazon.in/Portronics-Ruffpad-Multicolor-8-5-inch-Handwriting/dp/B09GFN8WZL/ref=sr_1_244?qid=1672903007&amp;s=computers&amp;sr=1-244" TargetMode="External"/><Relationship Id="rId800" Type="http://schemas.openxmlformats.org/officeDocument/2006/relationships/hyperlink" Target="https://www.amazon.in/Gizga-Essentials-Compatible-Smartphone-Security/dp/B09RF2QXGX/ref=sr_1_234?qid=1672903006&amp;s=computers&amp;sr=1-234" TargetMode="External"/><Relationship Id="rId804" Type="http://schemas.openxmlformats.org/officeDocument/2006/relationships/hyperlink" Target="https://www.amazon.in/AmazonBasics-Extension-Cable-Male-Female/dp/B00NH11PEY/ref=sr_1_239?qid=1672903006&amp;s=computers&amp;sr=1-239" TargetMode="External"/><Relationship Id="rId803" Type="http://schemas.openxmlformats.org/officeDocument/2006/relationships/hyperlink" Target="https://www.amazon.in/TABLE-MAGIC-Midnight-Adjustable-Multiple/dp/B086394NY5/ref=sr_1_238?qid=1672903006&amp;s=computers&amp;sr=1-238" TargetMode="External"/><Relationship Id="rId802" Type="http://schemas.openxmlformats.org/officeDocument/2006/relationships/hyperlink" Target="https://www.amazon.in/Maono-AU-400-Lavalier-Microphone-Black/dp/B07JF9B592/ref=sr_1_237?qid=1672903006&amp;s=computers&amp;sr=1-237" TargetMode="External"/><Relationship Id="rId801" Type="http://schemas.openxmlformats.org/officeDocument/2006/relationships/hyperlink" Target="https://www.amazon.in/HP-Z3700-Wireless-Mouse-Modern/dp/B01KK0HU3Y/ref=sr_1_236?qid=1672903006&amp;s=computers&amp;sr=1-236" TargetMode="External"/><Relationship Id="rId40" Type="http://schemas.openxmlformats.org/officeDocument/2006/relationships/hyperlink" Target="https://www.amazon.in/OnePlus-50-inches-Android-Pro/dp/B0B3MMYHYW/ref=sr_1_42?qid=1672909125&amp;s=electronics&amp;sr=1-42" TargetMode="External"/><Relationship Id="rId1334" Type="http://schemas.openxmlformats.org/officeDocument/2006/relationships/hyperlink" Target="https://www.amazon.in/Amazon-Blender-Stainless-Blending-ISI-Marked/dp/B0B9RZ4G4W/ref=sr_1_357?qid=1672923610&amp;s=kitchen&amp;sr=1-357" TargetMode="External"/><Relationship Id="rId1335" Type="http://schemas.openxmlformats.org/officeDocument/2006/relationships/hyperlink" Target="https://www.amazon.in/Orpat-HHB-100E-250-Watt-Blender-White/dp/B0085W2MUQ/ref=sr_1_358?qid=1672923610&amp;s=kitchen&amp;sr=1-358" TargetMode="External"/><Relationship Id="rId42" Type="http://schemas.openxmlformats.org/officeDocument/2006/relationships/hyperlink" Target="https://www.amazon.in/AmazonBasics-USB-2-0-Cable-Male/dp/B00NH11KIK/ref=sr_1_44?qid=1672909125&amp;s=electronics&amp;sr=1-44" TargetMode="External"/><Relationship Id="rId1336" Type="http://schemas.openxmlformats.org/officeDocument/2006/relationships/hyperlink" Target="https://www.amazon.in/HealthSense-New-Feel-Rechargeable-Electric-Sweaters/dp/B09474JWN6/ref=sr_1_361?qid=1672923610&amp;s=kitchen&amp;sr=1-361" TargetMode="External"/><Relationship Id="rId41" Type="http://schemas.openxmlformats.org/officeDocument/2006/relationships/hyperlink" Target="https://www.amazon.in/DURACELL-Type-C-braided-Charge-Cable/dp/B09C6HWG18/ref=sr_1_43?qid=1672909125&amp;s=electronics&amp;sr=1-43" TargetMode="External"/><Relationship Id="rId1337" Type="http://schemas.openxmlformats.org/officeDocument/2006/relationships/hyperlink" Target="https://www.amazon.in/AGARO-Portable-Capacity-Automatic-33603/dp/B09G2VTHQM/ref=sr_1_362?qid=1672923610&amp;s=kitchen&amp;sr=1-362" TargetMode="External"/><Relationship Id="rId44" Type="http://schemas.openxmlformats.org/officeDocument/2006/relationships/hyperlink" Target="https://www.amazon.in/Wayona-Braided-WN3LB1-Syncing-Charging/dp/B07JW1Y6XV/ref=sr_1_46?qid=1672909125&amp;s=electronics&amp;sr=1-46" TargetMode="External"/><Relationship Id="rId1338" Type="http://schemas.openxmlformats.org/officeDocument/2006/relationships/hyperlink" Target="https://www.amazon.in/AGARO-Imperial-Slow-Juicer-Watts/dp/B07R679HTT/ref=sr_1_363?qid=1672923610&amp;s=kitchen&amp;sr=1-363" TargetMode="External"/><Relationship Id="rId43" Type="http://schemas.openxmlformats.org/officeDocument/2006/relationships/hyperlink" Target="https://www.amazon.in/inches-Full-Android-L43M6-INC-Black/dp/B09JPC82QC/ref=sr_1_45?qid=1672909125&amp;s=electronics&amp;sr=1-45" TargetMode="External"/><Relationship Id="rId1339" Type="http://schemas.openxmlformats.org/officeDocument/2006/relationships/hyperlink" Target="https://www.amazon.in/Wipro-Smartlife-Super-Deluxe-Iron/dp/B00B7GKXMG/ref=sr_1_364?qid=1672923610&amp;s=kitchen&amp;sr=1-364" TargetMode="External"/><Relationship Id="rId46" Type="http://schemas.openxmlformats.org/officeDocument/2006/relationships/hyperlink" Target="https://www.amazon.in/FLiX-Charging-480Mbps-Devices-XCD-M11/dp/B09NJN8L25/ref=sr_1_48?qid=1672909125&amp;s=electronics&amp;sr=1-48" TargetMode="External"/><Relationship Id="rId45" Type="http://schemas.openxmlformats.org/officeDocument/2006/relationships/hyperlink" Target="https://www.amazon.in/TP-Link-Archer-T2U-Nano-Wireless/dp/B07KRCW6LZ/ref=sr_1_47?qid=1672909125&amp;s=electronics&amp;sr=1-47" TargetMode="External"/><Relationship Id="rId509" Type="http://schemas.openxmlformats.org/officeDocument/2006/relationships/hyperlink" Target="https://www.amazon.in/SanDisk-Ultra%C2%AE-microSDXCTM-Warranty-Smartphones/dp/B0BDYW3RN3/ref=sr_1_210?qid=1672895806&amp;s=electronics&amp;sr=1-210" TargetMode="External"/><Relationship Id="rId508" Type="http://schemas.openxmlformats.org/officeDocument/2006/relationships/hyperlink" Target="https://www.amazon.in/PTron-Force-Bluetooth-Smartwatch-Waterproof/dp/B0B53QLB9H/ref=sr_1_209?qid=1672895806&amp;s=electronics&amp;sr=1-209" TargetMode="External"/><Relationship Id="rId503" Type="http://schemas.openxmlformats.org/officeDocument/2006/relationships/hyperlink" Target="https://www.amazon.in/Redmi-Starburst-Qualcomm%C2%AE-SnapdragonTM-Included/dp/B09QS9X9L8/ref=sr_1_199?qid=1672895806&amp;s=electronics&amp;sr=1-199" TargetMode="External"/><Relationship Id="rId745" Type="http://schemas.openxmlformats.org/officeDocument/2006/relationships/hyperlink" Target="https://www.amazon.in/Amazon-Basics-8-5-inch-Writing-Drawing/dp/B0BBMPH39N/ref=sr_1_173?qid=1672903004&amp;s=computers&amp;sr=1-173" TargetMode="External"/><Relationship Id="rId987" Type="http://schemas.openxmlformats.org/officeDocument/2006/relationships/hyperlink" Target="https://www.amazon.in/boAt-A750-Tangle-free-Transmission-Rebellious/dp/B09RWZRCP1/ref=sr_1_449?qid=1672903017&amp;s=computers&amp;sr=1-449" TargetMode="External"/><Relationship Id="rId502" Type="http://schemas.openxmlformats.org/officeDocument/2006/relationships/hyperlink" Target="https://www.amazon.in/iQOO-Storage-Snapdragon-FlashCharge-Brightness/dp/B07WFPMGQQ/ref=sr_1_198?qid=1672895806&amp;s=electronics&amp;sr=1-198" TargetMode="External"/><Relationship Id="rId744" Type="http://schemas.openxmlformats.org/officeDocument/2006/relationships/hyperlink" Target="https://www.amazon.in/Kanget-Female-Adapter-Standard-Interface/dp/B094DQWV9B/ref=sr_1_171?qid=1672903004&amp;s=computers&amp;sr=1-171" TargetMode="External"/><Relationship Id="rId986" Type="http://schemas.openxmlformats.org/officeDocument/2006/relationships/hyperlink" Target="https://www.amazon.in/Camel-Oil-Pastel-Reusable-Plastic/dp/B00LY12TH6/ref=sr_1_448?qid=1672903017&amp;s=computers&amp;sr=1-448" TargetMode="External"/><Relationship Id="rId501" Type="http://schemas.openxmlformats.org/officeDocument/2006/relationships/hyperlink" Target="https://www.amazon.in/Redmi-Note-11T-5G-Dimensity/dp/B09LHYZ3GJ/ref=sr_1_196?qid=1672895806&amp;s=electronics&amp;sr=1-196" TargetMode="External"/><Relationship Id="rId743" Type="http://schemas.openxmlformats.org/officeDocument/2006/relationships/hyperlink" Target="https://www.amazon.in/Amazon-Basics-Multipurpose-Foldable-Laptop/dp/B09Z28BQZT/ref=sr_1_170?qid=1672903004&amp;s=computers&amp;sr=1-170" TargetMode="External"/><Relationship Id="rId985" Type="http://schemas.openxmlformats.org/officeDocument/2006/relationships/hyperlink" Target="https://www.amazon.in/Pinnaclz-Original-Micro-USB-Charging/dp/B08R69VDHT/ref=sr_1_447?qid=1672903017&amp;s=computers&amp;sr=1-447" TargetMode="External"/><Relationship Id="rId500" Type="http://schemas.openxmlformats.org/officeDocument/2006/relationships/hyperlink" Target="https://www.amazon.in/Samsung-Galaxy-Prime-Light-Blue/dp/B0BD3T6Z1D/ref=sr_1_193?qid=1672895806&amp;s=electronics&amp;sr=1-193" TargetMode="External"/><Relationship Id="rId742" Type="http://schemas.openxmlformats.org/officeDocument/2006/relationships/hyperlink" Target="https://www.amazon.in/Tukzer-Capacitive-Lightweight-Magnetism-Smartphones/dp/B08K4PSZ3V/ref=sr_1_169?qid=1672903004&amp;s=computers&amp;sr=1-169" TargetMode="External"/><Relationship Id="rId984" Type="http://schemas.openxmlformats.org/officeDocument/2006/relationships/hyperlink" Target="https://www.amazon.in/Essentials-Reusable-Double-Organizer-Length/dp/B07R99NBVB/ref=sr_1_444?qid=1672903017&amp;s=computers&amp;sr=1-444" TargetMode="External"/><Relationship Id="rId507" Type="http://schemas.openxmlformats.org/officeDocument/2006/relationships/hyperlink" Target="https://www.amazon.in/MYVN-Charging-Compatible-OnePlus-Charge/dp/B084DTMYWK/ref=sr_1_208?qid=1672895806&amp;s=electronics&amp;sr=1-208" TargetMode="External"/><Relationship Id="rId749" Type="http://schemas.openxmlformats.org/officeDocument/2006/relationships/hyperlink" Target="https://www.amazon.in/Redgear-Gaming-Semi-Honeycomb-Windows-Gamers/dp/B08CHZ3ZQ7/ref=sr_1_177?qid=1672903004&amp;s=computers&amp;sr=1-177" TargetMode="External"/><Relationship Id="rId506" Type="http://schemas.openxmlformats.org/officeDocument/2006/relationships/hyperlink" Target="https://www.amazon.in/Duracell-Lightning-Certified-Braided-Charging/dp/B09W5XR9RT/ref=sr_1_205?qid=1672895806&amp;s=electronics&amp;sr=1-205" TargetMode="External"/><Relationship Id="rId748" Type="http://schemas.openxmlformats.org/officeDocument/2006/relationships/hyperlink" Target="https://www.amazon.in/Zeb-Buds-C2-Controller-Blue/dp/B08VRMK55F/ref=sr_1_176?qid=1672903004&amp;s=computers&amp;sr=1-176" TargetMode="External"/><Relationship Id="rId505" Type="http://schemas.openxmlformats.org/officeDocument/2006/relationships/hyperlink" Target="https://www.amazon.in/A400-Type-C-Cable-Meter-Black/dp/B077Z65HSD/ref=sr_1_204?qid=1672895806&amp;s=electronics&amp;sr=1-204" TargetMode="External"/><Relationship Id="rId747" Type="http://schemas.openxmlformats.org/officeDocument/2006/relationships/hyperlink" Target="https://www.amazon.in/Noise-Colorfit-Pro-Touch-Control/dp/B07YY1BY5B/ref=sr_1_175?qid=1672903004&amp;s=computers&amp;sr=1-175" TargetMode="External"/><Relationship Id="rId989" Type="http://schemas.openxmlformats.org/officeDocument/2006/relationships/hyperlink" Target="https://www.amazon.in/Foxin-Toner-Cartridge-Q2612A-Laserjet/dp/B07KNM95JK/ref=sr_1_451?qid=1672903017&amp;s=computers&amp;sr=1-451" TargetMode="External"/><Relationship Id="rId504" Type="http://schemas.openxmlformats.org/officeDocument/2006/relationships/hyperlink" Target="https://www.amazon.in/Noise-Advanced-Bluetooth-Brightness-Smartwatch/dp/B0B6BLTGTT/ref=sr_1_202?qid=1672895806&amp;s=electronics&amp;sr=1-202" TargetMode="External"/><Relationship Id="rId746" Type="http://schemas.openxmlformats.org/officeDocument/2006/relationships/hyperlink" Target="https://www.amazon.in/Zebronics-ZEB-90HB-Pocket-Laptop-Computers/dp/B097JQ1J5G/ref=sr_1_174?qid=1672903004&amp;s=computers&amp;sr=1-174" TargetMode="External"/><Relationship Id="rId988" Type="http://schemas.openxmlformats.org/officeDocument/2006/relationships/hyperlink" Target="https://www.amazon.in/HP-M270-Gaming-Mouse-7ZZ87AA/dp/B08497Z1MQ/ref=sr_1_450?qid=1672903017&amp;s=computers&amp;sr=1-450" TargetMode="External"/><Relationship Id="rId48" Type="http://schemas.openxmlformats.org/officeDocument/2006/relationships/hyperlink" Target="https://www.amazon.in/D-Link-DWA-131-Wireless-Adapter-Black/dp/B002PD61Y4/ref=sr_1_50?qid=1672909126&amp;s=electronics&amp;sr=1-50" TargetMode="External"/><Relationship Id="rId47" Type="http://schemas.openxmlformats.org/officeDocument/2006/relationships/hyperlink" Target="https://www.amazon.in/WeCool-Braided-Multifunction-Charging-Android/dp/B07XJYYH7L/ref=sr_1_49?qid=1672909126&amp;s=electronics&amp;sr=1-49" TargetMode="External"/><Relationship Id="rId49" Type="http://schemas.openxmlformats.org/officeDocument/2006/relationships/hyperlink" Target="https://www.amazon.in/AmazonBasics-High-Speed-HDMI-Cable-Feet/dp/B014I8SSD0/ref=sr_1_51?qid=1672909126&amp;s=electronics&amp;sr=1-51" TargetMode="External"/><Relationship Id="rId741" Type="http://schemas.openxmlformats.org/officeDocument/2006/relationships/hyperlink" Target="https://www.amazon.in/Casio-MJ-12D-Desktop-Calculator-Grey/dp/B0752LL57V/ref=sr_1_168?qid=1672903002&amp;s=computers&amp;sr=1-168" TargetMode="External"/><Relationship Id="rId983" Type="http://schemas.openxmlformats.org/officeDocument/2006/relationships/hyperlink" Target="https://www.amazon.in/Tukzer-Foldable-Adjustable-Compatible-Smartphones/dp/B08MWJTST6/ref=sr_1_442?qid=1672903017&amp;s=computers&amp;sr=1-442" TargetMode="External"/><Relationship Id="rId1330" Type="http://schemas.openxmlformats.org/officeDocument/2006/relationships/hyperlink" Target="https://www.amazon.in/Panasonic-SR-WA22H-5-4-Litre-Automatic-Cooker/dp/B00A328ENA/ref=sr_1_349?qid=1672923610&amp;s=kitchen&amp;sr=1-349" TargetMode="External"/><Relationship Id="rId740" Type="http://schemas.openxmlformats.org/officeDocument/2006/relationships/hyperlink" Target="https://www.amazon.in/Callas-Multipurpose-Breakfast-Ergonomic-WA-27-Black/dp/B08MZQBFLN/ref=sr_1_167?qid=1672903002&amp;s=computers&amp;sr=1-167" TargetMode="External"/><Relationship Id="rId982" Type="http://schemas.openxmlformats.org/officeDocument/2006/relationships/hyperlink" Target="https://www.amazon.in/HP-Charger-Adapter-Pavilion-Black/dp/B01NBX5RSB/ref=sr_1_441?qid=1672903017&amp;s=computers&amp;sr=1-441" TargetMode="External"/><Relationship Id="rId1331" Type="http://schemas.openxmlformats.org/officeDocument/2006/relationships/hyperlink" Target="https://www.amazon.in/InstaCuppa-Handheld-Operated-Electric-Stainless/dp/B0763K5HLQ/ref=sr_1_350?qid=1672923610&amp;s=kitchen&amp;sr=1-350" TargetMode="External"/><Relationship Id="rId981" Type="http://schemas.openxmlformats.org/officeDocument/2006/relationships/hyperlink" Target="https://www.amazon.in/oraimo-Charging-Syncing-Indicator-Compatible/dp/B0B86CDHL1/ref=sr_1_440?qid=1672903017&amp;s=computers&amp;sr=1-440" TargetMode="External"/><Relationship Id="rId1332" Type="http://schemas.openxmlformats.org/officeDocument/2006/relationships/hyperlink" Target="https://www.amazon.in/Goodscity-Garment-Steamer-Clothes-Steam/dp/B09PDZNSBG/ref=sr_1_351?qid=1672923610&amp;s=kitchen&amp;sr=1-351" TargetMode="External"/><Relationship Id="rId980" Type="http://schemas.openxmlformats.org/officeDocument/2006/relationships/hyperlink" Target="https://www.amazon.in/HB-Adjustable-Aluminum-Foldable-Adjustment/dp/B0BHVPTM2C/ref=sr_1_439?qid=1672903017&amp;s=computers&amp;sr=1-439" TargetMode="External"/><Relationship Id="rId1333" Type="http://schemas.openxmlformats.org/officeDocument/2006/relationships/hyperlink" Target="https://www.amazon.in/Solidaire-550-Watt-Mixer-Grinder-SLD-550-B/dp/B085LPT5F4/ref=sr_1_356?qid=1672923610&amp;s=kitchen&amp;sr=1-356" TargetMode="External"/><Relationship Id="rId1323" Type="http://schemas.openxmlformats.org/officeDocument/2006/relationships/hyperlink" Target="https://www.amazon.in/AO-Smith-HSE-VAS-15-Litre-Storage/dp/B01892MIPA/ref=sr_1_341?qid=1672923610&amp;s=kitchen&amp;sr=1-341" TargetMode="External"/><Relationship Id="rId1324" Type="http://schemas.openxmlformats.org/officeDocument/2006/relationships/hyperlink" Target="https://www.amazon.in/Havells-Festiva-1200mm-Resistant-Ceiling/dp/B08ZHYNTM1/ref=sr_1_342?qid=1672923610&amp;s=kitchen&amp;sr=1-342" TargetMode="External"/><Relationship Id="rId31" Type="http://schemas.openxmlformats.org/officeDocument/2006/relationships/hyperlink" Target="https://www.amazon.in/A400-Type-C-Cable-Meter-Black/dp/B077Z65HSD/ref=sr_1_33?qid=1672909125&amp;s=electronics&amp;sr=1-33" TargetMode="External"/><Relationship Id="rId1325" Type="http://schemas.openxmlformats.org/officeDocument/2006/relationships/hyperlink" Target="https://www.amazon.in/Handheld-Powerful-Filtration-Lightweight-Accessories/dp/B09SDDQQKP/ref=sr_1_343?qid=1672923610&amp;s=kitchen&amp;sr=1-343" TargetMode="External"/><Relationship Id="rId30" Type="http://schemas.openxmlformats.org/officeDocument/2006/relationships/hyperlink" Target="https://www.amazon.in/Duracell-Lightning-Certified-Braided-Charging/dp/B09W5XR9RT/ref=sr_1_32?qid=1672909125&amp;s=electronics&amp;sr=1-32" TargetMode="External"/><Relationship Id="rId1326" Type="http://schemas.openxmlformats.org/officeDocument/2006/relationships/hyperlink" Target="https://www.amazon.in/SM1515NEW-Sandwich-Floating-Hinges-1000Watt/dp/B0B5RP43VN/ref=sr_1_345?qid=1672923610&amp;s=kitchen&amp;sr=1-345" TargetMode="External"/><Relationship Id="rId33" Type="http://schemas.openxmlformats.org/officeDocument/2006/relationships/hyperlink" Target="https://www.amazon.in/Ambrane-Charging-Unbreakable-Braided-Connector/dp/B09CMM3VGK/ref=sr_1_35?qid=1672909125&amp;s=electronics&amp;sr=1-35" TargetMode="External"/><Relationship Id="rId1327" Type="http://schemas.openxmlformats.org/officeDocument/2006/relationships/hyperlink" Target="https://www.amazon.in/Eureka-Forbes-Aquaguard-boiling-Technology/dp/B096NTB9XT/ref=sr_1_346?qid=1672923610&amp;s=kitchen&amp;sr=1-346" TargetMode="External"/><Relationship Id="rId32" Type="http://schemas.openxmlformats.org/officeDocument/2006/relationships/hyperlink" Target="https://www.amazon.in/AmazonBasics-Extension-Cable-Male-Female/dp/B00NH11PEY/ref=sr_1_34?qid=1672909125&amp;s=electronics&amp;sr=1-34" TargetMode="External"/><Relationship Id="rId1328" Type="http://schemas.openxmlformats.org/officeDocument/2006/relationships/hyperlink" Target="https://www.amazon.in/Havells-Instanio-3-Litre-Instant-Geyser/dp/B078JF6X9B/ref=sr_1_347?qid=1672923610&amp;s=kitchen&amp;sr=1-347" TargetMode="External"/><Relationship Id="rId35" Type="http://schemas.openxmlformats.org/officeDocument/2006/relationships/hyperlink" Target="https://www.amazon.in/Samsung-Original-Type-Cable-Meter/dp/B008FWZGSG/ref=sr_1_37?qid=1672909125&amp;s=electronics&amp;sr=1-37" TargetMode="External"/><Relationship Id="rId1329" Type="http://schemas.openxmlformats.org/officeDocument/2006/relationships/hyperlink" Target="https://www.amazon.in/Rechargeable-whisks%EF%BC%8C3-Speed-Adjustable-Cappuccino-Bulletproof/dp/B08CGW4GYR/ref=sr_1_348?qid=1672923610&amp;s=kitchen&amp;sr=1-348" TargetMode="External"/><Relationship Id="rId34" Type="http://schemas.openxmlformats.org/officeDocument/2006/relationships/hyperlink" Target="https://www.amazon.in/Charging-Braided-Charger-Samsung-Galaxy/dp/B08QSC1XY8/ref=sr_1_36?qid=1672909125&amp;s=electronics&amp;sr=1-36" TargetMode="External"/><Relationship Id="rId739" Type="http://schemas.openxmlformats.org/officeDocument/2006/relationships/hyperlink" Target="https://www.amazon.in/Logitech-MK240-NANO-Mouse-Keyboard/dp/B01N4EV2TL/ref=sr_1_166?qid=1672903002&amp;s=computers&amp;sr=1-166" TargetMode="External"/><Relationship Id="rId734" Type="http://schemas.openxmlformats.org/officeDocument/2006/relationships/hyperlink" Target="https://www.amazon.in/Robustrion-Anti-Scratch-iPad-10-2-inch/dp/B07Z3K96FR/ref=sr_1_160?qid=1672903002&amp;s=computers&amp;sr=1-160" TargetMode="External"/><Relationship Id="rId976" Type="http://schemas.openxmlformats.org/officeDocument/2006/relationships/hyperlink" Target="https://www.amazon.in/AmazonBasics-Type-C-USB-Male-Cable/dp/B01GGKYKQM/ref=sr_1_435?qid=1672903017&amp;s=computers&amp;sr=1-435" TargetMode="External"/><Relationship Id="rId733" Type="http://schemas.openxmlformats.org/officeDocument/2006/relationships/hyperlink" Target="https://www.amazon.in/TIZUM-Slim-1-5m-HDMI-Cable/dp/B01M4GGIVU/ref=sr_1_159?qid=1672903002&amp;s=computers&amp;sr=1-159" TargetMode="External"/><Relationship Id="rId975" Type="http://schemas.openxmlformats.org/officeDocument/2006/relationships/hyperlink" Target="https://www.amazon.in/Imou-Security-Advanced-Surveillance-Detection/dp/B07YFWVRCM/ref=sr_1_433?qid=1672903017&amp;s=computers&amp;sr=1-433" TargetMode="External"/><Relationship Id="rId732" Type="http://schemas.openxmlformats.org/officeDocument/2006/relationships/hyperlink" Target="https://www.amazon.in/JBL-Portable-Waterproof-Bluetooth-Speaker/dp/B07B88KQZ8/ref=sr_1_158?qid=1672903002&amp;s=computers&amp;sr=1-158" TargetMode="External"/><Relationship Id="rId974" Type="http://schemas.openxmlformats.org/officeDocument/2006/relationships/hyperlink" Target="https://www.amazon.in/Artis-AR-45WMG2-Compatible-Laptop-Adaptor/dp/B07L1N3TJX/ref=sr_1_432?qid=1672903016&amp;s=computers&amp;sr=1-432" TargetMode="External"/><Relationship Id="rId731" Type="http://schemas.openxmlformats.org/officeDocument/2006/relationships/hyperlink" Target="https://www.amazon.in/Noise-Wireless-Instacharge-Bluetooth-Breathing/dp/B0B217Z5VK/ref=sr_1_157?qid=1672903002&amp;s=computers&amp;sr=1-157" TargetMode="External"/><Relationship Id="rId973" Type="http://schemas.openxmlformats.org/officeDocument/2006/relationships/hyperlink" Target="https://www.amazon.in/Classmate-Long-Book-Unruled-Pages/dp/B086PXQ2R4/ref=sr_1_431?qid=1672903016&amp;s=computers&amp;sr=1-431" TargetMode="External"/><Relationship Id="rId738" Type="http://schemas.openxmlformats.org/officeDocument/2006/relationships/hyperlink" Target="https://www.amazon.in/TP-Link-TL-WR845N-300Mbps-Wireless-N-Router/dp/B01HGCLUH6/ref=sr_1_165?qid=1672903002&amp;s=computers&amp;sr=1-165" TargetMode="External"/><Relationship Id="rId737" Type="http://schemas.openxmlformats.org/officeDocument/2006/relationships/hyperlink" Target="https://www.amazon.in/STRIFF-Flexible-Silicone-Protector-Computers/dp/B09Z6WH2N1/ref=sr_1_164?qid=1672903002&amp;s=computers&amp;sr=1-164" TargetMode="External"/><Relationship Id="rId979" Type="http://schemas.openxmlformats.org/officeDocument/2006/relationships/hyperlink" Target="https://www.amazon.in/Sennheiser-CX-80s-Ear-Earphone/dp/B083T5G5PM/ref=sr_1_438?qid=1672903017&amp;s=computers&amp;sr=1-438" TargetMode="External"/><Relationship Id="rId736" Type="http://schemas.openxmlformats.org/officeDocument/2006/relationships/hyperlink" Target="https://www.amazon.in/Logitech-M235-Wireless-Mouse-Grey/dp/B004IO5BMQ/ref=sr_1_163?qid=1672903002&amp;s=computers&amp;sr=1-163" TargetMode="External"/><Relationship Id="rId978" Type="http://schemas.openxmlformats.org/officeDocument/2006/relationships/hyperlink" Target="https://www.amazon.in/Snapdragon-Resolution-Refresh-27-81Cm-Display/dp/B09XXZXQC1/ref=sr_1_437?qid=1672903017&amp;s=computers&amp;sr=1-437" TargetMode="External"/><Relationship Id="rId735" Type="http://schemas.openxmlformats.org/officeDocument/2006/relationships/hyperlink" Target="https://www.amazon.in/Redgear-Pro-Wireless-Gamepad-Black/dp/B0756CLQWL/ref=sr_1_162?qid=1672903002&amp;s=computers&amp;sr=1-162" TargetMode="External"/><Relationship Id="rId977" Type="http://schemas.openxmlformats.org/officeDocument/2006/relationships/hyperlink" Target="https://www.amazon.in/COSMOS-Portable-Flexible-Colors-EC-POF1/dp/B08TDJ5BVF/ref=sr_1_436?qid=1672903017&amp;s=computers&amp;sr=1-436" TargetMode="External"/><Relationship Id="rId37" Type="http://schemas.openxmlformats.org/officeDocument/2006/relationships/hyperlink" Target="https://www.amazon.in/Solero-MB301-Charging-480Mbps-1-5-Meter/dp/B08Y1SJVV5/ref=sr_1_39?qid=1672909125&amp;s=electronics&amp;sr=1-39" TargetMode="External"/><Relationship Id="rId36" Type="http://schemas.openxmlformats.org/officeDocument/2006/relationships/hyperlink" Target="https://www.amazon.in/pTron-3-5Amps-Charging-480Mbps-Smartphones/dp/B0B4HJNPV4/ref=sr_1_38?qid=1672909125&amp;s=electronics&amp;sr=1-38" TargetMode="External"/><Relationship Id="rId39" Type="http://schemas.openxmlformats.org/officeDocument/2006/relationships/hyperlink" Target="https://www.amazon.in/Sounce-Type-C-Compatible-Smartphone-Charging/dp/B09RZS1NQT/ref=sr_1_41?qid=1672909125&amp;s=electronics&amp;sr=1-41" TargetMode="External"/><Relationship Id="rId38" Type="http://schemas.openxmlformats.org/officeDocument/2006/relationships/hyperlink" Target="https://www.amazon.in/AmazonBasics-Apple-Certified-Lightning-Charging/dp/B07XLCFSSN/ref=sr_1_40?qid=1672909125&amp;s=electronics&amp;sr=1-40" TargetMode="External"/><Relationship Id="rId730" Type="http://schemas.openxmlformats.org/officeDocument/2006/relationships/hyperlink" Target="https://www.amazon.in/AirCase-External-Drive-2-5-Inch-Black/dp/B00NNQMYNE/ref=sr_1_155?qid=1672903002&amp;s=computers&amp;sr=1-155" TargetMode="External"/><Relationship Id="rId972" Type="http://schemas.openxmlformats.org/officeDocument/2006/relationships/hyperlink" Target="https://www.amazon.in/Belkin-Essential-F9E400zb1-5MGRY-4-Socket-Protector/dp/B0083T231O/ref=sr_1_430?qid=1672903016&amp;s=computers&amp;sr=1-430" TargetMode="External"/><Relationship Id="rId971" Type="http://schemas.openxmlformats.org/officeDocument/2006/relationships/hyperlink" Target="https://www.amazon.in/Redgear-Cosmo-7-1-Headphones-Controller/dp/B079S811J3/ref=sr_1_429?qid=1672903016&amp;s=computers&amp;sr=1-429" TargetMode="External"/><Relationship Id="rId1320" Type="http://schemas.openxmlformats.org/officeDocument/2006/relationships/hyperlink" Target="https://www.amazon.in/Morphy-Richards-Daisy-1000-Watt-White/dp/B01N6IJG0F/ref=sr_1_341?qid=1672923609&amp;s=kitchen&amp;sr=1-341" TargetMode="External"/><Relationship Id="rId970" Type="http://schemas.openxmlformats.org/officeDocument/2006/relationships/hyperlink" Target="https://www.amazon.in/Portronics-Konnect-Charge-Charging-Resistant/dp/B09Q8HMKZX/ref=sr_1_428?qid=1672903016&amp;s=computers&amp;sr=1-428" TargetMode="External"/><Relationship Id="rId1321" Type="http://schemas.openxmlformats.org/officeDocument/2006/relationships/hyperlink" Target="https://www.amazon.in/Lightweight-Automatic-bacterial-Weilburger-Soleplate/dp/B0B84QN4CN/ref=sr_1_342?qid=1672923609&amp;s=kitchen&amp;sr=1-342" TargetMode="External"/><Relationship Id="rId1322" Type="http://schemas.openxmlformats.org/officeDocument/2006/relationships/hyperlink" Target="https://www.amazon.in/Zuvexa-Poacher-Automatic-Steaming-Multicolor/dp/B0B8ZM9RVV/ref=sr_1_340?qid=1672923610&amp;s=kitchen&amp;sr=1-340" TargetMode="External"/><Relationship Id="rId1114" Type="http://schemas.openxmlformats.org/officeDocument/2006/relationships/hyperlink" Target="https://www.amazon.in/Crompton-Insta-Comfy-Heater-Settings/dp/B08MVSGXMY/ref=sr_1_110?qid=1672923596&amp;s=kitchen&amp;sr=1-110" TargetMode="External"/><Relationship Id="rId1356" Type="http://schemas.openxmlformats.org/officeDocument/2006/relationships/hyperlink" Target="https://www.amazon.in/LG-Convertible-Anti-Virus-Protection-PS-Q19YNZE/dp/B09NS5TKPN/ref=sr_1_381?qid=1672923611&amp;s=kitchen&amp;sr=1-381" TargetMode="External"/><Relationship Id="rId1115" Type="http://schemas.openxmlformats.org/officeDocument/2006/relationships/hyperlink" Target="https://www.amazon.in/Usha-Convector-2000-Watt-Instant-Heating/dp/B00H0B29DI/ref=sr_1_111?qid=1672923596&amp;s=kitchen&amp;sr=1-111" TargetMode="External"/><Relationship Id="rId1357" Type="http://schemas.openxmlformats.org/officeDocument/2006/relationships/hyperlink" Target="https://www.amazon.in/Eureka-Forbes-Amrit-Twin-Cartridge/dp/B00LP9RFSU/ref=sr_1_382?qid=1672923611&amp;s=kitchen&amp;sr=1-382" TargetMode="External"/><Relationship Id="rId20" Type="http://schemas.openxmlformats.org/officeDocument/2006/relationships/hyperlink" Target="https://www.amazon.in/boAt-A325-Tangle-Free-Charging-Transmission/dp/B08WRBG3XW/ref=sr_1_20?qid=1672909124&amp;s=electronics&amp;sr=1-20" TargetMode="External"/><Relationship Id="rId1116" Type="http://schemas.openxmlformats.org/officeDocument/2006/relationships/hyperlink" Target="https://www.amazon.in/Philips-HL7756-00-750-Watt-Grinder/dp/B01GZSQJPA/ref=sr_1_115?qid=1672923596&amp;s=kitchen&amp;sr=1-115" TargetMode="External"/><Relationship Id="rId1358" Type="http://schemas.openxmlformats.org/officeDocument/2006/relationships/hyperlink" Target="https://www.amazon.in/Green-Tales-Sealer-Impulse-Machine-Packaging/dp/B0B7L86YCB/ref=sr_1_383?qid=1672923611&amp;s=kitchen&amp;sr=1-383" TargetMode="External"/><Relationship Id="rId1117" Type="http://schemas.openxmlformats.org/officeDocument/2006/relationships/hyperlink" Target="https://www.amazon.in/Kuber-Industries-Foldable-Laundry-KUBMART11450/dp/B08VGFX2B6/ref=sr_1_116?qid=1672923596&amp;s=kitchen&amp;sr=1-116" TargetMode="External"/><Relationship Id="rId1359" Type="http://schemas.openxmlformats.org/officeDocument/2006/relationships/hyperlink" Target="https://www.amazon.in/SaleOn-Charcoal-Electric-Appliances-Mix-colors/dp/B09VPH38JS/ref=sr_1_384?qid=1672923611&amp;s=kitchen&amp;sr=1-384" TargetMode="External"/><Relationship Id="rId22" Type="http://schemas.openxmlformats.org/officeDocument/2006/relationships/hyperlink" Target="https://www.amazon.in/DURACELL-Lightning-Certified-braided-Devices/dp/B09C6HXFC1/ref=sr_1_22?qid=1672909124&amp;s=electronics&amp;sr=1-22" TargetMode="External"/><Relationship Id="rId1118" Type="http://schemas.openxmlformats.org/officeDocument/2006/relationships/hyperlink" Target="https://www.amazon.in/Lifelong-LLMG93-Stainless-Liquidizing-Warranty/dp/B09GYBZPHF/ref=sr_1_118?qid=1672923596&amp;s=kitchen&amp;sr=1-118" TargetMode="External"/><Relationship Id="rId21" Type="http://schemas.openxmlformats.org/officeDocument/2006/relationships/hyperlink" Target="https://www.amazon.in/LG-inches-Ready-Smart-32LM563BPTC/dp/B08DPLCM6T/ref=sr_1_21?qid=1672909124&amp;s=electronics&amp;sr=1-21" TargetMode="External"/><Relationship Id="rId1119" Type="http://schemas.openxmlformats.org/officeDocument/2006/relationships/hyperlink" Target="https://www.amazon.in/Ikea-45454-IKEA-Frother-Milk/dp/B0B4KPCBSH/ref=sr_1_119_mod_primary_new?qid=1672923596&amp;s=kitchen&amp;sbo=RZvfv%2F%2FHxDF%2BO5021pAnSA%3D%3D&amp;sr=1-119" TargetMode="External"/><Relationship Id="rId24" Type="http://schemas.openxmlformats.org/officeDocument/2006/relationships/hyperlink" Target="https://www.amazon.in/Samsung-Inches-Wondertainment-UA32T4340BKXXL-Glossy/dp/B09F6S8BT6/ref=sr_1_24?qid=1672909124&amp;s=electronics&amp;sr=1-24" TargetMode="External"/><Relationship Id="rId23" Type="http://schemas.openxmlformats.org/officeDocument/2006/relationships/hyperlink" Target="https://www.amazon.in/Adapter-Projector-Computer-Laptop-Projectors/dp/B085194JFL/ref=sr_1_23?qid=1672909124&amp;s=electronics&amp;sr=1-23" TargetMode="External"/><Relationship Id="rId525" Type="http://schemas.openxmlformats.org/officeDocument/2006/relationships/hyperlink" Target="https://www.amazon.in/Samsung-Original-EHS64AVFBECINU-Hands-Free-Remote/dp/B01F262EUU/ref=sr_1_256?qid=1672895821&amp;s=electronics&amp;sr=1-256" TargetMode="External"/><Relationship Id="rId767" Type="http://schemas.openxmlformats.org/officeDocument/2006/relationships/hyperlink" Target="https://www.amazon.in/Parker-Classic-Gold-Ball-Pen/dp/B00LM4W1N2/ref=sr_1_197?qid=1672903005&amp;s=computers&amp;sr=1-197" TargetMode="External"/><Relationship Id="rId524" Type="http://schemas.openxmlformats.org/officeDocument/2006/relationships/hyperlink" Target="https://www.amazon.in/Redmi-Thunder-Storage-Dimensity-5000mAh/dp/B0BBFJLP21/ref=sr_1_255?qid=1672895821&amp;s=electronics&amp;sr=1-255" TargetMode="External"/><Relationship Id="rId766" Type="http://schemas.openxmlformats.org/officeDocument/2006/relationships/hyperlink" Target="https://www.amazon.in/SanDisk-Ultra-SDDDC2-064G-G46-Drives-Silver/dp/B01EZ0X3L8/ref=sr_1_196?qid=1672903005&amp;s=computers&amp;sr=1-196" TargetMode="External"/><Relationship Id="rId523" Type="http://schemas.openxmlformats.org/officeDocument/2006/relationships/hyperlink" Target="https://www.amazon.in/STRIFF-Flexible-Silicone-Protector-Computers/dp/B0B8ZWNR5T/ref=sr_1_250?qid=1672895821&amp;s=electronics&amp;sr=1-250" TargetMode="External"/><Relationship Id="rId765" Type="http://schemas.openxmlformats.org/officeDocument/2006/relationships/hyperlink" Target="https://www.amazon.in/Zebronics-Transformer-Gaming-Multimedia-Keyboard/dp/B07BRKK9JQ/ref=sr_1_195?qid=1672903005&amp;s=computers&amp;sr=1-195" TargetMode="External"/><Relationship Id="rId522" Type="http://schemas.openxmlformats.org/officeDocument/2006/relationships/hyperlink" Target="https://www.amazon.in/Compatible-Pixel-6a-Military-Grade-Anti-Explosion/dp/B0B8CHJLWJ/ref=sr_1_247?qid=1672895821&amp;s=electronics&amp;sr=1-247" TargetMode="External"/><Relationship Id="rId764" Type="http://schemas.openxmlformats.org/officeDocument/2006/relationships/hyperlink" Target="https://www.amazon.in/Duracell-Chhota-Power-Battery-Set/dp/B08QDPB1SL/ref=sr_1_194?qid=1672903005&amp;s=computers&amp;sr=1-194" TargetMode="External"/><Relationship Id="rId529" Type="http://schemas.openxmlformats.org/officeDocument/2006/relationships/hyperlink" Target="https://www.amazon.in/Sounce-Adjustable-Universal-Flexible-Gooseneck/dp/B096TWZRJC/ref=sr_1_269?qid=1672895828&amp;s=electronics&amp;sr=1-269" TargetMode="External"/><Relationship Id="rId528" Type="http://schemas.openxmlformats.org/officeDocument/2006/relationships/hyperlink" Target="https://www.amazon.in/WeCool-Navigation-Locking-Gripping-Rotation/dp/B0B2DJ5RVQ/ref=sr_1_260?qid=1672895821&amp;s=electronics&amp;sr=1-260" TargetMode="External"/><Relationship Id="rId527" Type="http://schemas.openxmlformats.org/officeDocument/2006/relationships/hyperlink" Target="https://www.amazon.in/boAt-Launched-Electra-Ultra-Seamless-Personalization/dp/B0BNVBJW2S/ref=sr_1_259?qid=1672895821&amp;s=electronics&amp;sr=1-259" TargetMode="External"/><Relationship Id="rId769" Type="http://schemas.openxmlformats.org/officeDocument/2006/relationships/hyperlink" Target="https://www.amazon.in/Tarkan-Portable-Folding-Laptop-Lapdesk/dp/B08YD264ZS/ref=sr_1_200?qid=1672903005&amp;s=computers&amp;sr=1-200" TargetMode="External"/><Relationship Id="rId526" Type="http://schemas.openxmlformats.org/officeDocument/2006/relationships/hyperlink" Target="https://www.amazon.in/STRIFF-Android-Portable-Foldable-Stand-Perfect/dp/B09VZBGL1N/ref=sr_1_257?qid=1672895821&amp;s=electronics&amp;sr=1-257" TargetMode="External"/><Relationship Id="rId768" Type="http://schemas.openxmlformats.org/officeDocument/2006/relationships/hyperlink" Target="https://www.amazon.in/boAt-Flash-Smartwatch-Resistance-Lightning/dp/B0949SBKMP/ref=sr_1_199?qid=1672903005&amp;s=computers&amp;sr=1-199" TargetMode="External"/><Relationship Id="rId26" Type="http://schemas.openxmlformats.org/officeDocument/2006/relationships/hyperlink" Target="https://www.amazon.in/Acer-inches-Ready-Android-AR32AR2841HDFL/dp/B0B1YVCJ2Y/ref=sr_1_26?qid=1672909125&amp;s=electronics&amp;sr=1-26" TargetMode="External"/><Relationship Id="rId25" Type="http://schemas.openxmlformats.org/officeDocument/2006/relationships/hyperlink" Target="https://www.amazon.in/Flix-Micro-Cable-Smartphone-Black/dp/B09NHVCHS9/ref=sr_1_25?qid=1672909125&amp;s=electronics&amp;sr=1-25" TargetMode="External"/><Relationship Id="rId28" Type="http://schemas.openxmlformats.org/officeDocument/2006/relationships/hyperlink" Target="https://www.amazon.in/OnePlus-inches-Ready-Android-32Y1/dp/B08B42LWKN/ref=sr_1_29?qid=1672909125&amp;s=electronics&amp;sr=1-29" TargetMode="External"/><Relationship Id="rId1350" Type="http://schemas.openxmlformats.org/officeDocument/2006/relationships/hyperlink" Target="https://www.amazon.in/Crompton-Solarium-Qube-Star-Rated-Storage/dp/B07VZH6ZBB/ref=sr_1_372?qid=1672923611&amp;s=kitchen&amp;sr=1-372" TargetMode="External"/><Relationship Id="rId27" Type="http://schemas.openxmlformats.org/officeDocument/2006/relationships/hyperlink" Target="https://www.amazon.in/TIZUM-Slim-1-5m-HDMI-Cable/dp/B01M4GGIVU/ref=sr_1_27?qid=1672909125&amp;s=electronics&amp;sr=1-27" TargetMode="External"/><Relationship Id="rId1351" Type="http://schemas.openxmlformats.org/officeDocument/2006/relationships/hyperlink" Target="https://www.amazon.in/Singer-Aroma-1-8-Litre-Electric-Kettle/dp/B07F366Z51/ref=sr_1_373?qid=1672923611&amp;s=kitchen&amp;sr=1-373" TargetMode="External"/><Relationship Id="rId521" Type="http://schemas.openxmlformats.org/officeDocument/2006/relationships/hyperlink" Target="https://www.amazon.in/Charger-Certified-Charging-Adaptor-Cellular/dp/B09NL4DCXK/ref=sr_1_246?qid=1672895821&amp;s=electronics&amp;sr=1-246" TargetMode="External"/><Relationship Id="rId763" Type="http://schemas.openxmlformats.org/officeDocument/2006/relationships/hyperlink" Target="https://www.amazon.in/Luxor-Subject-Single-Ruled-Notebook/dp/B00LHZWD0C/ref=sr_1_193?qid=1672903005&amp;s=computers&amp;sr=1-193" TargetMode="External"/><Relationship Id="rId1110" Type="http://schemas.openxmlformats.org/officeDocument/2006/relationships/hyperlink" Target="https://www.amazon.in/Health-Sense-Chef-Mate-Digital-Scale-KS33/dp/B013B2WGT6/ref=sr_1_106?qid=1672923596&amp;s=kitchen&amp;sr=1-106" TargetMode="External"/><Relationship Id="rId1352" Type="http://schemas.openxmlformats.org/officeDocument/2006/relationships/hyperlink" Target="https://www.amazon.in/Orient-Electric-Aura-Neo-IWAN03WSM3/dp/B077BTLQ67/ref=sr_1_374?qid=1672923611&amp;s=kitchen&amp;sr=1-374" TargetMode="External"/><Relationship Id="rId29" Type="http://schemas.openxmlformats.org/officeDocument/2006/relationships/hyperlink" Target="https://www.amazon.in/Ambrane-Unbreakable-Charging-Braided-Multipurpose/dp/B094JNXNPV/ref=sr_1_31?qid=1672909125&amp;s=electronics&amp;sr=1-31" TargetMode="External"/><Relationship Id="rId520" Type="http://schemas.openxmlformats.org/officeDocument/2006/relationships/hyperlink" Target="https://www.amazon.in/AmazonBasics-Apple-Certified-Lightning-Charging/dp/B07XLCFSSN/ref=sr_1_245?qid=1672895821&amp;s=electronics&amp;sr=1-245" TargetMode="External"/><Relationship Id="rId762" Type="http://schemas.openxmlformats.org/officeDocument/2006/relationships/hyperlink" Target="https://www.amazon.in/boAt-BassHeads-225-Special-Headphones/dp/B01MF8MB65/ref=sr_1_191?qid=1672903004&amp;s=computers&amp;sr=1-191" TargetMode="External"/><Relationship Id="rId1111" Type="http://schemas.openxmlformats.org/officeDocument/2006/relationships/hyperlink" Target="https://www.amazon.in/PHILIPS-Digital-HD9252-90-Technology/dp/B097RJ867P/ref=sr_1_107?qid=1672923596&amp;s=kitchen&amp;sr=1-107" TargetMode="External"/><Relationship Id="rId1353" Type="http://schemas.openxmlformats.org/officeDocument/2006/relationships/hyperlink" Target="https://www.amazon.in/Crompton-BRIO-1000-Years-Warranty/dp/B07YSJ7FF1/ref=sr_1_375?qid=1672923611&amp;s=kitchen&amp;sr=1-375" TargetMode="External"/><Relationship Id="rId761" Type="http://schemas.openxmlformats.org/officeDocument/2006/relationships/hyperlink" Target="https://www.amazon.in/Logitech-MK215-Wireless-Keyboard-Mouse/dp/B012MQS060/ref=sr_1_190?qid=1672903004&amp;s=computers&amp;sr=1-190" TargetMode="External"/><Relationship Id="rId1112" Type="http://schemas.openxmlformats.org/officeDocument/2006/relationships/hyperlink" Target="https://www.amazon.in/Milton-Electric-Stainless-Kettle-Litres/dp/B091V8HK8Z/ref=sr_1_108?qid=1672923596&amp;s=kitchen&amp;sr=1-108" TargetMode="External"/><Relationship Id="rId1354" Type="http://schemas.openxmlformats.org/officeDocument/2006/relationships/hyperlink" Target="https://www.amazon.in/Butterfly-Hero-500-Mixer-Grinder/dp/B07TXCY3YK/ref=sr_1_379?qid=1672923611&amp;s=kitchen&amp;sr=1-379" TargetMode="External"/><Relationship Id="rId760" Type="http://schemas.openxmlformats.org/officeDocument/2006/relationships/hyperlink" Target="https://www.amazon.in/STRIFF-Adjustable-Computer-Multi-Angle-Compatible/dp/B08PFSZ7FH/ref=sr_1_189?qid=1672903004&amp;s=computers&amp;sr=1-189" TargetMode="External"/><Relationship Id="rId1113" Type="http://schemas.openxmlformats.org/officeDocument/2006/relationships/hyperlink" Target="https://www.amazon.in/Philips-Collection-HD2582-00-830-Watt/dp/B071VNHMX2/ref=sr_1_109?qid=1672923596&amp;s=kitchen&amp;sr=1-109" TargetMode="External"/><Relationship Id="rId1355" Type="http://schemas.openxmlformats.org/officeDocument/2006/relationships/hyperlink" Target="https://www.amazon.in/Racold-Eterno-Pro-Vertical-Metallic/dp/B07TC9F7PN/ref=sr_1_380?qid=1672923611&amp;s=kitchen&amp;sr=1-380" TargetMode="External"/><Relationship Id="rId1103" Type="http://schemas.openxmlformats.org/officeDocument/2006/relationships/hyperlink" Target="https://www.amazon.in/Crompton-Gracee-Instant-Heater-Geyser/dp/B0B3X2BY3M/ref=sr_1_102?qid=1672923595&amp;s=kitchen&amp;sr=1-102" TargetMode="External"/><Relationship Id="rId1345" Type="http://schemas.openxmlformats.org/officeDocument/2006/relationships/hyperlink" Target="https://www.amazon.in/Inalsa-Easy-Mix-200-Watt-Mixer/dp/B075K76YW1/ref=sr_1_367?qid=1672923611&amp;s=kitchen&amp;sr=1-367" TargetMode="External"/><Relationship Id="rId1104" Type="http://schemas.openxmlformats.org/officeDocument/2006/relationships/hyperlink" Target="https://www.amazon.in/Bajaj-DX-600-Watts-Light-Weight/dp/B00F159RIK/ref=sr_1_100?qid=1672923596&amp;s=kitchen&amp;sr=1-100" TargetMode="External"/><Relationship Id="rId1346" Type="http://schemas.openxmlformats.org/officeDocument/2006/relationships/hyperlink" Target="https://www.amazon.in/Longway-Blaze-Quartz-Heater-White/dp/B0BNLFQDG2/ref=sr_1_368?qid=1672923611&amp;s=kitchen&amp;sr=1-368" TargetMode="External"/><Relationship Id="rId1105" Type="http://schemas.openxmlformats.org/officeDocument/2006/relationships/hyperlink" Target="https://www.amazon.in/Bajaj-Waterproof-Watts-Immersion-Heater/dp/B08MV82R99/ref=sr_1_101?qid=1672923596&amp;s=kitchen&amp;sr=1-101" TargetMode="External"/><Relationship Id="rId1347" Type="http://schemas.openxmlformats.org/officeDocument/2006/relationships/hyperlink" Target="https://www.amazon.in/Prestige-Wet-Grinder-PWG-07/dp/B082ZQ4479/ref=sr_1_369?qid=1672923611&amp;s=kitchen&amp;sr=1-369" TargetMode="External"/><Relationship Id="rId1106" Type="http://schemas.openxmlformats.org/officeDocument/2006/relationships/hyperlink" Target="https://www.amazon.in/Supreme-Pressure-Portable-Cleaning-Purpose/dp/B09VKWGZD7/ref=sr_1_102?qid=1672923596&amp;s=kitchen&amp;sr=1-102" TargetMode="External"/><Relationship Id="rId1348" Type="http://schemas.openxmlformats.org/officeDocument/2006/relationships/hyperlink" Target="https://www.amazon.in/Pigeon-Powerful-Stainless-Grinding-Polycarbonate/dp/B09Y358DZQ/ref=sr_1_370?qid=1672923611&amp;s=kitchen&amp;sr=1-370" TargetMode="External"/><Relationship Id="rId11" Type="http://schemas.openxmlformats.org/officeDocument/2006/relationships/hyperlink" Target="https://www.amazon.in/Ambrane-Unbreakable-Charging-Braided-Android/dp/B082LZGK39/ref=sr_1_11?qid=1672909124&amp;s=electronics&amp;sr=1-11" TargetMode="External"/><Relationship Id="rId1107" Type="http://schemas.openxmlformats.org/officeDocument/2006/relationships/hyperlink" Target="https://www.amazon.in/Bajaj-Delux-2000-Watt-Room-Heater/dp/B009P2LK80/ref=sr_1_103?qid=1672923596&amp;s=kitchen&amp;sr=1-103" TargetMode="External"/><Relationship Id="rId1349" Type="http://schemas.openxmlformats.org/officeDocument/2006/relationships/hyperlink" Target="https://www.amazon.in/Borosil-Volcano-Filled-Radiator-Heater/dp/B09M3F4HGB/ref=sr_1_371?qid=1672923611&amp;s=kitchen&amp;sr=1-371" TargetMode="External"/><Relationship Id="rId10" Type="http://schemas.openxmlformats.org/officeDocument/2006/relationships/hyperlink" Target="https://www.amazon.in/TP-Link-TL-WN725N-150Mbps-Wireless-Adapter/dp/B008IFXQFU/ref=sr_1_10?qid=1672909124&amp;s=electronics&amp;sr=1-10" TargetMode="External"/><Relationship Id="rId1108" Type="http://schemas.openxmlformats.org/officeDocument/2006/relationships/hyperlink" Target="https://www.amazon.in/Orpat-HHB-100E-WOB-250-Watt-Blender/dp/B00A7PLVU6/ref=sr_1_104?qid=1672923596&amp;s=kitchen&amp;sr=1-104" TargetMode="External"/><Relationship Id="rId13" Type="http://schemas.openxmlformats.org/officeDocument/2006/relationships/hyperlink" Target="https://www.amazon.in/Rugged-Extra-Tough-Unbreakable-Braided/dp/B0789LZTCJ/ref=sr_1_13?qid=1672909124&amp;s=electronics&amp;sr=1-13" TargetMode="External"/><Relationship Id="rId1109" Type="http://schemas.openxmlformats.org/officeDocument/2006/relationships/hyperlink" Target="https://www.amazon.in/Egg-Boiler-Electric-Automatic-Steaming/dp/B0B25DJ352/ref=sr_1_105?qid=1672923596&amp;s=kitchen&amp;sr=1-105" TargetMode="External"/><Relationship Id="rId12" Type="http://schemas.openxmlformats.org/officeDocument/2006/relationships/hyperlink" Target="https://www.amazon.in/Portronics-POR-1081-Charging-1-2Meter-Function/dp/B08CF3D7QR/ref=sr_1_12?qid=1672909124&amp;s=electronics&amp;sr=1-12" TargetMode="External"/><Relationship Id="rId519" Type="http://schemas.openxmlformats.org/officeDocument/2006/relationships/hyperlink" Target="https://www.amazon.in/Fire-Boltt-Smartwatch-Sports-Tracking-Silver/dp/B09YV463SW/ref=sr_1_242?qid=1672895821&amp;s=electronics&amp;sr=1-242" TargetMode="External"/><Relationship Id="rId514" Type="http://schemas.openxmlformats.org/officeDocument/2006/relationships/hyperlink" Target="https://www.amazon.in/Boult-Bluetooth-Smartwatch-Brightness-Waterproof/dp/B0BMVWKZ8G/ref=sr_1_230?qid=1672895814&amp;s=electronics&amp;sr=1-230" TargetMode="External"/><Relationship Id="rId756" Type="http://schemas.openxmlformats.org/officeDocument/2006/relationships/hyperlink" Target="https://www.amazon.in/AirCase-13-Inch-13-3-Inch-MacBook-Neoprene/dp/B07Z1X6VFC/ref=sr_1_185?qid=1672903004&amp;s=computers&amp;sr=1-185" TargetMode="External"/><Relationship Id="rId998" Type="http://schemas.openxmlformats.org/officeDocument/2006/relationships/hyperlink" Target="https://www.amazon.in/Clublaptop-Reversible-15-6-inch-Laptop-Sleeve/dp/B00C3GBCIS/ref=sr_1_460?qid=1672903018&amp;s=computers&amp;sr=1-460" TargetMode="External"/><Relationship Id="rId513" Type="http://schemas.openxmlformats.org/officeDocument/2006/relationships/hyperlink" Target="https://www.amazon.in/Redmi-Note-11T-5G-Aquamarine/dp/B09LJ116B5/ref=sr_1_221?qid=1672895814&amp;s=electronics&amp;sr=1-221" TargetMode="External"/><Relationship Id="rId755" Type="http://schemas.openxmlformats.org/officeDocument/2006/relationships/hyperlink" Target="https://www.amazon.in/Infinity-Fuze-Pint-Portable-Wireless/dp/B07W6VWZ8C/ref=sr_1_184?qid=1672903004&amp;s=computers&amp;sr=1-184" TargetMode="External"/><Relationship Id="rId997" Type="http://schemas.openxmlformats.org/officeDocument/2006/relationships/hyperlink" Target="https://www.amazon.in/HP-K500F-Gaming-Keyboard-7ZZ97AA/dp/B08498D67S/ref=sr_1_459?qid=1672903018&amp;s=computers&amp;sr=1-459" TargetMode="External"/><Relationship Id="rId512" Type="http://schemas.openxmlformats.org/officeDocument/2006/relationships/hyperlink" Target="https://www.amazon.in/Noise-Colorfit-Pro-Control-Cloudbased/dp/B08HV25BBQ/ref=sr_1_220?qid=1672895814&amp;s=electronics&amp;sr=1-220" TargetMode="External"/><Relationship Id="rId754" Type="http://schemas.openxmlformats.org/officeDocument/2006/relationships/hyperlink" Target="https://www.amazon.in/Portronics-MPORT-Type-Ports-Transfer/dp/B09M869Z5V/ref=sr_1_183?qid=1672903004&amp;s=computers&amp;sr=1-183" TargetMode="External"/><Relationship Id="rId996" Type="http://schemas.openxmlformats.org/officeDocument/2006/relationships/hyperlink" Target="https://www.amazon.in/ZEBRONICS-Zeb-NS2000-Supports-Aluminium-Adjustable/dp/B08WKCTFF3/ref=sr_1_458?qid=1672903018&amp;s=computers&amp;sr=1-458" TargetMode="External"/><Relationship Id="rId511" Type="http://schemas.openxmlformats.org/officeDocument/2006/relationships/hyperlink" Target="https://www.amazon.in/Redmi-Storage-Qualcomm%C2%AE-SnapdragonTM-Included/dp/B09QS9X16F/ref=sr_1_218?qid=1672895814&amp;s=electronics&amp;sr=1-218" TargetMode="External"/><Relationship Id="rId753" Type="http://schemas.openxmlformats.org/officeDocument/2006/relationships/hyperlink" Target="https://www.amazon.in/SanDisk-Extreme-microSD-Smartphones-Action/dp/B0B2DD66GS/ref=sr_1_182?qid=1672903004&amp;s=computers&amp;sr=1-182" TargetMode="External"/><Relationship Id="rId995" Type="http://schemas.openxmlformats.org/officeDocument/2006/relationships/hyperlink" Target="https://www.amazon.in/Pilot-Frixion-Clicker-Roller-Blue/dp/B00S2SEV7K/ref=sr_1_457?qid=1672903018&amp;s=computers&amp;sr=1-457" TargetMode="External"/><Relationship Id="rId518" Type="http://schemas.openxmlformats.org/officeDocument/2006/relationships/hyperlink" Target="https://www.amazon.in/Motorola-keypad-Mobile-Expandable-Battery/dp/B09JS94MBV/ref=sr_1_239?qid=1672895814&amp;s=electronics&amp;sr=1-239" TargetMode="External"/><Relationship Id="rId517" Type="http://schemas.openxmlformats.org/officeDocument/2006/relationships/hyperlink" Target="https://www.amazon.in/Noise-Bluetooth-Calling-Display-Assistant/dp/B0B5GF6DQD/ref=sr_1_238?qid=1672895814&amp;s=electronics&amp;sr=1-238" TargetMode="External"/><Relationship Id="rId759" Type="http://schemas.openxmlformats.org/officeDocument/2006/relationships/hyperlink" Target="https://www.amazon.in/Parker-Quink-Ink-Bottle-Blue/dp/B00LM4X0KU/ref=sr_1_188?qid=1672903004&amp;s=computers&amp;sr=1-188" TargetMode="External"/><Relationship Id="rId516" Type="http://schemas.openxmlformats.org/officeDocument/2006/relationships/hyperlink" Target="https://www.amazon.in/Solero-MB301-Charging-480Mbps-1-5-Meter/dp/B08Y1SJVV5/ref=sr_1_234?qid=1672895814&amp;s=electronics&amp;sr=1-234" TargetMode="External"/><Relationship Id="rId758" Type="http://schemas.openxmlformats.org/officeDocument/2006/relationships/hyperlink" Target="https://www.amazon.in/TP-Link-Archer-C20-Wireless-Router/dp/B0759QMF85/ref=sr_1_187?qid=1672903004&amp;s=computers&amp;sr=1-187" TargetMode="External"/><Relationship Id="rId515" Type="http://schemas.openxmlformats.org/officeDocument/2006/relationships/hyperlink" Target="https://www.amazon.in/OnePlus-Display-Refresh-Multiple-Midnight/dp/B0BD92GDQH/ref=sr_1_231?qid=1672895814&amp;s=electronics&amp;sr=1-231" TargetMode="External"/><Relationship Id="rId757" Type="http://schemas.openxmlformats.org/officeDocument/2006/relationships/hyperlink" Target="https://www.amazon.in/Brand-Conquer-Reader-Adapter-Portable/dp/B07YL54NVJ/ref=sr_1_186?qid=1672903004&amp;s=computers&amp;sr=1-186" TargetMode="External"/><Relationship Id="rId999" Type="http://schemas.openxmlformats.org/officeDocument/2006/relationships/hyperlink" Target="https://www.amazon.in/Inventis-Portable-Flexible-Light-Colors/dp/B00URH5E34/ref=sr_1_461?qid=1672903018&amp;s=computers&amp;sr=1-461" TargetMode="External"/><Relationship Id="rId15" Type="http://schemas.openxmlformats.org/officeDocument/2006/relationships/hyperlink" Target="https://www.amazon.in/Portronics-Konnect-Delivery-Support-Braided/dp/B085DTN6R2/ref=sr_1_15?qid=1672909124&amp;s=electronics&amp;sr=1-15" TargetMode="External"/><Relationship Id="rId990" Type="http://schemas.openxmlformats.org/officeDocument/2006/relationships/hyperlink" Target="https://www.amazon.in/Robustrion-Samsung-10-5-inch-2022/dp/B09Q3M3WLJ/ref=sr_1_452?qid=1672903017&amp;s=computers&amp;sr=1-452" TargetMode="External"/><Relationship Id="rId14" Type="http://schemas.openxmlformats.org/officeDocument/2006/relationships/hyperlink" Target="https://www.amazon.in/AmazonBasics-Flexible-HDMI-Cable-3-Foot/dp/B07KSMBL2H/ref=sr_1_14?qid=1672909124&amp;s=electronics&amp;sr=1-14" TargetMode="External"/><Relationship Id="rId17" Type="http://schemas.openxmlformats.org/officeDocument/2006/relationships/hyperlink" Target="https://www.amazon.in/Mi-Braided-USB-Type-C-Cable/dp/B083342NKJ/ref=sr_1_17?qid=1672909124&amp;s=electronics&amp;sr=1-17" TargetMode="External"/><Relationship Id="rId16" Type="http://schemas.openxmlformats.org/officeDocument/2006/relationships/hyperlink" Target="https://www.amazon.in/Portronics-Konnect-POR-1401-Charging-Function/dp/B09KLVMZ3B/ref=sr_1_16?qid=1672909124&amp;s=electronics&amp;sr=1-16" TargetMode="External"/><Relationship Id="rId1340" Type="http://schemas.openxmlformats.org/officeDocument/2006/relationships/hyperlink" Target="https://www.amazon.in/AmazonBasics-VCS35B15K-C-1-5-Litre-Bagless-Cylinder/dp/B07H3N8RJH/ref=sr_1_365?qid=1672923610&amp;s=kitchen&amp;sr=1-365" TargetMode="External"/><Relationship Id="rId19" Type="http://schemas.openxmlformats.org/officeDocument/2006/relationships/hyperlink" Target="https://www.amazon.in/Ambrane-Unbreakable-Charging-Braided-Cable/dp/B082LSVT4B/ref=sr_1_19?qid=1672909124&amp;s=electronics&amp;sr=1-19" TargetMode="External"/><Relationship Id="rId510" Type="http://schemas.openxmlformats.org/officeDocument/2006/relationships/hyperlink" Target="https://www.amazon.in/Fire-Boltt-Phoenix-Bluetooth-Calling-Monitoring/dp/B0B3RS9DNF/ref=sr_1_214?qid=1672895806&amp;s=electronics&amp;sr=1-214" TargetMode="External"/><Relationship Id="rId752" Type="http://schemas.openxmlformats.org/officeDocument/2006/relationships/hyperlink" Target="https://www.amazon.in/Eveready-Alkaline-Batteries-1012-Battery/dp/B00ZRBWPA0/ref=sr_1_181?qid=1672903004&amp;s=computers&amp;sr=1-181" TargetMode="External"/><Relationship Id="rId994" Type="http://schemas.openxmlformats.org/officeDocument/2006/relationships/hyperlink" Target="https://www.amazon.in/Ambrane-Charging-Neckband-Wireless-ACT/dp/B09YLXYP7Y/ref=sr_1_456?qid=1672903017&amp;s=computers&amp;sr=1-456" TargetMode="External"/><Relationship Id="rId1341" Type="http://schemas.openxmlformats.org/officeDocument/2006/relationships/hyperlink" Target="https://www.amazon.in/Crompton-IHL251-1500-Watt-Immersion-Heater/dp/B07K2HVKLL/ref=sr_1_366?qid=1672923610&amp;s=kitchen&amp;sr=1-366" TargetMode="External"/><Relationship Id="rId18" Type="http://schemas.openxmlformats.org/officeDocument/2006/relationships/hyperlink" Target="https://www.amazon.in/MI-inches-Ready-Android-L32M7-5AIN/dp/B0B6F7LX4C/ref=sr_1_18?qid=1672909124&amp;s=electronics&amp;sr=1-18" TargetMode="External"/><Relationship Id="rId751" Type="http://schemas.openxmlformats.org/officeDocument/2006/relationships/hyperlink" Target="https://www.amazon.in/Fire-Boltt-Smartwatch-Monitoring-Continuous-BSW005/dp/B0972BQ2RS/ref=sr_1_180?qid=1672903004&amp;s=computers&amp;sr=1-180" TargetMode="External"/><Relationship Id="rId993" Type="http://schemas.openxmlformats.org/officeDocument/2006/relationships/hyperlink" Target="https://www.amazon.in/Lenovo-Optical-Compact-Mouse-Black/dp/B099SD8PRP/ref=sr_1_455?qid=1672903017&amp;s=computers&amp;sr=1-455" TargetMode="External"/><Relationship Id="rId1100" Type="http://schemas.openxmlformats.org/officeDocument/2006/relationships/hyperlink" Target="https://www.amazon.in/Eureka-Forbes-Trendy-Zip-1000-Watt/dp/B00V9NHDI4/ref=sr_1_99?qid=1672923595&amp;s=kitchen&amp;sr=1-99" TargetMode="External"/><Relationship Id="rId1342" Type="http://schemas.openxmlformats.org/officeDocument/2006/relationships/hyperlink" Target="https://www.amazon.in/SaiEllin-Heater-Portable-Bedroom-Compact/dp/B09MQ9PDHR/ref=sr_1_364?qid=1672923611&amp;s=kitchen&amp;sr=1-364" TargetMode="External"/><Relationship Id="rId750" Type="http://schemas.openxmlformats.org/officeDocument/2006/relationships/hyperlink" Target="https://www.amazon.in/JBL-Commercial-Omnidirectional-Microphone-Recording/dp/B08SCCG9D4/ref=sr_1_179?qid=1672903004&amp;s=computers&amp;sr=1-179" TargetMode="External"/><Relationship Id="rId992" Type="http://schemas.openxmlformats.org/officeDocument/2006/relationships/hyperlink" Target="https://www.amazon.in/Ambrane-ABDC-10-Charging-Transmission-Compatible/dp/B09CMP1SC8/ref=sr_1_454?qid=1672903017&amp;s=computers&amp;sr=1-454" TargetMode="External"/><Relationship Id="rId1101" Type="http://schemas.openxmlformats.org/officeDocument/2006/relationships/hyperlink" Target="https://www.amazon.in/Pigeon-Stovekraft-Quartz-Electric-Kettle/dp/B07WGPBXY9/ref=sr_1_100?qid=1672923595&amp;s=kitchen&amp;sr=1-100" TargetMode="External"/><Relationship Id="rId1343" Type="http://schemas.openxmlformats.org/officeDocument/2006/relationships/hyperlink" Target="https://www.amazon.in/Bajaj-Majesty-Duetto-LPG-6-Litre/dp/B014HDJ7ZE/ref=sr_1_365?qid=1672923611&amp;s=kitchen&amp;sr=1-365" TargetMode="External"/><Relationship Id="rId991" Type="http://schemas.openxmlformats.org/officeDocument/2006/relationships/hyperlink" Target="https://www.amazon.in/PC-SQUARE-Adjustable-Ergonomic-Compatible/dp/B09B9SPC7F/ref=sr_1_453?qid=1672903017&amp;s=computers&amp;sr=1-453" TargetMode="External"/><Relationship Id="rId1102" Type="http://schemas.openxmlformats.org/officeDocument/2006/relationships/hyperlink" Target="https://www.amazon.in/Maharaja-Whiteline-Lava-1200-Watt-Helogen/dp/B00KRCBA6E/ref=sr_1_101?qid=1672923595&amp;s=kitchen&amp;sr=1-101" TargetMode="External"/><Relationship Id="rId1344" Type="http://schemas.openxmlformats.org/officeDocument/2006/relationships/hyperlink" Target="https://www.amazon.in/Black-Decker-BXIR2201IN-2200-Watt-Cordless/dp/B07D2NMTTV/ref=sr_1_366?qid=1672923611&amp;s=kitchen&amp;sr=1-366" TargetMode="External"/><Relationship Id="rId84" Type="http://schemas.openxmlformats.org/officeDocument/2006/relationships/hyperlink" Target="https://www.amazon.in/Skywall-81-28-inches-Smart-32SWELS-PRO/dp/B08QX1CC14/ref=sr_1_91?qid=1672909128&amp;s=electronics&amp;sr=1-91" TargetMode="External"/><Relationship Id="rId83" Type="http://schemas.openxmlformats.org/officeDocument/2006/relationships/hyperlink" Target="https://www.amazon.in/FLiX-Charging-480Mbps-Devices-XCD-C12/dp/B09NKZXMWJ/ref=sr_1_90?qid=1672909128&amp;s=electronics&amp;sr=1-90" TargetMode="External"/><Relationship Id="rId86" Type="http://schemas.openxmlformats.org/officeDocument/2006/relationships/hyperlink" Target="https://www.amazon.in/Wayona-Cable-Braided-Charger-Smartphones/dp/B07GVGTSLN/ref=sr_1_93?qid=1672909128&amp;s=electronics&amp;sr=1-93" TargetMode="External"/><Relationship Id="rId85" Type="http://schemas.openxmlformats.org/officeDocument/2006/relationships/hyperlink" Target="https://www.amazon.in/boAt-350-Cable-Carbon-Black/dp/B0974H97TJ/ref=sr_1_92?qid=1672909128&amp;s=electronics&amp;sr=1-92" TargetMode="External"/><Relationship Id="rId88" Type="http://schemas.openxmlformats.org/officeDocument/2006/relationships/hyperlink" Target="https://www.amazon.in/Acer-inches-Ultra-Android-AR50AR2851UDFL/dp/B0B1YZX72F/ref=sr_1_95?qid=1672909128&amp;s=electronics&amp;sr=1-95" TargetMode="External"/><Relationship Id="rId87" Type="http://schemas.openxmlformats.org/officeDocument/2006/relationships/hyperlink" Target="https://www.amazon.in/OnePlus-43-inches-Android-Pro/dp/B09VCHLSJF/ref=sr_1_94?qid=1672909128&amp;s=electronics&amp;sr=1-94" TargetMode="External"/><Relationship Id="rId89" Type="http://schemas.openxmlformats.org/officeDocument/2006/relationships/hyperlink" Target="https://www.amazon.in/Samsung-inches-Crystal-Ultra-UA43AUE60AKLXL/dp/B092BJMT8Q/ref=sr_1_96?qid=1672909128&amp;s=electronics&amp;sr=1-96" TargetMode="External"/><Relationship Id="rId709" Type="http://schemas.openxmlformats.org/officeDocument/2006/relationships/hyperlink" Target="https://www.amazon.in/Duracell-Alkaline-Battery-Duralock-Technology/dp/B01DJJVFPC/ref=sr_1_133?qid=1672903001&amp;s=computers&amp;sr=1-133" TargetMode="External"/><Relationship Id="rId708" Type="http://schemas.openxmlformats.org/officeDocument/2006/relationships/hyperlink" Target="https://www.amazon.in/Noise-Bluetooth-Wireless-30-Hours-Instacharge/dp/B09Y5MP7C4/ref=sr_1_132?qid=1672903001&amp;s=computers&amp;sr=1-132" TargetMode="External"/><Relationship Id="rId707" Type="http://schemas.openxmlformats.org/officeDocument/2006/relationships/hyperlink" Target="https://www.amazon.in/Samsung-Galaxy-Bluetooth-Compatible-Android/dp/B09DG9VNWB/ref=sr_1_131?qid=1672903001&amp;s=computers&amp;sr=1-131" TargetMode="External"/><Relationship Id="rId949" Type="http://schemas.openxmlformats.org/officeDocument/2006/relationships/hyperlink" Target="https://www.amazon.in/Robustrion-Anti-Scratch-Smudge-Tempered-Protector/dp/B0B2CPVXHX/ref=sr_1_406?qid=1672903014&amp;s=computers&amp;sr=1-406" TargetMode="External"/><Relationship Id="rId706" Type="http://schemas.openxmlformats.org/officeDocument/2006/relationships/hyperlink" Target="https://www.amazon.in/Fire-Boltt-Bluetooth-Assistance-Calculator-Monitoring/dp/B0B3MWYCHQ/ref=sr_1_130?qid=1672903001&amp;s=computers&amp;sr=1-130" TargetMode="External"/><Relationship Id="rId948" Type="http://schemas.openxmlformats.org/officeDocument/2006/relationships/hyperlink" Target="https://www.amazon.in/Tabelito-Sleeve-15-6-Inch-MacBook-Protective/dp/B08TR61BVK/ref=sr_1_404?qid=1672903014&amp;s=computers&amp;sr=1-404" TargetMode="External"/><Relationship Id="rId80" Type="http://schemas.openxmlformats.org/officeDocument/2006/relationships/hyperlink" Target="https://www.amazon.in/SWAPKART-Charging-Compatible-iPhone-Devices/dp/B0B2DJDCPX/ref=sr_1_87?qid=1672909128&amp;s=electronics&amp;sr=1-87" TargetMode="External"/><Relationship Id="rId82" Type="http://schemas.openxmlformats.org/officeDocument/2006/relationships/hyperlink" Target="https://www.amazon.in/Wayona-Braided-Syncing-Charging-iPhone/dp/B07LGT55SJ/ref=sr_1_89?qid=1672909128&amp;s=electronics&amp;sr=1-89" TargetMode="External"/><Relationship Id="rId81" Type="http://schemas.openxmlformats.org/officeDocument/2006/relationships/hyperlink" Target="https://www.amazon.in/Basesailor-2nd-generation-Firestick-Remote/dp/B0BCZCQTJX/ref=sr_1_88?qid=1672909128&amp;s=electronics&amp;sr=1-88" TargetMode="External"/><Relationship Id="rId701" Type="http://schemas.openxmlformats.org/officeDocument/2006/relationships/hyperlink" Target="https://www.amazon.in/Mi-Braided-USB-Type-C-Cable/dp/B083342NKJ/ref=sr_1_125?qid=1672903001&amp;s=computers&amp;sr=1-125" TargetMode="External"/><Relationship Id="rId943" Type="http://schemas.openxmlformats.org/officeDocument/2006/relationships/hyperlink" Target="https://www.amazon.in/PRINT-Compatible-Bottles-Printer-Magenta/dp/B07P434WJY/ref=sr_1_399?qid=1672903014&amp;s=computers&amp;sr=1-399" TargetMode="External"/><Relationship Id="rId700" Type="http://schemas.openxmlformats.org/officeDocument/2006/relationships/hyperlink" Target="https://www.amazon.in/Digitek-DTR-550-LW-Tripod/dp/B074CWD7MS/ref=sr_1_124?qid=1672903001&amp;s=computers&amp;sr=1-124" TargetMode="External"/><Relationship Id="rId942" Type="http://schemas.openxmlformats.org/officeDocument/2006/relationships/hyperlink" Target="https://www.amazon.in/HP-330-Wireless-Keyboard-Mouse/dp/B09GBBJV72/ref=sr_1_398?qid=1672903014&amp;s=computers&amp;sr=1-398" TargetMode="External"/><Relationship Id="rId941" Type="http://schemas.openxmlformats.org/officeDocument/2006/relationships/hyperlink" Target="https://www.amazon.in/Moonwalk-Wireless-Titanium-Experience-Charging/dp/B0B5GJRTHB/ref=sr_1_397?qid=1672903014&amp;s=computers&amp;sr=1-397" TargetMode="External"/><Relationship Id="rId940" Type="http://schemas.openxmlformats.org/officeDocument/2006/relationships/hyperlink" Target="https://www.amazon.in/Lapster-Type-Cable-computer-laptop/dp/B0994GFWBH/ref=sr_1_396?qid=1672903014&amp;s=computers&amp;sr=1-396" TargetMode="External"/><Relationship Id="rId705" Type="http://schemas.openxmlformats.org/officeDocument/2006/relationships/hyperlink" Target="https://www.amazon.in/Fujifilm-Instax-Instant-Fuji-Cameras/dp/B00R1P3B4O/ref=sr_1_129?qid=1672903001&amp;s=computers&amp;sr=1-129" TargetMode="External"/><Relationship Id="rId947" Type="http://schemas.openxmlformats.org/officeDocument/2006/relationships/hyperlink" Target="https://www.amazon.in/Amazfit-Version-Always-Display-Monitoring/dp/B09TBCVJS3/ref=sr_1_403?qid=1672903014&amp;s=computers&amp;sr=1-403" TargetMode="External"/><Relationship Id="rId704" Type="http://schemas.openxmlformats.org/officeDocument/2006/relationships/hyperlink" Target="https://www.amazon.in/COI-Sticky-Notes-Holder-Gifting/dp/B00UGZWM2I/ref=sr_1_128?qid=1672903001&amp;s=computers&amp;sr=1-128" TargetMode="External"/><Relationship Id="rId946" Type="http://schemas.openxmlformats.org/officeDocument/2006/relationships/hyperlink" Target="https://www.amazon.in/Wayona-Charging-Braided-Compatible-Samsung/dp/B08WKFSN84/ref=sr_1_402?qid=1672903014&amp;s=computers&amp;sr=1-402" TargetMode="External"/><Relationship Id="rId703" Type="http://schemas.openxmlformats.org/officeDocument/2006/relationships/hyperlink" Target="https://www.amazon.in/TP-Link-TL-WA850RE-300Mbps-Universal-Extender/dp/B00A0VCJPI/ref=sr_1_127?qid=1672903001&amp;s=computers&amp;sr=1-127" TargetMode="External"/><Relationship Id="rId945" Type="http://schemas.openxmlformats.org/officeDocument/2006/relationships/hyperlink" Target="https://www.amazon.in/AmazonBasics-USB-Type-C-2-0-Cable/dp/B01GGKZ0V6/ref=sr_1_401?qid=1672903014&amp;s=computers&amp;sr=1-401" TargetMode="External"/><Relationship Id="rId702" Type="http://schemas.openxmlformats.org/officeDocument/2006/relationships/hyperlink" Target="https://www.amazon.in/DURACELL-Lightning-Certified-braided-Devices/dp/B09C6HXFC1/ref=sr_1_126?qid=1672903001&amp;s=computers&amp;sr=1-126" TargetMode="External"/><Relationship Id="rId944" Type="http://schemas.openxmlformats.org/officeDocument/2006/relationships/hyperlink" Target="https://www.amazon.in/Redgear-Cloak-Gaming-Headphones-Microphone/dp/B07T9FV9YP/ref=sr_1_400?qid=1672903014&amp;s=computers&amp;sr=1-400" TargetMode="External"/><Relationship Id="rId73" Type="http://schemas.openxmlformats.org/officeDocument/2006/relationships/hyperlink" Target="https://www.amazon.in/CEDO-OnePlus-Charging-Compatible-Devices/dp/B0B5ZF3NRK/ref=sr_1_80?qid=1672909128&amp;s=electronics&amp;sr=1-80" TargetMode="External"/><Relationship Id="rId72" Type="http://schemas.openxmlformats.org/officeDocument/2006/relationships/hyperlink" Target="https://www.amazon.in/oraimo-Charging-Syncing-Indicator-Compatible/dp/B0B86CDHL1/ref=sr_1_79?qid=1672909128&amp;s=electronics&amp;sr=1-79" TargetMode="External"/><Relationship Id="rId75" Type="http://schemas.openxmlformats.org/officeDocument/2006/relationships/hyperlink" Target="https://www.amazon.in/Pinnaclz-Original-Micro-USB-Charging/dp/B08R69VDHT/ref=sr_1_82?qid=1672909128&amp;s=electronics&amp;sr=1-82" TargetMode="External"/><Relationship Id="rId74" Type="http://schemas.openxmlformats.org/officeDocument/2006/relationships/hyperlink" Target="https://www.amazon.in/Redmi-inches-Ultra-Android-L43R7-7AIN/dp/B09RFC46VP/ref=sr_1_81?qid=1672909128&amp;s=electronics&amp;sr=1-81" TargetMode="External"/><Relationship Id="rId77" Type="http://schemas.openxmlformats.org/officeDocument/2006/relationships/hyperlink" Target="https://www.amazon.in/Ambrane-ABDC-10-Charging-Transmission-Compatible/dp/B09CMP1SC8/ref=sr_1_84?qid=1672909128&amp;s=electronics&amp;sr=1-84" TargetMode="External"/><Relationship Id="rId76" Type="http://schemas.openxmlformats.org/officeDocument/2006/relationships/hyperlink" Target="https://www.amazon.in/boAt-A750-Tangle-free-Transmission-Rebellious/dp/B09RWZRCP1/ref=sr_1_83?qid=1672909128&amp;s=electronics&amp;sr=1-83" TargetMode="External"/><Relationship Id="rId79" Type="http://schemas.openxmlformats.org/officeDocument/2006/relationships/hyperlink" Target="https://www.amazon.in/TCL-inches-Certified-Android-32S5205/dp/B09ZPM4C2C/ref=sr_1_86?qid=1672909128&amp;s=electronics&amp;sr=1-86" TargetMode="External"/><Relationship Id="rId78" Type="http://schemas.openxmlformats.org/officeDocument/2006/relationships/hyperlink" Target="https://www.amazon.in/Ambrane-Charging-Neckband-Wireless-ACT/dp/B09YLXYP7Y/ref=sr_1_85?qid=1672909128&amp;s=electronics&amp;sr=1-85" TargetMode="External"/><Relationship Id="rId939" Type="http://schemas.openxmlformats.org/officeDocument/2006/relationships/hyperlink" Target="https://www.amazon.in/TP-Link-UE300C-Ethernet-Ultrabook-Chromebook/dp/B08FYB5HHK/ref=sr_1_395?qid=1672903014&amp;s=computers&amp;sr=1-395" TargetMode="External"/><Relationship Id="rId938" Type="http://schemas.openxmlformats.org/officeDocument/2006/relationships/hyperlink" Target="https://www.amazon.in/ZEBRONICS-Zeb-Warrior-Speaker-Laptops-Desktop/dp/B08SBH499M/ref=sr_1_394?qid=1672903014&amp;s=computers&amp;sr=1-394" TargetMode="External"/><Relationship Id="rId937" Type="http://schemas.openxmlformats.org/officeDocument/2006/relationships/hyperlink" Target="https://www.amazon.in/SanDisk-Portable-Smartphone-Compatible-Warranty/dp/B08GTYFC37/ref=sr_1_392?qid=1672903014&amp;s=computers&amp;sr=1-392" TargetMode="External"/><Relationship Id="rId71" Type="http://schemas.openxmlformats.org/officeDocument/2006/relationships/hyperlink" Target="https://www.amazon.in/AmazonBasics-Type-C-USB-Male-Cable/dp/B01GGKYKQM/ref=sr_1_77?qid=1672909128&amp;s=electronics&amp;sr=1-77" TargetMode="External"/><Relationship Id="rId70" Type="http://schemas.openxmlformats.org/officeDocument/2006/relationships/hyperlink" Target="https://www.amazon.in/Model-P4-Swivel-32-55-inch-Motion-Cantilever/dp/B07966M8XH/ref=sr_1_76?qid=1672909128&amp;s=electronics&amp;sr=1-76" TargetMode="External"/><Relationship Id="rId932" Type="http://schemas.openxmlformats.org/officeDocument/2006/relationships/hyperlink" Target="https://www.amazon.in/realme-RMA108-Realme-Buds-Wireless/dp/B07XJWTYM2/ref=sr_1_387?qid=1672903014&amp;s=computers&amp;sr=1-387" TargetMode="External"/><Relationship Id="rId931" Type="http://schemas.openxmlformats.org/officeDocument/2006/relationships/hyperlink" Target="https://www.amazon.in/RPM-Euro-Games-Controller-Wired/dp/B08J4PL1Z3/ref=sr_1_386?qid=1672903014&amp;s=computers&amp;sr=1-386" TargetMode="External"/><Relationship Id="rId930" Type="http://schemas.openxmlformats.org/officeDocument/2006/relationships/hyperlink" Target="https://www.amazon.in/Portronics-Konnect-POR-1079-Charging-Micro/dp/B08CDKQ8T6/ref=sr_1_385?qid=1672903014&amp;s=computers&amp;sr=1-385" TargetMode="External"/><Relationship Id="rId936" Type="http://schemas.openxmlformats.org/officeDocument/2006/relationships/hyperlink" Target="https://www.amazon.in/Cablet-Portable-External-Enclosure-Tool-Free/dp/B0BG62HMDJ/ref=sr_1_391?qid=1672903014&amp;s=computers&amp;sr=1-391" TargetMode="External"/><Relationship Id="rId935" Type="http://schemas.openxmlformats.org/officeDocument/2006/relationships/hyperlink" Target="https://www.amazon.in/Robustrion-Anti-Scratch-Samsung-Tab-Lite/dp/B08CTQP51L/ref=sr_1_390?qid=1672903014&amp;s=computers&amp;sr=1-390" TargetMode="External"/><Relationship Id="rId934" Type="http://schemas.openxmlformats.org/officeDocument/2006/relationships/hyperlink" Target="https://www.amazon.in/Wings-Phantom-Indicator-Bluetooth-Playtime/dp/B09MDCZJXS/ref=sr_1_389?qid=1672903014&amp;s=computers&amp;sr=1-389" TargetMode="External"/><Relationship Id="rId933" Type="http://schemas.openxmlformats.org/officeDocument/2006/relationships/hyperlink" Target="https://www.amazon.in/TVARA-Colorful-Erasable-Electronic-Educational/dp/B09939XJX8/ref=sr_1_388?qid=1672903014&amp;s=computers&amp;sr=1-388" TargetMode="External"/><Relationship Id="rId62" Type="http://schemas.openxmlformats.org/officeDocument/2006/relationships/hyperlink" Target="https://www.amazon.in/Airtel-Digital-Remote-Compatible-Recording/dp/B07B275VN9/ref=sr_1_66_mod_primary_new?qid=1672909126&amp;s=electronics&amp;sbo=RZvfv%2F%2FHxDF%2BO5021pAnSA%3D%3D&amp;sr=1-66" TargetMode="External"/><Relationship Id="rId1312" Type="http://schemas.openxmlformats.org/officeDocument/2006/relationships/hyperlink" Target="https://www.amazon.in/USHA-RapidMix-500-Watt-Copper-Grinder/dp/B08MXJYB2V/ref=sr_1_331?qid=1672923609&amp;s=kitchen&amp;sr=1-331" TargetMode="External"/><Relationship Id="rId61" Type="http://schemas.openxmlformats.org/officeDocument/2006/relationships/hyperlink" Target="https://www.amazon.in/Portronics-Konnect-POR-1079-Charging-Micro/dp/B08CDKQ8T6/ref=sr_1_65?qid=1672909126&amp;s=electronics&amp;sr=1-65" TargetMode="External"/><Relationship Id="rId1313" Type="http://schemas.openxmlformats.org/officeDocument/2006/relationships/hyperlink" Target="https://www.amazon.in/CSI-INTERNATIONAL%C2%AE-Instant-portable-Plastic/dp/B081B1JL35/ref=sr_1_332?qid=1672923609&amp;s=kitchen&amp;sr=1-332" TargetMode="External"/><Relationship Id="rId64" Type="http://schemas.openxmlformats.org/officeDocument/2006/relationships/hyperlink" Target="https://www.amazon.in/Lapster-Type-Cable-computer-laptop/dp/B0994GFWBH/ref=sr_1_68?qid=1672909126&amp;s=electronics&amp;sr=1-68" TargetMode="External"/><Relationship Id="rId1314" Type="http://schemas.openxmlformats.org/officeDocument/2006/relationships/hyperlink" Target="https://www.amazon.in/Havells-Gatik-400mm-Pedestal-White/dp/B09VL9KFDB/ref=sr_1_333?qid=1672923609&amp;s=kitchen&amp;sr=1-333" TargetMode="External"/><Relationship Id="rId63" Type="http://schemas.openxmlformats.org/officeDocument/2006/relationships/hyperlink" Target="https://www.amazon.in/Samsung-inches-Crystal-Ultra-UA43AUE65AKXXL/dp/B0B15CPR37/ref=sr_1_67?qid=1672909126&amp;s=electronics&amp;sr=1-67" TargetMode="External"/><Relationship Id="rId1315" Type="http://schemas.openxmlformats.org/officeDocument/2006/relationships/hyperlink" Target="https://www.amazon.in/Dura-Clean-Plus-Filtration-Accessories/dp/B0B1MDZV9C/ref=sr_1_334?qid=1672923609&amp;s=kitchen&amp;sr=1-334" TargetMode="External"/><Relationship Id="rId66" Type="http://schemas.openxmlformats.org/officeDocument/2006/relationships/hyperlink" Target="https://www.amazon.in/Redmi-inches-Ready-L32M6-RA-Android/dp/B09F9YQQ7B/ref=sr_1_72?qid=1672909126&amp;s=electronics&amp;sr=1-72" TargetMode="External"/><Relationship Id="rId1316" Type="http://schemas.openxmlformats.org/officeDocument/2006/relationships/hyperlink" Target="https://www.amazon.in/ROYAL-STEP-Portable-Electric-Rechargeable/dp/B08TT63N58/ref=sr_1_337?qid=1672923609&amp;s=kitchen&amp;sr=1-337" TargetMode="External"/><Relationship Id="rId65" Type="http://schemas.openxmlformats.org/officeDocument/2006/relationships/hyperlink" Target="https://www.amazon.in/AmazonBasics-USB-Type-C-2-0-Cable/dp/B01GGKZ0V6/ref=sr_1_69?qid=1672909126&amp;s=electronics&amp;sr=1-69" TargetMode="External"/><Relationship Id="rId1317" Type="http://schemas.openxmlformats.org/officeDocument/2006/relationships/hyperlink" Target="https://www.amazon.in/Nirdambhay-Handheld-Portable-Resealer-Including/dp/B08YK7BBD2/ref=sr_1_338?qid=1672923609&amp;s=kitchen&amp;sr=1-338" TargetMode="External"/><Relationship Id="rId68" Type="http://schemas.openxmlformats.org/officeDocument/2006/relationships/hyperlink" Target="https://www.amazon.in/Portronics-Konnect-Charge-Charging-Resistant/dp/B09Q8HMKZX/ref=sr_1_74?qid=1672909128&amp;s=electronics&amp;sr=1-74" TargetMode="External"/><Relationship Id="rId1318" Type="http://schemas.openxmlformats.org/officeDocument/2006/relationships/hyperlink" Target="https://www.amazon.in/Cello-Non-Stick-Aluminium-Sandwich-Toaster/dp/B07YQ5SN4H/ref=sr_1_339?qid=1672923609&amp;s=kitchen&amp;sr=1-339" TargetMode="External"/><Relationship Id="rId67" Type="http://schemas.openxmlformats.org/officeDocument/2006/relationships/hyperlink" Target="https://www.amazon.in/AmazonBasics-High-Speed-Cable-2-Pack-Black/dp/B014I8SX4Y/ref=sr_1_73?qid=1672909128&amp;s=electronics&amp;sr=1-73" TargetMode="External"/><Relationship Id="rId1319" Type="http://schemas.openxmlformats.org/officeDocument/2006/relationships/hyperlink" Target="https://www.amazon.in/Proven%C2%AE-Copper-ADJUSTER-Purifier-Technology/dp/B0B7FJNSZR/ref=sr_1_340?qid=1672923609&amp;s=kitchen&amp;sr=1-340" TargetMode="External"/><Relationship Id="rId729" Type="http://schemas.openxmlformats.org/officeDocument/2006/relationships/hyperlink" Target="https://www.amazon.in/Flix-Micro-Cable-Smartphone-Black/dp/B09NHVCHS9/ref=sr_1_154?qid=1672903002&amp;s=computers&amp;sr=1-154" TargetMode="External"/><Relationship Id="rId728" Type="http://schemas.openxmlformats.org/officeDocument/2006/relationships/hyperlink" Target="https://www.amazon.in/Classmate-Premium-Subject-Notebook-Single/dp/B00LZLPYHW/ref=sr_1_153?qid=1672903002&amp;s=computers&amp;sr=1-153" TargetMode="External"/><Relationship Id="rId60" Type="http://schemas.openxmlformats.org/officeDocument/2006/relationships/hyperlink" Target="https://www.amazon.in/WeCool-Unbreakable-Charging-Purpose-iPhone/dp/B0B4DT8MKT/ref=sr_1_64?qid=1672909126&amp;s=electronics&amp;sr=1-64" TargetMode="External"/><Relationship Id="rId723" Type="http://schemas.openxmlformats.org/officeDocument/2006/relationships/hyperlink" Target="https://www.amazon.in/Duracell-AAA-750mAh-Rechargeable-Batteries/dp/B003B00484/ref=sr_1_148?qid=1672903002&amp;s=computers&amp;sr=1-148" TargetMode="External"/><Relationship Id="rId965" Type="http://schemas.openxmlformats.org/officeDocument/2006/relationships/hyperlink" Target="https://www.amazon.in/ORICO-2577U3-BK-Enclosure-Capacity-Business/dp/B07222HQKP/ref=sr_1_423?qid=1672903016&amp;s=computers&amp;sr=1-423" TargetMode="External"/><Relationship Id="rId722" Type="http://schemas.openxmlformats.org/officeDocument/2006/relationships/hyperlink" Target="https://www.amazon.in/Boat-Airdopes-171-Functionality-Resistance/dp/B086WMSCN3/ref=sr_1_147?qid=1672903002&amp;s=computers&amp;sr=1-147" TargetMode="External"/><Relationship Id="rId964" Type="http://schemas.openxmlformats.org/officeDocument/2006/relationships/hyperlink" Target="https://www.amazon.in/Sounce-Plated-Headphone-Earphone-Splitter/dp/B08BCKN299/ref=sr_1_422?qid=1672903016&amp;s=computers&amp;sr=1-422" TargetMode="External"/><Relationship Id="rId721" Type="http://schemas.openxmlformats.org/officeDocument/2006/relationships/hyperlink" Target="https://www.amazon.in/TP-Link-Wireless-Security-Tapo-C200/dp/B07XLML2YS/ref=sr_1_146?qid=1672903002&amp;s=computers&amp;sr=1-146" TargetMode="External"/><Relationship Id="rId963" Type="http://schemas.openxmlformats.org/officeDocument/2006/relationships/hyperlink" Target="https://www.amazon.in/SLOVIC%C2%AE-Adapter-Smartphone-Clipper-Pictures/dp/B07RZZ1QSW/ref=sr_1_421?qid=1672903016&amp;s=computers&amp;sr=1-421" TargetMode="External"/><Relationship Id="rId720" Type="http://schemas.openxmlformats.org/officeDocument/2006/relationships/hyperlink" Target="https://www.amazon.in/SanDisk-Ultra-Dual-64GB-Drive/dp/B01N6LU1VF/ref=sr_1_145?qid=1672903002&amp;s=computers&amp;sr=1-145" TargetMode="External"/><Relationship Id="rId962" Type="http://schemas.openxmlformats.org/officeDocument/2006/relationships/hyperlink" Target="https://www.amazon.in/Dualband-1200Mbps-Frequency-Directional-app-Parental/dp/B09MKG4ZCM/ref=sr_1_420?qid=1672903016&amp;s=computers&amp;sr=1-420" TargetMode="External"/><Relationship Id="rId727" Type="http://schemas.openxmlformats.org/officeDocument/2006/relationships/hyperlink" Target="https://www.amazon.in/Noise-ColorFit-Bluetooth-Monitoring-SmartWatch/dp/B09P18XVW6/ref=sr_1_152?qid=1672903002&amp;s=computers&amp;sr=1-152" TargetMode="External"/><Relationship Id="rId969" Type="http://schemas.openxmlformats.org/officeDocument/2006/relationships/hyperlink" Target="https://www.amazon.in/Canon-E477-Wireless-Efficient-Printer/dp/B01JOFKL0A/ref=sr_1_427?qid=1672903016&amp;s=computers&amp;sr=1-427" TargetMode="External"/><Relationship Id="rId726" Type="http://schemas.openxmlformats.org/officeDocument/2006/relationships/hyperlink" Target="https://www.amazon.in/Logitech-B100-Optical-Mouse-Black/dp/B003L62T7W/ref=sr_1_151?qid=1672903002&amp;s=computers&amp;sr=1-151" TargetMode="External"/><Relationship Id="rId968" Type="http://schemas.openxmlformats.org/officeDocument/2006/relationships/hyperlink" Target="https://www.amazon.in/Logitech-920-007596-Multi-Device-Bluetooth-Keyboard/dp/B0148NPH9I/ref=sr_1_426?qid=1672903016&amp;s=computers&amp;sr=1-426" TargetMode="External"/><Relationship Id="rId725" Type="http://schemas.openxmlformats.org/officeDocument/2006/relationships/hyperlink" Target="https://www.amazon.in/Samsung-Inches-Wondertainment-UA32T4340BKXXL-Glossy/dp/B09F6S8BT6/ref=sr_1_150?qid=1672903002&amp;s=computers&amp;sr=1-150" TargetMode="External"/><Relationship Id="rId967" Type="http://schemas.openxmlformats.org/officeDocument/2006/relationships/hyperlink" Target="https://www.amazon.in/Panasonic-Eneloop-BQ-CC55E-Advanced-Battery/dp/B075DB1F13/ref=sr_1_425?qid=1672903016&amp;s=computers&amp;sr=1-425" TargetMode="External"/><Relationship Id="rId724" Type="http://schemas.openxmlformats.org/officeDocument/2006/relationships/hyperlink" Target="https://www.amazon.in/Adapter-Projector-Computer-Laptop-Projectors/dp/B085194JFL/ref=sr_1_149?qid=1672903002&amp;s=computers&amp;sr=1-149" TargetMode="External"/><Relationship Id="rId966" Type="http://schemas.openxmlformats.org/officeDocument/2006/relationships/hyperlink" Target="https://www.amazon.in/Logitech-Hyperion-Ultra-Gaming-Mouse/dp/B00NFD0ETQ/ref=sr_1_424?qid=1672903016&amp;s=computers&amp;sr=1-424" TargetMode="External"/><Relationship Id="rId69" Type="http://schemas.openxmlformats.org/officeDocument/2006/relationships/hyperlink" Target="https://www.amazon.in/Acer-inches-Ready-AR32NSV53HD-Black/dp/B0B9XN9S3W/ref=sr_1_75?qid=1672909128&amp;s=electronics&amp;sr=1-75" TargetMode="External"/><Relationship Id="rId961" Type="http://schemas.openxmlformats.org/officeDocument/2006/relationships/hyperlink" Target="https://www.amazon.in/ORAIMO-SUPER-FAST-CHARGER/dp/B078G6ZF5Z/ref=sr_1_419?qid=1672903016&amp;s=computers&amp;sr=1-419" TargetMode="External"/><Relationship Id="rId960" Type="http://schemas.openxmlformats.org/officeDocument/2006/relationships/hyperlink" Target="https://www.amazon.in/HP-DeskJet-2723-Wireless-Printer/dp/B08D9MNH4B/ref=sr_1_418?qid=1672903016&amp;s=computers&amp;sr=1-418" TargetMode="External"/><Relationship Id="rId1310" Type="http://schemas.openxmlformats.org/officeDocument/2006/relationships/hyperlink" Target="https://www.amazon.in/AVNISH-Water-Filter-Layer-Filtration/dp/B0BHYLCL19/ref=sr_1_325?qid=1672923609&amp;s=kitchen&amp;sr=1-325" TargetMode="External"/><Relationship Id="rId1311" Type="http://schemas.openxmlformats.org/officeDocument/2006/relationships/hyperlink" Target="https://www.amazon.in/Khaitan-ORFin-heater-Home-kitchen-K0/dp/B0BPJBTB3F/ref=sr_1_326?qid=1672923609&amp;s=kitchen&amp;sr=1-326" TargetMode="External"/><Relationship Id="rId51" Type="http://schemas.openxmlformats.org/officeDocument/2006/relationships/hyperlink" Target="https://www.amazon.in/AmazonBasics-Micro-Charging-Android-Phones/dp/B07232M876/ref=sr_1_53?qid=1672909126&amp;s=electronics&amp;sr=1-53" TargetMode="External"/><Relationship Id="rId1301" Type="http://schemas.openxmlformats.org/officeDocument/2006/relationships/hyperlink" Target="https://www.amazon.in/Instant-Vortex-2QT-EvenCrispTM-Technology/dp/B0B53DS4TF/ref=sr_1_316?qid=1672923609&amp;s=kitchen&amp;sr=1-316" TargetMode="External"/><Relationship Id="rId50" Type="http://schemas.openxmlformats.org/officeDocument/2006/relationships/hyperlink" Target="https://www.amazon.in/7SEVENTM-Compatible-Replacement-Original-BN59-01259E/dp/B09L8DSSFH/ref=sr_1_52?qid=1672909126&amp;s=electronics&amp;sr=1-52" TargetMode="External"/><Relationship Id="rId1302" Type="http://schemas.openxmlformats.org/officeDocument/2006/relationships/hyperlink" Target="https://www.amazon.in/HUL-Pureit-Mineral-mounted-Purifier/dp/B08BJN4MP3/ref=sr_1_317?qid=1672923609&amp;s=kitchen&amp;sr=1-317" TargetMode="External"/><Relationship Id="rId53" Type="http://schemas.openxmlformats.org/officeDocument/2006/relationships/hyperlink" Target="https://www.amazon.in/AmazonBasics-Micro-Charging-Android-Phones/dp/B0711PVX6Z/ref=sr_1_55?qid=1672909126&amp;s=electronics&amp;sr=1-55" TargetMode="External"/><Relationship Id="rId1303" Type="http://schemas.openxmlformats.org/officeDocument/2006/relationships/hyperlink" Target="https://www.amazon.in/Livpure-Glo-Star-RO-Mineraliser/dp/B0BCYQY9X5/ref=sr_1_318?qid=1672923609&amp;s=kitchen&amp;sr=1-318" TargetMode="External"/><Relationship Id="rId52" Type="http://schemas.openxmlformats.org/officeDocument/2006/relationships/hyperlink" Target="https://www.amazon.in/TP-Link-Wireless-Adapter-Archer-T2U/dp/B07P681N66/ref=sr_1_54?qid=1672909126&amp;s=electronics&amp;sr=1-54" TargetMode="External"/><Relationship Id="rId1304" Type="http://schemas.openxmlformats.org/officeDocument/2006/relationships/hyperlink" Target="https://www.amazon.in/Philips-HI113-1000-Watt-Plastic-Coating/dp/B009UORDX4/ref=sr_1_319?qid=1672923609&amp;s=kitchen&amp;sr=1-319" TargetMode="External"/><Relationship Id="rId55" Type="http://schemas.openxmlformats.org/officeDocument/2006/relationships/hyperlink" Target="https://www.amazon.in/Visio-World-inches-VW32A-Ready/dp/B07MKFNHKG/ref=sr_1_58?qid=1672909126&amp;s=electronics&amp;sr=1-58" TargetMode="External"/><Relationship Id="rId1305" Type="http://schemas.openxmlformats.org/officeDocument/2006/relationships/hyperlink" Target="https://www.amazon.in/Kuber-Industries-Foldable-Laundry-KUBMART11446/dp/B08VGDBF3B/ref=sr_1_320?qid=1672923609&amp;s=kitchen&amp;sr=1-320" TargetMode="External"/><Relationship Id="rId54" Type="http://schemas.openxmlformats.org/officeDocument/2006/relationships/hyperlink" Target="https://www.amazon.in/AmazonBasics-Nylon-Braided-Lightning-Cable/dp/B082T6V3DT/ref=sr_1_57?qid=1672909126&amp;s=electronics&amp;sr=1-57" TargetMode="External"/><Relationship Id="rId1306" Type="http://schemas.openxmlformats.org/officeDocument/2006/relationships/hyperlink" Target="https://www.amazon.in/Preethi-MGA-502-0-4-Litre-Grind-Store/dp/B012ELCYUG/ref=sr_1_321?qid=1672923609&amp;s=kitchen&amp;sr=1-321" TargetMode="External"/><Relationship Id="rId57" Type="http://schemas.openxmlformats.org/officeDocument/2006/relationships/hyperlink" Target="https://www.amazon.in/TATASKY-Universal-Remote/dp/B01N90RZ4M/ref=sr_1_60?qid=1672909126&amp;s=electronics&amp;sr=1-60" TargetMode="External"/><Relationship Id="rId1307" Type="http://schemas.openxmlformats.org/officeDocument/2006/relationships/hyperlink" Target="https://www.amazon.in/Usha-Aurora-Iron-1000-Light/dp/B07S9M8YTY/ref=sr_1_322?qid=1672923609&amp;s=kitchen&amp;sr=1-322" TargetMode="External"/><Relationship Id="rId56" Type="http://schemas.openxmlformats.org/officeDocument/2006/relationships/hyperlink" Target="https://www.amazon.in/Ambrane-Unbreakable-Charging-RCT15-Supports/dp/B0BFWGBX61/ref=sr_1_59?qid=1672909126&amp;s=electronics&amp;sr=1-59" TargetMode="External"/><Relationship Id="rId1308" Type="http://schemas.openxmlformats.org/officeDocument/2006/relationships/hyperlink" Target="https://www.amazon.in/ECOVACS-Robotic-Powerful-Advanced-Technology/dp/B0B19VJXQZ/ref=sr_1_323?qid=1672923609&amp;s=kitchen&amp;sr=1-323" TargetMode="External"/><Relationship Id="rId1309" Type="http://schemas.openxmlformats.org/officeDocument/2006/relationships/hyperlink" Target="https://www.amazon.in/Kent-Gold-Optima-Spare-Kit/dp/B00SMFPJG0/ref=sr_1_324?qid=1672923609&amp;s=kitchen&amp;sr=1-324" TargetMode="External"/><Relationship Id="rId719" Type="http://schemas.openxmlformats.org/officeDocument/2006/relationships/hyperlink" Target="https://www.amazon.in/Essentials-Gz-Ck-101-Professional-Micro-Fiber-Antibacterial/dp/B01IBRHE3E/ref=sr_1_144?qid=1672903001&amp;s=computers&amp;sr=1-144" TargetMode="External"/><Relationship Id="rId718" Type="http://schemas.openxmlformats.org/officeDocument/2006/relationships/hyperlink" Target="https://www.amazon.in/JBL-Playtime-Bluetooth-Earphones-Assistant/dp/B08FB2LNSZ/ref=sr_1_142?qid=1672903001&amp;s=computers&amp;sr=1-142" TargetMode="External"/><Relationship Id="rId717" Type="http://schemas.openxmlformats.org/officeDocument/2006/relationships/hyperlink" Target="https://www.amazon.in/Zebronics-Zeb-JUDWAA-750-Wired-Keyboard/dp/B07KR5P3YD/ref=sr_1_141?qid=1672903001&amp;s=computers&amp;sr=1-141" TargetMode="External"/><Relationship Id="rId959" Type="http://schemas.openxmlformats.org/officeDocument/2006/relationships/hyperlink" Target="https://www.amazon.in/CEDO-OnePlus-Charging-Compatible-Devices/dp/B0B5ZF3NRK/ref=sr_1_416?qid=1672903016&amp;s=computers&amp;sr=1-416" TargetMode="External"/><Relationship Id="rId712" Type="http://schemas.openxmlformats.org/officeDocument/2006/relationships/hyperlink" Target="https://www.amazon.in/COSMOS-Portable-Flexible-Light-Colours/dp/B08TDJNM3G/ref=sr_1_136?qid=1672903001&amp;s=computers&amp;sr=1-136" TargetMode="External"/><Relationship Id="rId954" Type="http://schemas.openxmlformats.org/officeDocument/2006/relationships/hyperlink" Target="https://www.amazon.in/Casio-MJ-120D-Electronic-Calculator/dp/B00K32PEW4/ref=sr_1_411?qid=1672903016&amp;s=computers&amp;sr=1-411" TargetMode="External"/><Relationship Id="rId711" Type="http://schemas.openxmlformats.org/officeDocument/2006/relationships/hyperlink" Target="https://www.amazon.in/Acer-Features-Bluelight-Flickerless-Comfyview/dp/B08L879JSN/ref=sr_1_135?qid=1672903001&amp;s=computers&amp;sr=1-135" TargetMode="External"/><Relationship Id="rId953" Type="http://schemas.openxmlformats.org/officeDocument/2006/relationships/hyperlink" Target="https://www.amazon.in/Scarters-Office-Keyboard-Splash-Proof-Leather/dp/B08461VC1Z/ref=sr_1_410?qid=1672903016&amp;s=computers&amp;sr=1-410" TargetMode="External"/><Relationship Id="rId710" Type="http://schemas.openxmlformats.org/officeDocument/2006/relationships/hyperlink" Target="https://www.amazon.in/JBL-C200SI-Ear-Headphones-Mystic/dp/B07DFYJRQV/ref=sr_1_134?qid=1672903001&amp;s=computers&amp;sr=1-134" TargetMode="External"/><Relationship Id="rId952" Type="http://schemas.openxmlformats.org/officeDocument/2006/relationships/hyperlink" Target="https://www.amazon.in/Classmate-Pulse-Subject-Notebook-Single/dp/B099S26HWG/ref=sr_1_409?qid=1672903016&amp;s=computers&amp;sr=1-409" TargetMode="External"/><Relationship Id="rId951" Type="http://schemas.openxmlformats.org/officeDocument/2006/relationships/hyperlink" Target="https://www.amazon.in/Lightweight-Portable-Aluminum-Photography-DLS-9FEET/dp/B088GXTJM3/ref=sr_1_408?qid=1672903014&amp;s=computers&amp;sr=1-408" TargetMode="External"/><Relationship Id="rId716" Type="http://schemas.openxmlformats.org/officeDocument/2006/relationships/hyperlink" Target="https://www.amazon.in/LG-inches-Ready-Smart-32LM563BPTC/dp/B08DPLCM6T/ref=sr_1_140?qid=1672903001&amp;s=computers&amp;sr=1-140" TargetMode="External"/><Relationship Id="rId958" Type="http://schemas.openxmlformats.org/officeDocument/2006/relationships/hyperlink" Target="https://www.amazon.in/TP-Link-Archer-A6-Wireless-Internet/dp/B07W9KYT62/ref=sr_1_415?qid=1672903016&amp;s=computers&amp;sr=1-415" TargetMode="External"/><Relationship Id="rId715" Type="http://schemas.openxmlformats.org/officeDocument/2006/relationships/hyperlink" Target="https://www.amazon.in/Upgraded-Precision-Sensitivity-Rejection-Adsorption/dp/B09KGV7WSV/ref=sr_1_139?qid=1672903001&amp;s=computers&amp;sr=1-139" TargetMode="External"/><Relationship Id="rId957" Type="http://schemas.openxmlformats.org/officeDocument/2006/relationships/hyperlink" Target="https://www.amazon.in/Parker-Vector-Camouflage-Gift-Set/dp/B0746N6WML/ref=sr_1_414?qid=1672903016&amp;s=computers&amp;sr=1-414" TargetMode="External"/><Relationship Id="rId714" Type="http://schemas.openxmlformats.org/officeDocument/2006/relationships/hyperlink" Target="https://www.amazon.in/Zebronics-Zeb-County-Bluetooth-Speaker-Function/dp/B07YNTJ8ZM/ref=sr_1_138?qid=1672903001&amp;s=computers&amp;sr=1-138" TargetMode="External"/><Relationship Id="rId956" Type="http://schemas.openxmlformats.org/officeDocument/2006/relationships/hyperlink" Target="https://www.amazon.in/Essentials-Sleeve-Microsoft-Surface-Go/dp/B07LFWP97N/ref=sr_1_413?qid=1672903016&amp;s=computers&amp;sr=1-413" TargetMode="External"/><Relationship Id="rId713" Type="http://schemas.openxmlformats.org/officeDocument/2006/relationships/hyperlink" Target="https://www.amazon.in/Dual-Charger-Qualcomm-Certified-Charge/dp/B06XSK3XL6/ref=sr_1_137?qid=1672903001&amp;s=computers&amp;sr=1-137" TargetMode="External"/><Relationship Id="rId955" Type="http://schemas.openxmlformats.org/officeDocument/2006/relationships/hyperlink" Target="https://www.amazon.in/Redmi-inches-Ready-L32M6-RA-Android/dp/B09F9YQQ7B/ref=sr_1_412?qid=1672903016&amp;s=computers&amp;sr=1-412" TargetMode="External"/><Relationship Id="rId59" Type="http://schemas.openxmlformats.org/officeDocument/2006/relationships/hyperlink" Target="https://www.amazon.in/OnePlus-inches-Ready-Smart-Android/dp/B09Q5SWVBJ/ref=sr_1_63?qid=1672909126&amp;s=electronics&amp;sr=1-63" TargetMode="External"/><Relationship Id="rId58" Type="http://schemas.openxmlformats.org/officeDocument/2006/relationships/hyperlink" Target="https://www.amazon.in/TP-Link-TL-WN823N-300Mbps-Wireless-N-Adapter/dp/B0088TKTY2/ref=sr_1_61?qid=1672909126&amp;s=electronics&amp;sr=1-61" TargetMode="External"/><Relationship Id="rId950" Type="http://schemas.openxmlformats.org/officeDocument/2006/relationships/hyperlink" Target="https://www.amazon.in/Portronics-Ruffpad-Re-Writable-15-inch-Handwriting/dp/B08XNL93PL/ref=sr_1_407?qid=1672903014&amp;s=computers&amp;sr=1-407" TargetMode="External"/><Relationship Id="rId1300" Type="http://schemas.openxmlformats.org/officeDocument/2006/relationships/hyperlink" Target="https://www.amazon.in/Demokrazy-Remover-Woolens-Sweaters-Blankets/dp/B08SKZ2RMG/ref=sr_1_318?qid=1672923607&amp;s=kitchen&amp;sr=1-318" TargetMode="External"/><Relationship Id="rId590" Type="http://schemas.openxmlformats.org/officeDocument/2006/relationships/hyperlink" Target="https://www.amazon.in/SanDisk-Cruzer-Blade-Flash-Drive/dp/B005FYNT3G/ref=sr_1_5?qid=1672902995&amp;s=computers&amp;sr=1-5" TargetMode="External"/><Relationship Id="rId107" Type="http://schemas.openxmlformats.org/officeDocument/2006/relationships/hyperlink" Target="https://www.amazon.in/Wayona-Charging-Charger-Compatible-Samsung/dp/B09QGZFBPM/ref=sr_1_118?qid=1672909129&amp;s=electronics&amp;sr=1-118" TargetMode="External"/><Relationship Id="rId349" Type="http://schemas.openxmlformats.org/officeDocument/2006/relationships/hyperlink" Target="https://www.amazon.in/JBL-C100SI-Ear-Headphones-Black/dp/B01DEWVZ2C/ref=sr_1_16?qid=1672895748&amp;s=electronics&amp;sr=1-16" TargetMode="External"/><Relationship Id="rId106" Type="http://schemas.openxmlformats.org/officeDocument/2006/relationships/hyperlink" Target="https://www.amazon.in/Wayona-Nylon-Braided-Charging-iPhones/dp/B07JNVF678/ref=sr_1_117?qid=1672909129&amp;s=electronics&amp;sr=1-117" TargetMode="External"/><Relationship Id="rId348" Type="http://schemas.openxmlformats.org/officeDocument/2006/relationships/hyperlink" Target="https://www.amazon.in/boAt-Wave-Lite-Smartwatch-Activity/dp/B09V12K8NT/ref=sr_1_15?qid=1672895748&amp;s=electronics&amp;sr=1-15" TargetMode="External"/><Relationship Id="rId105" Type="http://schemas.openxmlformats.org/officeDocument/2006/relationships/hyperlink" Target="https://www.amazon.in/MI-inches-Smart-Android-Bezel-Less/dp/B0B6F98KJJ/ref=sr_1_115?qid=1672909129&amp;s=electronics&amp;sr=1-115" TargetMode="External"/><Relationship Id="rId347" Type="http://schemas.openxmlformats.org/officeDocument/2006/relationships/hyperlink" Target="https://www.amazon.in/Nokia-105-Single-Wireless-Charcoal/dp/B09V2Q4QVQ/ref=sr_1_14?qid=1672895748&amp;s=electronics&amp;sr=1-14" TargetMode="External"/><Relationship Id="rId589" Type="http://schemas.openxmlformats.org/officeDocument/2006/relationships/hyperlink" Target="https://www.amazon.in/boAt-Wave-Call-Dedicated-Multi-Sport/dp/B0B5B6PQCT/ref=sr_1_4?qid=1672902995&amp;s=computers&amp;sr=1-4" TargetMode="External"/><Relationship Id="rId104" Type="http://schemas.openxmlformats.org/officeDocument/2006/relationships/hyperlink" Target="https://www.amazon.in/Isoelite-Remote-Compatible-Samsung-Control/dp/B07DL1KC3H/ref=sr_1_114?qid=1672909129&amp;s=electronics&amp;sr=1-114" TargetMode="External"/><Relationship Id="rId346" Type="http://schemas.openxmlformats.org/officeDocument/2006/relationships/hyperlink" Target="https://www.amazon.in/Noise-Bluetooth-Calling-Tracking-Detection/dp/B0B5LVS732/ref=sr_1_13?qid=1672895748&amp;s=electronics&amp;sr=1-13" TargetMode="External"/><Relationship Id="rId588" Type="http://schemas.openxmlformats.org/officeDocument/2006/relationships/hyperlink" Target="https://www.amazon.in/Fire-Boltt-Phoenix-Bluetooth-Calling-Monitoring/dp/B0B3RRWSF6/ref=sr_1_3?qid=1672902995&amp;s=computers&amp;sr=1-3" TargetMode="External"/><Relationship Id="rId109" Type="http://schemas.openxmlformats.org/officeDocument/2006/relationships/hyperlink" Target="https://www.amazon.in/CROSSVOLT-Compatible-Charging-Supported-Devices/dp/B0981XSZJ7/ref=sr_1_120?qid=1672909129&amp;s=electronics&amp;sr=1-120" TargetMode="External"/><Relationship Id="rId1170" Type="http://schemas.openxmlformats.org/officeDocument/2006/relationships/hyperlink" Target="https://www.amazon.in/AGARO-1000-Watt-10-Litre-Cleaner-Function/dp/B083M7WPZD/ref=sr_1_174?qid=1672923600&amp;s=kitchen&amp;sr=1-174" TargetMode="External"/><Relationship Id="rId108" Type="http://schemas.openxmlformats.org/officeDocument/2006/relationships/hyperlink" Target="https://www.amazon.in/Wayona-Braided-WN6LG1-Syncing-Charging/dp/B07JGDB5M1/ref=sr_1_119?qid=1672909129&amp;s=electronics&amp;sr=1-119" TargetMode="External"/><Relationship Id="rId1171" Type="http://schemas.openxmlformats.org/officeDocument/2006/relationships/hyperlink" Target="https://www.amazon.in/Kent-16026-1-8-Liter-Electric-Kettle/dp/B07GLSKXS1/ref=sr_1_175?qid=1672923600&amp;s=kitchen&amp;sr=1-175" TargetMode="External"/><Relationship Id="rId341" Type="http://schemas.openxmlformats.org/officeDocument/2006/relationships/hyperlink" Target="https://www.amazon.in/OnePlus-Nord-Jade-128GB-Storage/dp/B0B3CPQ5PF/ref=sr_1_8?qid=1672895748&amp;s=electronics&amp;sr=1-8" TargetMode="External"/><Relationship Id="rId583" Type="http://schemas.openxmlformats.org/officeDocument/2006/relationships/hyperlink" Target="https://www.amazon.in/Samsung-Stardust-Storage-5000mAh-Battery/dp/B0B4F4QZ1H/ref=sr_1_496?qid=1672895894&amp;s=electronics&amp;sr=1-496" TargetMode="External"/><Relationship Id="rId1172" Type="http://schemas.openxmlformats.org/officeDocument/2006/relationships/hyperlink" Target="https://www.amazon.in/SKYTONE-Stainless-Electric-Grinders-Vegetables/dp/B09F6KL23R/ref=sr_1_178?qid=1672923600&amp;s=kitchen&amp;sr=1-178" TargetMode="External"/><Relationship Id="rId340" Type="http://schemas.openxmlformats.org/officeDocument/2006/relationships/hyperlink" Target="https://www.amazon.in/Redmi-Storage-Segment-5000mAh-Battery/dp/B0BBN4DZBD/ref=sr_1_7?qid=1672895748&amp;s=electronics&amp;sr=1-7" TargetMode="External"/><Relationship Id="rId582" Type="http://schemas.openxmlformats.org/officeDocument/2006/relationships/hyperlink" Target="https://www.amazon.in/Aluminium-Adjustable-Mobile-Foldable-Smartphones/dp/B088ZFJY82/ref=sr_1_493?qid=1672895894&amp;s=electronics&amp;sr=1-493" TargetMode="External"/><Relationship Id="rId1173" Type="http://schemas.openxmlformats.org/officeDocument/2006/relationships/hyperlink" Target="https://www.amazon.in/1-8Litre-Electric-Kettle-Stainless-16088/dp/B094G9L9LT/ref=sr_1_179?qid=1672923600&amp;s=kitchen&amp;sr=1-179" TargetMode="External"/><Relationship Id="rId581" Type="http://schemas.openxmlformats.org/officeDocument/2006/relationships/hyperlink" Target="https://www.amazon.in/Fire-Boltt-Bluetooth-Calling-Interactions-Speaker/dp/B0BNXFDTZ2/ref=sr_1_486?qid=1672895894&amp;s=electronics&amp;sr=1-486" TargetMode="External"/><Relationship Id="rId1174" Type="http://schemas.openxmlformats.org/officeDocument/2006/relationships/hyperlink" Target="https://www.amazon.in/Eureka-Forbes-Powerful-Technology-GFCDSFSVL00000/dp/B09FZ89DK6/ref=sr_1_180?qid=1672923600&amp;s=kitchen&amp;sr=1-180" TargetMode="External"/><Relationship Id="rId580" Type="http://schemas.openxmlformats.org/officeDocument/2006/relationships/hyperlink" Target="https://www.amazon.in/STRIFF-Mobile-Phone-Charging-Charger/dp/B07H1S7XW8/ref=sr_1_482?qid=1672895894&amp;s=electronics&amp;sr=1-482" TargetMode="External"/><Relationship Id="rId1175" Type="http://schemas.openxmlformats.org/officeDocument/2006/relationships/hyperlink" Target="https://www.amazon.in/Mi-Purifier-Filter-Smart-Connectivity/dp/B0811VCGL5/ref=sr_1_182?qid=1672923600&amp;s=kitchen&amp;sr=1-182" TargetMode="External"/><Relationship Id="rId103" Type="http://schemas.openxmlformats.org/officeDocument/2006/relationships/hyperlink" Target="https://www.amazon.in/AmazonBasics-Nylon-Braided-Lightning-Cable/dp/B082T6GVLJ/ref=sr_1_113?qid=1672909129&amp;s=electronics&amp;sr=1-113" TargetMode="External"/><Relationship Id="rId345" Type="http://schemas.openxmlformats.org/officeDocument/2006/relationships/hyperlink" Target="https://www.amazon.in/SanDisk-Ultra%C2%AE-microSDXCTM-Warranty-Smartphones/dp/B0BDRVFDKP/ref=sr_1_12?qid=1672895748&amp;s=electronics&amp;sr=1-12" TargetMode="External"/><Relationship Id="rId587" Type="http://schemas.openxmlformats.org/officeDocument/2006/relationships/hyperlink" Target="https://www.amazon.in/Airdopes-141-Playtime-Resistance-Bluetooth/dp/B09N3ZNHTY/ref=sr_1_2?qid=1672902995&amp;s=computers&amp;sr=1-2" TargetMode="External"/><Relationship Id="rId1176" Type="http://schemas.openxmlformats.org/officeDocument/2006/relationships/hyperlink" Target="https://www.amazon.in/Tata-Swach-Bulb-6000-Litre-Cartridge/dp/B07FXLC2G2/ref=sr_1_183?qid=1672923600&amp;s=kitchen&amp;sr=1-183" TargetMode="External"/><Relationship Id="rId102" Type="http://schemas.openxmlformats.org/officeDocument/2006/relationships/hyperlink" Target="https://www.amazon.in/Dealfreez-Compatible-Silicone-Anti-Lost-D-Black/dp/B09BW334ML/ref=sr_1_112?qid=1672909129&amp;s=electronics&amp;sr=1-112" TargetMode="External"/><Relationship Id="rId344" Type="http://schemas.openxmlformats.org/officeDocument/2006/relationships/hyperlink" Target="https://www.amazon.in/Redmi-Segment-5000mAh-Battery-Leather/dp/B0BBN3WF7V/ref=sr_1_11?qid=1672895748&amp;s=electronics&amp;sr=1-11" TargetMode="External"/><Relationship Id="rId586" Type="http://schemas.openxmlformats.org/officeDocument/2006/relationships/hyperlink" Target="https://www.amazon.in/boAt-BassHeads-100-Headphones-Black/dp/B071Z8M4KX/ref=sr_1_1?qid=1672902995&amp;s=computers&amp;sr=1-1" TargetMode="External"/><Relationship Id="rId1177" Type="http://schemas.openxmlformats.org/officeDocument/2006/relationships/hyperlink" Target="https://www.amazon.in/Havells-Ambrose-1200mm-Ceiling-Gold/dp/B01LYU3BZF/ref=sr_1_187?qid=1672923600&amp;s=kitchen&amp;sr=1-187" TargetMode="External"/><Relationship Id="rId101" Type="http://schemas.openxmlformats.org/officeDocument/2006/relationships/hyperlink" Target="https://www.amazon.in/Wayona-charging-Nylon-Braided-iPhone/dp/B08CHKQ8D4/ref=sr_1_111?qid=1672909129&amp;s=electronics&amp;sr=1-111" TargetMode="External"/><Relationship Id="rId343" Type="http://schemas.openxmlformats.org/officeDocument/2006/relationships/hyperlink" Target="https://www.amazon.in/Redmi-Storage-Segment-5000mAh-Battery/dp/B0BBN56J5H/ref=sr_1_10?qid=1672895748&amp;s=electronics&amp;sr=1-10" TargetMode="External"/><Relationship Id="rId585" Type="http://schemas.openxmlformats.org/officeDocument/2006/relationships/hyperlink" Target="https://www.amazon.in/Wireless-Generation-Sensitive-Rejection-Compatible/dp/B0B9BD2YL4/ref=sr_1_500?qid=1672895894&amp;s=electronics&amp;sr=1-500" TargetMode="External"/><Relationship Id="rId1178" Type="http://schemas.openxmlformats.org/officeDocument/2006/relationships/hyperlink" Target="https://www.amazon.in/PrettyKrafts-Canvas-Laundry-Storage-Black/dp/B083RC4WFJ/ref=sr_1_188?qid=1672923600&amp;s=kitchen&amp;sr=1-188" TargetMode="External"/><Relationship Id="rId100" Type="http://schemas.openxmlformats.org/officeDocument/2006/relationships/hyperlink" Target="https://www.amazon.in/TP-Link-TL-UE300-Gigabit-Ethernet-Network/dp/B00V4BGDKU/ref=sr_1_110?qid=1672909129&amp;s=electronics&amp;sr=1-110" TargetMode="External"/><Relationship Id="rId342" Type="http://schemas.openxmlformats.org/officeDocument/2006/relationships/hyperlink" Target="https://www.amazon.in/OnePlus-Nord-Shadow-128GB-Storage/dp/B0B3CQBRB4/ref=sr_1_9?qid=1672895748&amp;s=electronics&amp;sr=1-9" TargetMode="External"/><Relationship Id="rId584" Type="http://schemas.openxmlformats.org/officeDocument/2006/relationships/hyperlink" Target="https://www.amazon.in/Connector-Converter-Adapter-Compatible-Samsung/dp/B09BCNQ9R2/ref=sr_1_497?qid=1672895894&amp;s=electronics&amp;sr=1-497" TargetMode="External"/><Relationship Id="rId1179" Type="http://schemas.openxmlformats.org/officeDocument/2006/relationships/hyperlink" Target="https://www.amazon.in/FABWARE-Lint-Remover-Clothes-Furniture/dp/B09SFRNKSR/ref=sr_1_189?qid=1672923600&amp;s=kitchen&amp;sr=1-189" TargetMode="External"/><Relationship Id="rId1169" Type="http://schemas.openxmlformats.org/officeDocument/2006/relationships/hyperlink" Target="https://www.amazon.in/Prestige-1900-Induction-Cooktop-button/dp/B00NM6MO26/ref=sr_1_173?qid=1672923600&amp;s=kitchen&amp;sr=1-173" TargetMode="External"/><Relationship Id="rId338" Type="http://schemas.openxmlformats.org/officeDocument/2006/relationships/hyperlink" Target="https://www.amazon.in/boAt-Wave-Call-Dedicated-Multi-Sport/dp/B0B5B6PQCT/ref=sr_1_5?qid=1672895748&amp;s=electronics&amp;sr=1-5" TargetMode="External"/><Relationship Id="rId337" Type="http://schemas.openxmlformats.org/officeDocument/2006/relationships/hyperlink" Target="https://www.amazon.in/Fire-Boltt-Phoenix-Bluetooth-Calling-Monitoring/dp/B0B3RRWSF6/ref=sr_1_4?qid=1672895748&amp;s=electronics&amp;sr=1-4" TargetMode="External"/><Relationship Id="rId579" Type="http://schemas.openxmlformats.org/officeDocument/2006/relationships/hyperlink" Target="https://www.amazon.in/Ambrane-Multi-Layer-Protection-Li-Polymer-Stylo/dp/B098QXR9X2/ref=sr_1_469?qid=1672895886&amp;s=electronics&amp;sr=1-469" TargetMode="External"/><Relationship Id="rId336" Type="http://schemas.openxmlformats.org/officeDocument/2006/relationships/hyperlink" Target="https://www.amazon.in/Fire-Boltt-Bluetooth-Calling-Assistance-Resolution/dp/B0BF57RN3K/ref=sr_1_1?qid=1672895748&amp;s=electronics&amp;sr=1-1" TargetMode="External"/><Relationship Id="rId578" Type="http://schemas.openxmlformats.org/officeDocument/2006/relationships/hyperlink" Target="https://www.amazon.in/Hoteon-Mobilife-Bluetooth-Extendable-Wireless/dp/B07QCWY5XV/ref=sr_1_463?qid=1672895886&amp;s=electronics&amp;sr=1-463" TargetMode="External"/><Relationship Id="rId335" Type="http://schemas.openxmlformats.org/officeDocument/2006/relationships/hyperlink" Target="https://www.amazon.in/Storite%C2%AE-150cm-Female-Extension-Printers/dp/B00OFM6PEO/ref=sr_1_500?qid=1672909149&amp;s=electronics&amp;sr=1-500" TargetMode="External"/><Relationship Id="rId577" Type="http://schemas.openxmlformats.org/officeDocument/2006/relationships/hyperlink" Target="https://www.amazon.in/Amazon-Basics-Charger-Micro-Cable/dp/B09VGKFM7Y/ref=sr_1_460?qid=1672895886&amp;s=electronics&amp;sr=1-460" TargetMode="External"/><Relationship Id="rId339" Type="http://schemas.openxmlformats.org/officeDocument/2006/relationships/hyperlink" Target="https://www.amazon.in/20000mAh-Sandstone-Triple-Charging-Delivery/dp/B08HV83HL3/ref=sr_1_6?qid=1672895748&amp;s=electronics&amp;sr=1-6" TargetMode="External"/><Relationship Id="rId1160" Type="http://schemas.openxmlformats.org/officeDocument/2006/relationships/hyperlink" Target="https://www.amazon.in/2000-Watt-Heater-White-HN-2500-India/dp/B0BMTZ4T1D/ref=sr_1_165?qid=1672923598&amp;s=kitchen&amp;sr=1-165" TargetMode="External"/><Relationship Id="rId330" Type="http://schemas.openxmlformats.org/officeDocument/2006/relationships/hyperlink" Target="https://www.amazon.in/Synqe-Braided-Charging-Compatible-Samsung/dp/B08V9C4B1J/ref=sr_1_495?qid=1672909149&amp;s=electronics&amp;sr=1-495" TargetMode="External"/><Relationship Id="rId572" Type="http://schemas.openxmlformats.org/officeDocument/2006/relationships/hyperlink" Target="https://www.amazon.in/Ambrane-Charging-Neckband-Wireless-ACT/dp/B09YLXYP7Y/ref=sr_1_442?qid=1672895879&amp;s=electronics&amp;sr=1-442" TargetMode="External"/><Relationship Id="rId1161" Type="http://schemas.openxmlformats.org/officeDocument/2006/relationships/hyperlink" Target="https://www.amazon.in/Eureka-Forbes-Wet-Dry-Ultimo/dp/B07Z51CGGH/ref=sr_1_166?qid=1672923598&amp;s=kitchen&amp;sr=1-166" TargetMode="External"/><Relationship Id="rId571" Type="http://schemas.openxmlformats.org/officeDocument/2006/relationships/hyperlink" Target="https://www.amazon.in/Ambrane-ABDC-10-Charging-Transmission-Compatible/dp/B09CMP1SC8/ref=sr_1_439?qid=1672895879&amp;s=electronics&amp;sr=1-439" TargetMode="External"/><Relationship Id="rId1162" Type="http://schemas.openxmlformats.org/officeDocument/2006/relationships/hyperlink" Target="https://www.amazon.in/Activa-Heat-Max-Watts-Heater-White/dp/B0BDG6QDYD/ref=sr_1_167?qid=1672923598&amp;s=kitchen&amp;sr=1-167" TargetMode="External"/><Relationship Id="rId570" Type="http://schemas.openxmlformats.org/officeDocument/2006/relationships/hyperlink" Target="https://www.amazon.in/Samsung-Galaxy-Cloud-128GB-Storage/dp/B08VB57558/ref=sr_1_434?qid=1672895879&amp;s=electronics&amp;sr=1-434" TargetMode="External"/><Relationship Id="rId1163" Type="http://schemas.openxmlformats.org/officeDocument/2006/relationships/hyperlink" Target="https://www.amazon.in/Philips-Collection-HL1655-00-250-Watt/dp/B00YQLG7GK/ref=sr_1_169?qid=1672923598&amp;s=kitchen&amp;sr=1-169" TargetMode="External"/><Relationship Id="rId1164" Type="http://schemas.openxmlformats.org/officeDocument/2006/relationships/hyperlink" Target="https://www.amazon.in/Bajaj-DX-600-Watt-Light-Weight/dp/B00SMJPA9C/ref=sr_1_170?qid=1672923598&amp;s=kitchen&amp;sr=1-170" TargetMode="External"/><Relationship Id="rId334" Type="http://schemas.openxmlformats.org/officeDocument/2006/relationships/hyperlink" Target="https://www.amazon.in/138-8-inches-Ultra-Android-L55M6-ES/dp/B09RWQ7YR6/ref=sr_1_499?qid=1672909149&amp;s=electronics&amp;sr=1-499" TargetMode="External"/><Relationship Id="rId576" Type="http://schemas.openxmlformats.org/officeDocument/2006/relationships/hyperlink" Target="https://www.amazon.in/Fire-Boltt-Smartwatch-Resolution-Connection-Assistance/dp/B0B3NDPCS9/ref=sr_1_459?qid=1672895886&amp;s=electronics&amp;sr=1-459" TargetMode="External"/><Relationship Id="rId1165" Type="http://schemas.openxmlformats.org/officeDocument/2006/relationships/hyperlink" Target="https://www.amazon.in/V-Guard-Instant-Heating-White-Blue-Warranty/dp/B0B9RN5X8B/ref=sr_1_171?qid=1672923598&amp;s=kitchen&amp;sr=1-171" TargetMode="External"/><Relationship Id="rId333" Type="http://schemas.openxmlformats.org/officeDocument/2006/relationships/hyperlink" Target="https://www.amazon.in/ESR-Lightning-MFi-Certified-Delivery-Charging/dp/B086JTMRYL/ref=sr_1_498?qid=1672909149&amp;s=electronics&amp;sr=1-498" TargetMode="External"/><Relationship Id="rId575" Type="http://schemas.openxmlformats.org/officeDocument/2006/relationships/hyperlink" Target="https://www.amazon.in/Noise-ColorFit-Monitoring-Smartwatches-Electric/dp/B09NVPJ3P4/ref=sr_1_457?qid=1672895886&amp;s=electronics&amp;sr=1-457" TargetMode="External"/><Relationship Id="rId1166" Type="http://schemas.openxmlformats.org/officeDocument/2006/relationships/hyperlink" Target="https://www.amazon.in/Homeistic-Applience-Electric-bathroom-Tankless/dp/B08QW937WV/ref=sr_1_173?qid=1672923598&amp;s=kitchen&amp;sr=1-173" TargetMode="External"/><Relationship Id="rId332" Type="http://schemas.openxmlformats.org/officeDocument/2006/relationships/hyperlink" Target="https://www.amazon.in/Airtel-Pack-Entertainment-Installation-Months/dp/B0B8VQ7KDS/ref=sr_1_497?qid=1672909149&amp;s=electronics&amp;sr=1-497" TargetMode="External"/><Relationship Id="rId574" Type="http://schemas.openxmlformats.org/officeDocument/2006/relationships/hyperlink" Target="https://www.amazon.in/POCO-C31-Royal-Blue-RAM/dp/B09NY6TRXG/ref=sr_1_455?qid=1672895879&amp;s=electronics&amp;sr=1-455" TargetMode="External"/><Relationship Id="rId1167" Type="http://schemas.openxmlformats.org/officeDocument/2006/relationships/hyperlink" Target="https://www.amazon.in/Kitchenwell-Plastic-Keeping-Kitchen-Multi-Color/dp/B0B4PPD89B/ref=sr_1_174?qid=1672923598&amp;s=kitchen&amp;sr=1-174" TargetMode="External"/><Relationship Id="rId331" Type="http://schemas.openxmlformats.org/officeDocument/2006/relationships/hyperlink" Target="https://www.amazon.in/Airtel-DigitalTV-Setup-Box-Remote/dp/B08PKBMJKS/ref=sr_1_496?qid=1672909149&amp;s=electronics&amp;sr=1-496" TargetMode="External"/><Relationship Id="rId573" Type="http://schemas.openxmlformats.org/officeDocument/2006/relationships/hyperlink" Target="https://www.amazon.in/WeCool-Reinforced-Function-Bluetooth-Compatible/dp/B0B9BXKBC7/ref=sr_1_445?qid=1672895879&amp;s=electronics&amp;sr=1-445" TargetMode="External"/><Relationship Id="rId1168" Type="http://schemas.openxmlformats.org/officeDocument/2006/relationships/hyperlink" Target="https://www.amazon.in/Havells-Instanio-Storage-Heater-installation/dp/B08GM5S4CQ/ref=sr_1_172?qid=1672923600&amp;s=kitchen&amp;sr=1-172" TargetMode="External"/><Relationship Id="rId370" Type="http://schemas.openxmlformats.org/officeDocument/2006/relationships/hyperlink" Target="https://www.amazon.in/Fire-Boltt-Bluetooth-Calling-Assistance-Resolution/dp/B0BF563HB4/ref=sr_1_37?qid=1672895755&amp;s=electronics&amp;sr=1-37" TargetMode="External"/><Relationship Id="rId129" Type="http://schemas.openxmlformats.org/officeDocument/2006/relationships/hyperlink" Target="https://www.amazon.in/iFFALCON-inches-Ready-Smart-TV-32F53/dp/B09X1M3DHX/ref=sr_1_142?qid=1672909130&amp;s=electronics&amp;sr=1-142" TargetMode="External"/><Relationship Id="rId128" Type="http://schemas.openxmlformats.org/officeDocument/2006/relationships/hyperlink" Target="https://www.amazon.in/AmazonBasics-Speed-Female-Extension-Cable/dp/B01D5H8ZI8/ref=sr_1_141?qid=1672909130&amp;s=electronics&amp;sr=1-141" TargetMode="External"/><Relationship Id="rId127" Type="http://schemas.openxmlformats.org/officeDocument/2006/relationships/hyperlink" Target="https://www.amazon.in/AmazonBasics-6-Feet-DisplayPort-port-Cable/dp/B015OW3M1W/ref=sr_1_140?qid=1672909130&amp;s=electronics&amp;sr=1-140" TargetMode="External"/><Relationship Id="rId369" Type="http://schemas.openxmlformats.org/officeDocument/2006/relationships/hyperlink" Target="https://www.amazon.in/iQOO-Chromatic-Storage-Snapdragon-Processor/dp/B07WGMMQGP/ref=sr_1_36?qid=1672895755&amp;s=electronics&amp;sr=1-36" TargetMode="External"/><Relationship Id="rId126" Type="http://schemas.openxmlformats.org/officeDocument/2006/relationships/hyperlink" Target="https://www.amazon.in/Redmi-inches-Ultra-Android-L50M6-RA/dp/B08Y55LPBF/ref=sr_1_138?qid=1672909130&amp;s=electronics&amp;sr=1-138" TargetMode="External"/><Relationship Id="rId368" Type="http://schemas.openxmlformats.org/officeDocument/2006/relationships/hyperlink" Target="https://www.amazon.in/Samsung-Storage-6000mAh-Purchased-Separately/dp/B09TWH8YHM/ref=sr_1_35?qid=1672895755&amp;s=electronics&amp;sr=1-35" TargetMode="External"/><Relationship Id="rId1190" Type="http://schemas.openxmlformats.org/officeDocument/2006/relationships/hyperlink" Target="https://www.amazon.in/Premium-Stainless-Electric-Cut-Off-Feature/dp/B07T4D9FNY/ref=sr_1_199?qid=1672923601&amp;s=kitchen&amp;sr=1-199" TargetMode="External"/><Relationship Id="rId1191" Type="http://schemas.openxmlformats.org/officeDocument/2006/relationships/hyperlink" Target="https://www.amazon.in/Tosaa-Nonstick-Sandwich-Toaster-Regular/dp/B07RX42D3D/ref=sr_1_200?qid=1672923601&amp;s=kitchen&amp;sr=1-200" TargetMode="External"/><Relationship Id="rId1192" Type="http://schemas.openxmlformats.org/officeDocument/2006/relationships/hyperlink" Target="https://www.amazon.in/V-Guard-Divino-Storage-15-Vertical/dp/B08WRKSF9D/ref=sr_1_201?qid=1672923601&amp;s=kitchen&amp;sr=1-201" TargetMode="External"/><Relationship Id="rId1193" Type="http://schemas.openxmlformats.org/officeDocument/2006/relationships/hyperlink" Target="https://www.amazon.in/akiara-Machine-Stitching-extension-adapter/dp/B09R83SFYV/ref=sr_1_202?qid=1672923601&amp;s=kitchen&amp;sr=1-202" TargetMode="External"/><Relationship Id="rId121" Type="http://schemas.openxmlformats.org/officeDocument/2006/relationships/hyperlink" Target="https://www.amazon.in/Portronics-Konnect-Functional-Resistant-Braided/dp/B0B21C4BMX/ref=sr_1_133?qid=1672909130&amp;s=electronics&amp;sr=1-133" TargetMode="External"/><Relationship Id="rId363" Type="http://schemas.openxmlformats.org/officeDocument/2006/relationships/hyperlink" Target="https://www.amazon.in/Samsung-Mystique-Storage-Purchased-Separately/dp/B09TWHTBKQ/ref=sr_1_30?qid=1672895755&amp;s=electronics&amp;sr=1-30" TargetMode="External"/><Relationship Id="rId1194" Type="http://schemas.openxmlformats.org/officeDocument/2006/relationships/hyperlink" Target="https://www.amazon.in/Usha-Steam-3713-1300-Watt-White/dp/B07989VV5K/ref=sr_1_203?qid=1672923601&amp;s=kitchen&amp;sr=1-203" TargetMode="External"/><Relationship Id="rId120" Type="http://schemas.openxmlformats.org/officeDocument/2006/relationships/hyperlink" Target="https://www.amazon.in/Lapster-camera-usb2-0-External-Readers/dp/B0B4G2MWSB/ref=sr_1_132?qid=1672909130&amp;s=electronics&amp;sr=1-132" TargetMode="External"/><Relationship Id="rId362" Type="http://schemas.openxmlformats.org/officeDocument/2006/relationships/hyperlink" Target="https://www.amazon.in/Fire-Boltt-Ninja-Smartwatch-Sports-Tracking/dp/B09YV4RG4D/ref=sr_1_29?qid=1672895755&amp;s=electronics&amp;sr=1-29" TargetMode="External"/><Relationship Id="rId1195" Type="http://schemas.openxmlformats.org/officeDocument/2006/relationships/hyperlink" Target="https://www.amazon.in/Wonderchef-Nutri-Blend-CKM-Jars-Black/dp/B07FL3WRX5/ref=sr_1_204?qid=1672923601&amp;s=kitchen&amp;sr=1-204" TargetMode="External"/><Relationship Id="rId361" Type="http://schemas.openxmlformats.org/officeDocument/2006/relationships/hyperlink" Target="https://www.amazon.in/Noise-ColorFit-Display-Monitoring-Smartwatches/dp/B09NVPSCQT/ref=sr_1_28?qid=1672895755&amp;s=electronics&amp;sr=1-28" TargetMode="External"/><Relationship Id="rId1196" Type="http://schemas.openxmlformats.org/officeDocument/2006/relationships/hyperlink" Target="https://www.amazon.in/WIDEWINGS-Electric-Handheld-Frother-Blender/dp/B0BPCJM7TB/ref=sr_1_205?qid=1672923601&amp;s=kitchen&amp;sr=1-205" TargetMode="External"/><Relationship Id="rId360" Type="http://schemas.openxmlformats.org/officeDocument/2006/relationships/hyperlink" Target="https://www.amazon.in/Samsung-25W-Travel-Adapter/dp/B08VFF6JQ8/ref=sr_1_27_mod_primary_new?qid=1672895755&amp;s=electronics&amp;sbo=RZvfv%2F%2FHxDF%2BO5021pAnSA%3D%3D&amp;sr=1-27" TargetMode="External"/><Relationship Id="rId1197" Type="http://schemas.openxmlformats.org/officeDocument/2006/relationships/hyperlink" Target="https://www.amazon.in/Morphy-Richards-Icon-Superb-Grinder/dp/B08H673XKN/ref=sr_1_206?qid=1672923601&amp;s=kitchen&amp;sr=1-206" TargetMode="External"/><Relationship Id="rId125" Type="http://schemas.openxmlformats.org/officeDocument/2006/relationships/hyperlink" Target="https://www.amazon.in/Hisense-inches-Certified-Android-43A6GE/dp/B099K9ZX65/ref=sr_1_137?qid=1672909130&amp;s=electronics&amp;sr=1-137" TargetMode="External"/><Relationship Id="rId367" Type="http://schemas.openxmlformats.org/officeDocument/2006/relationships/hyperlink" Target="https://www.amazon.in/Fire-Boltt-Smartwatch-Bluetooth-Calling-Assistance/dp/B09YV4MW2T/ref=sr_1_34?qid=1672895755&amp;s=electronics&amp;sr=1-34" TargetMode="External"/><Relationship Id="rId1198" Type="http://schemas.openxmlformats.org/officeDocument/2006/relationships/hyperlink" Target="https://www.amazon.in/Philips-Handheld-Garment-Steamer-Purple/dp/B07DXRGWDJ/ref=sr_1_207?qid=1672923601&amp;s=kitchen&amp;sr=1-207" TargetMode="External"/><Relationship Id="rId124" Type="http://schemas.openxmlformats.org/officeDocument/2006/relationships/hyperlink" Target="https://www.amazon.in/VW-Playwall-Frameless-Android-VW3251/dp/B0B16KD737/ref=sr_1_136?qid=1672909130&amp;s=electronics&amp;sr=1-136" TargetMode="External"/><Relationship Id="rId366" Type="http://schemas.openxmlformats.org/officeDocument/2006/relationships/hyperlink" Target="https://www.amazon.in/Fire-Boltt-Bluetooth-Calling-Assistance-Resolution/dp/B0BF54972T/ref=sr_1_33?qid=1672895755&amp;s=electronics&amp;sr=1-33" TargetMode="External"/><Relationship Id="rId1199" Type="http://schemas.openxmlformats.org/officeDocument/2006/relationships/hyperlink" Target="https://www.amazon.in/Vedini-Refillable-Spray-Bottle-Transparent/dp/B08243SKCK/ref=sr_1_212?qid=1672923601&amp;s=kitchen&amp;sr=1-212" TargetMode="External"/><Relationship Id="rId123" Type="http://schemas.openxmlformats.org/officeDocument/2006/relationships/hyperlink" Target="https://www.amazon.in/Remote-Control-Compatible-Amazon-basesailor/dp/B0BHZCNC4P/ref=sr_1_135?qid=1672909130&amp;s=electronics&amp;sr=1-135" TargetMode="External"/><Relationship Id="rId365" Type="http://schemas.openxmlformats.org/officeDocument/2006/relationships/hyperlink" Target="https://www.amazon.in/Samsung-Galaxy-Storage-6000mAh-Battery/dp/B0B4F2XCK3/ref=sr_1_32?qid=1672895755&amp;s=electronics&amp;sr=1-32" TargetMode="External"/><Relationship Id="rId122" Type="http://schemas.openxmlformats.org/officeDocument/2006/relationships/hyperlink" Target="https://www.amazon.in/Belkin-Lightning-Unbreakable-Braided-Charging/dp/B084MZXJNK/ref=sr_1_134?qid=1672909130&amp;s=electronics&amp;sr=1-134" TargetMode="External"/><Relationship Id="rId364" Type="http://schemas.openxmlformats.org/officeDocument/2006/relationships/hyperlink" Target="https://www.amazon.in/SanDisk-Ultra-microSD-UHS-I-120MB/dp/B08L5HMJVW/ref=sr_1_31?qid=1672895755&amp;s=electronics&amp;sr=1-31" TargetMode="External"/><Relationship Id="rId95" Type="http://schemas.openxmlformats.org/officeDocument/2006/relationships/hyperlink" Target="https://www.amazon.in/Lapster-Micro-SuperSpeed-hard-cable/dp/B09VT6JKRP/ref=sr_1_102?qid=1672909129&amp;s=electronics&amp;sr=1-102" TargetMode="External"/><Relationship Id="rId94" Type="http://schemas.openxmlformats.org/officeDocument/2006/relationships/hyperlink" Target="https://www.amazon.in/Deuce-300-Resistant-Transmission-Mercurial/dp/B08HDH26JX/ref=sr_1_101?qid=1672909129&amp;s=electronics&amp;sr=1-101" TargetMode="External"/><Relationship Id="rId97" Type="http://schemas.openxmlformats.org/officeDocument/2006/relationships/hyperlink" Target="https://www.amazon.in/ZEBRONICS-ZEB-USB150WF1-Supports-encryption-Standards/dp/B093QCY6YJ/ref=sr_1_104?qid=1672909129&amp;s=electronics&amp;sr=1-104" TargetMode="External"/><Relationship Id="rId96" Type="http://schemas.openxmlformats.org/officeDocument/2006/relationships/hyperlink" Target="https://www.amazon.in/TCL-inches-Certified-Android-40S6505/dp/B09T3KB6JZ/ref=sr_1_103?qid=1672909129&amp;s=electronics&amp;sr=1-103" TargetMode="External"/><Relationship Id="rId99" Type="http://schemas.openxmlformats.org/officeDocument/2006/relationships/hyperlink" Target="https://www.amazon.in/Gilary-Charging-Braided-Magnetic-Charger/dp/B08LKS3LSP/ref=sr_1_109?qid=1672909129&amp;s=electronics&amp;sr=1-109" TargetMode="External"/><Relationship Id="rId98" Type="http://schemas.openxmlformats.org/officeDocument/2006/relationships/hyperlink" Target="https://www.amazon.in/LOHAYA-Remote-Compatible-Control-Please/dp/B093ZNQZ2Y/ref=sr_1_108?qid=1672909129&amp;s=electronics&amp;sr=1-108" TargetMode="External"/><Relationship Id="rId91" Type="http://schemas.openxmlformats.org/officeDocument/2006/relationships/hyperlink" Target="https://www.amazon.in/Wayona-Braided-WN3LG2-Syncing-Charging/dp/B07JH1C41D/ref=sr_1_98?qid=1672909129&amp;s=electronics&amp;sr=1-98" TargetMode="External"/><Relationship Id="rId90" Type="http://schemas.openxmlformats.org/officeDocument/2006/relationships/hyperlink" Target="https://www.amazon.in/Lapster-compatible-OnePlus-charging-Compatible/dp/B0BMXMLSMM/ref=sr_1_97?qid=1672909129&amp;s=electronics&amp;sr=1-97" TargetMode="External"/><Relationship Id="rId93" Type="http://schemas.openxmlformats.org/officeDocument/2006/relationships/hyperlink" Target="https://www.amazon.in/OnePlus-inches-Smart-Android-Black/dp/B09Q5P2MT3/ref=sr_1_100?qid=1672909129&amp;s=electronics&amp;sr=1-100" TargetMode="External"/><Relationship Id="rId92" Type="http://schemas.openxmlformats.org/officeDocument/2006/relationships/hyperlink" Target="https://www.amazon.in/Receiver-300Mbps-802-11b-Wireless-Network/dp/B0141EZMAI/ref=sr_1_99?qid=1672909129&amp;s=electronics&amp;sr=1-99" TargetMode="External"/><Relationship Id="rId118" Type="http://schemas.openxmlformats.org/officeDocument/2006/relationships/hyperlink" Target="https://www.amazon.in/Electvision-Remote-Control-Compatible-Pairing/dp/B09DDCQFMT/ref=sr_1_130?qid=1672909130&amp;s=electronics&amp;sr=1-130" TargetMode="External"/><Relationship Id="rId117" Type="http://schemas.openxmlformats.org/officeDocument/2006/relationships/hyperlink" Target="https://www.amazon.in/Portronics-Konnect-POR-1403-Charging-Function/dp/B09KH58JZR/ref=sr_1_129?qid=1672909130&amp;s=electronics&amp;sr=1-129" TargetMode="External"/><Relationship Id="rId359" Type="http://schemas.openxmlformats.org/officeDocument/2006/relationships/hyperlink" Target="https://www.amazon.in/Adjustable-Holder-Universal-Windshield-Smartphones/dp/B0746JGVDS/ref=sr_1_26?qid=1672895755&amp;s=electronics&amp;sr=1-26" TargetMode="External"/><Relationship Id="rId116" Type="http://schemas.openxmlformats.org/officeDocument/2006/relationships/hyperlink" Target="https://www.amazon.in/Cotbolt-Silicone-Protective-Shockproof-Waterproof/dp/B09TT6BFDX/ref=sr_1_127?qid=1672909130&amp;s=electronics&amp;sr=1-127" TargetMode="External"/><Relationship Id="rId358" Type="http://schemas.openxmlformats.org/officeDocument/2006/relationships/hyperlink" Target="https://www.amazon.in/10000mAH-Li-Polymer-Power-Charging-Midnight/dp/B08HVL8QN3/ref=sr_1_25?qid=1672895755&amp;s=electronics&amp;sr=1-25" TargetMode="External"/><Relationship Id="rId115" Type="http://schemas.openxmlformats.org/officeDocument/2006/relationships/hyperlink" Target="https://www.amazon.in/boAt-A750-Resistant-Tangle-free-Transmission/dp/B09RX1FK54/ref=sr_1_126?qid=1672909130&amp;s=electronics&amp;sr=1-126" TargetMode="External"/><Relationship Id="rId357" Type="http://schemas.openxmlformats.org/officeDocument/2006/relationships/hyperlink" Target="https://www.amazon.in/Pocket-10000mAh-Triple-Charging-Delivery/dp/B08MC57J31/ref=sr_1_24?qid=1672895748&amp;s=electronics&amp;sr=1-24" TargetMode="External"/><Relationship Id="rId599" Type="http://schemas.openxmlformats.org/officeDocument/2006/relationships/hyperlink" Target="https://www.amazon.in/Zebronics-Zeb-Bro-Wired-Earphone/dp/B07T5DKR5D/ref=sr_1_14?qid=1672902995&amp;s=computers&amp;sr=1-14" TargetMode="External"/><Relationship Id="rId1180" Type="http://schemas.openxmlformats.org/officeDocument/2006/relationships/hyperlink" Target="https://www.amazon.in/Brayden-Portable-Smoothie-Blender-Rechargeable/dp/B07NRTCDS5/ref=sr_1_190?qid=1672923600&amp;s=kitchen&amp;sr=1-190" TargetMode="External"/><Relationship Id="rId1181" Type="http://schemas.openxmlformats.org/officeDocument/2006/relationships/hyperlink" Target="https://www.amazon.in/Bajaj-Frore-1200-Brown-Ceiling/dp/B07SPVMSC6/ref=sr_1_192?qid=1672923600&amp;s=kitchen&amp;sr=1-192" TargetMode="External"/><Relationship Id="rId119" Type="http://schemas.openxmlformats.org/officeDocument/2006/relationships/hyperlink" Target="https://www.amazon.in/Retractable-Multiple-Charging-Compatible-Smartphones/dp/B08RP2L2NL/ref=sr_1_131?qid=1672909130&amp;s=electronics&amp;sr=1-131" TargetMode="External"/><Relationship Id="rId1182" Type="http://schemas.openxmlformats.org/officeDocument/2006/relationships/hyperlink" Target="https://www.amazon.in/Venus-Weighing-Warranty-Included-Capacity/dp/B09H3BXWTK/ref=sr_1_193?qid=1672923600&amp;s=kitchen&amp;sr=1-193" TargetMode="External"/><Relationship Id="rId110" Type="http://schemas.openxmlformats.org/officeDocument/2006/relationships/hyperlink" Target="https://www.amazon.in/VU-inches-GloLED-Google-55GloLED/dp/B0B9XLX8VR/ref=sr_1_121?qid=1672909130&amp;s=electronics&amp;sr=1-121" TargetMode="External"/><Relationship Id="rId352" Type="http://schemas.openxmlformats.org/officeDocument/2006/relationships/hyperlink" Target="https://www.amazon.in/Redmi-Charcoal-Storage-Battery-Booster/dp/B09XB8GFBQ/ref=sr_1_19?qid=1672895748&amp;s=electronics&amp;sr=1-19" TargetMode="External"/><Relationship Id="rId594" Type="http://schemas.openxmlformats.org/officeDocument/2006/relationships/hyperlink" Target="https://www.amazon.in/SKE-Portable-Multifunction-Laptop-Table-Children/dp/B0B72BSW7K/ref=sr_1_9?qid=1672902995&amp;s=computers&amp;sr=1-9" TargetMode="External"/><Relationship Id="rId1183" Type="http://schemas.openxmlformats.org/officeDocument/2006/relationships/hyperlink" Target="https://www.amazon.in/Bajaj-ATX-750-Watt-Pop-up-Toaster/dp/B0073QGKAS/ref=sr_1_194?qid=1672923600&amp;s=kitchen&amp;sr=1-194" TargetMode="External"/><Relationship Id="rId351" Type="http://schemas.openxmlformats.org/officeDocument/2006/relationships/hyperlink" Target="https://www.amazon.in/Tangentbeat-Bluetooth-Headphones-Waterproof-Cancelation/dp/B08D77XZX5/ref=sr_1_18?qid=1672895748&amp;s=electronics&amp;sr=1-18" TargetMode="External"/><Relationship Id="rId593" Type="http://schemas.openxmlformats.org/officeDocument/2006/relationships/hyperlink" Target="https://www.amazon.in/Airdopes-121v2-Bluetooth-Immersive-Assistant/dp/B08JQN8DGZ/ref=sr_1_8?qid=1672902995&amp;s=computers&amp;sr=1-8" TargetMode="External"/><Relationship Id="rId1184" Type="http://schemas.openxmlformats.org/officeDocument/2006/relationships/hyperlink" Target="https://www.amazon.in/Coway-Professional-Purifier-Anti-Virus-AP-1019C/dp/B08GJ57MKL/ref=sr_1_195?qid=1672923600&amp;s=kitchen&amp;sr=1-195" TargetMode="External"/><Relationship Id="rId350" Type="http://schemas.openxmlformats.org/officeDocument/2006/relationships/hyperlink" Target="https://www.amazon.in/Samsung-Galaxy-Storage-MediaTek-Battery/dp/B0BMGB3CH9/ref=sr_1_17?qid=1672895748&amp;s=electronics&amp;sr=1-17" TargetMode="External"/><Relationship Id="rId592" Type="http://schemas.openxmlformats.org/officeDocument/2006/relationships/hyperlink" Target="https://www.amazon.in/Storio-Writing-Tablet-8-5Inch-Birthday/dp/B09CTRPSJR/ref=sr_1_7?qid=1672902995&amp;s=computers&amp;sr=1-7" TargetMode="External"/><Relationship Id="rId1185" Type="http://schemas.openxmlformats.org/officeDocument/2006/relationships/hyperlink" Target="https://www.amazon.in/Gold-Optima-10-Litres-Non-electric-Purifier/dp/B009DA69W6/ref=sr_1_196?qid=1672923600&amp;s=kitchen&amp;sr=1-196" TargetMode="External"/><Relationship Id="rId591" Type="http://schemas.openxmlformats.org/officeDocument/2006/relationships/hyperlink" Target="https://www.amazon.in/Logitech-B170-Wireless-Mouse-Black/dp/B01J0XWYKQ/ref=sr_1_6?qid=1672902995&amp;s=computers&amp;sr=1-6" TargetMode="External"/><Relationship Id="rId1186" Type="http://schemas.openxmlformats.org/officeDocument/2006/relationships/hyperlink" Target="https://www.amazon.in/HOMEPACK%C2%AE-Radiant-Office-Heaters-Portable/dp/B099PR2GQJ/ref=sr_1_197?qid=1672923600&amp;s=kitchen&amp;sr=1-197" TargetMode="External"/><Relationship Id="rId114" Type="http://schemas.openxmlformats.org/officeDocument/2006/relationships/hyperlink" Target="https://www.amazon.in/LG-inches-Ready-32LQ576BPSA-Ceramic/dp/B09YL9SN9B/ref=sr_1_125?qid=1672909130&amp;s=electronics&amp;sr=1-125" TargetMode="External"/><Relationship Id="rId356" Type="http://schemas.openxmlformats.org/officeDocument/2006/relationships/hyperlink" Target="https://www.amazon.in/Samsung-Galaxy-Storage-MediaTek-Battery/dp/B0BMGB2TPR/ref=sr_1_23?qid=1672895748&amp;s=electronics&amp;sr=1-23" TargetMode="External"/><Relationship Id="rId598" Type="http://schemas.openxmlformats.org/officeDocument/2006/relationships/hyperlink" Target="https://www.amazon.in/STRIFF-Adjustable-Patented-Ventilated-Compatible/dp/B07XCM6T4N/ref=sr_1_13?qid=1672902995&amp;s=computers&amp;sr=1-13" TargetMode="External"/><Relationship Id="rId1187" Type="http://schemas.openxmlformats.org/officeDocument/2006/relationships/hyperlink" Target="https://www.amazon.in/Bajaj-Rex-Mixer-Grinder-White/dp/B08G8H8DPL/ref=sr_1_198?qid=1672923600&amp;s=kitchen&amp;sr=1-198" TargetMode="External"/><Relationship Id="rId113" Type="http://schemas.openxmlformats.org/officeDocument/2006/relationships/hyperlink" Target="https://www.amazon.in/boAt-Type-c-A400-Cable-Carbon/dp/B0974G5Q2Y/ref=sr_1_124?qid=1672909130&amp;s=electronics&amp;sr=1-124" TargetMode="External"/><Relationship Id="rId355" Type="http://schemas.openxmlformats.org/officeDocument/2006/relationships/hyperlink" Target="https://www.amazon.in/SanDisk-Ultra%C2%AE-microSDXCTM-Warranty-Smartphones/dp/B0BDYVC5TD/ref=sr_1_22?qid=1672895748&amp;s=electronics&amp;sr=1-22" TargetMode="External"/><Relationship Id="rId597" Type="http://schemas.openxmlformats.org/officeDocument/2006/relationships/hyperlink" Target="https://www.amazon.in/boAt-Rockerz-255-Pro-Earphones/dp/B08TV2P1N8/ref=sr_1_12?qid=1672902995&amp;s=computers&amp;sr=1-12" TargetMode="External"/><Relationship Id="rId1188" Type="http://schemas.openxmlformats.org/officeDocument/2006/relationships/hyperlink" Target="https://www.amazon.in/Heart-Home-Foldable-Organiser-HEARTXY11447/dp/B08VGM3YMF/ref=sr_1_196?qid=1672923601&amp;s=kitchen&amp;sr=1-196" TargetMode="External"/><Relationship Id="rId112" Type="http://schemas.openxmlformats.org/officeDocument/2006/relationships/hyperlink" Target="https://www.amazon.in/Croma-Inches-Ready-CREL7369-Black/dp/B09F6VHQXB/ref=sr_1_123?qid=1672909130&amp;s=electronics&amp;sr=1-123" TargetMode="External"/><Relationship Id="rId354" Type="http://schemas.openxmlformats.org/officeDocument/2006/relationships/hyperlink" Target="https://www.amazon.in/Boat-BassHeads-100-Inspired-Earphones/dp/B07GPXXNNG/ref=sr_1_21?qid=1672895748&amp;s=electronics&amp;sr=1-21" TargetMode="External"/><Relationship Id="rId596" Type="http://schemas.openxmlformats.org/officeDocument/2006/relationships/hyperlink" Target="https://www.amazon.in/Noise-Bluetooth-Calling-Tracking-Detection/dp/B0B5LVS732/ref=sr_1_11?qid=1672902995&amp;s=computers&amp;sr=1-11" TargetMode="External"/><Relationship Id="rId1189" Type="http://schemas.openxmlformats.org/officeDocument/2006/relationships/hyperlink" Target="https://www.amazon.in/MILTON-Smart-Egg-Boiler-Transparent/dp/B08TTRVWKY/ref=sr_1_197?qid=1672923601&amp;s=kitchen&amp;sr=1-197" TargetMode="External"/><Relationship Id="rId111" Type="http://schemas.openxmlformats.org/officeDocument/2006/relationships/hyperlink" Target="https://www.amazon.in/Solero-T241-Charging-480Mbps-Durable/dp/B08Y5KXR6Z/ref=sr_1_122?qid=1672909130&amp;s=electronics&amp;sr=1-122" TargetMode="External"/><Relationship Id="rId353" Type="http://schemas.openxmlformats.org/officeDocument/2006/relationships/hyperlink" Target="https://www.amazon.in/PTron-Bullet-Pro-Lightweight-Smartphones/dp/B07WG8PDCW/ref=sr_1_20?qid=1672895748&amp;s=electronics&amp;sr=1-20" TargetMode="External"/><Relationship Id="rId595" Type="http://schemas.openxmlformats.org/officeDocument/2006/relationships/hyperlink" Target="https://www.amazon.in/SanDisk-Ultra%C2%AE-microSDXCTM-Warranty-Smartphones/dp/B0BDRVFDKP/ref=sr_1_10?qid=1672902995&amp;s=computers&amp;sr=1-10" TargetMode="External"/><Relationship Id="rId1136" Type="http://schemas.openxmlformats.org/officeDocument/2006/relationships/hyperlink" Target="https://www.amazon.in/KENT-Electric-Steamer-Vegetables-Stainless/dp/B0B5KZ3C53/ref=sr_1_139?qid=1672923597&amp;s=kitchen&amp;sr=1-139" TargetMode="External"/><Relationship Id="rId1378" Type="http://schemas.openxmlformats.org/officeDocument/2006/relationships/hyperlink" Target="https://www.amazon.in/Macmillan-Aquafresh-Micron-Filter-Purifier/dp/B09JFR8H3Q/ref=sr_1_405?qid=1672923612&amp;s=kitchen&amp;sr=1-405" TargetMode="External"/><Relationship Id="rId1137" Type="http://schemas.openxmlformats.org/officeDocument/2006/relationships/hyperlink" Target="https://www.amazon.in/InstaCuppa-Portable-Smoothie-Crushing-Rechargeable/dp/B09NTHQRW3/ref=sr_1_140?qid=1672923597&amp;s=kitchen&amp;sr=1-140" TargetMode="External"/><Relationship Id="rId1379" Type="http://schemas.openxmlformats.org/officeDocument/2006/relationships/hyperlink" Target="https://www.amazon.in/Havells-Dzire-1000-Watt-Iron-Mint/dp/B07LDN9Q2P/ref=sr_1_406?qid=1672923612&amp;s=kitchen&amp;sr=1-406" TargetMode="External"/><Relationship Id="rId1138" Type="http://schemas.openxmlformats.org/officeDocument/2006/relationships/hyperlink" Target="https://www.amazon.in/Usha-EI-1602-1000-Watt-Lightweight/dp/B008YW3CYM/ref=sr_1_141?qid=1672923597&amp;s=kitchen&amp;sr=1-141" TargetMode="External"/><Relationship Id="rId1139" Type="http://schemas.openxmlformats.org/officeDocument/2006/relationships/hyperlink" Target="https://www.amazon.in/Kent-KENT-Hand-Blender/dp/B07QHHCB27/ref=sr_1_142?qid=1672923597&amp;s=kitchen&amp;sr=1-142" TargetMode="External"/><Relationship Id="rId305" Type="http://schemas.openxmlformats.org/officeDocument/2006/relationships/hyperlink" Target="https://www.amazon.in/NK-STAR-USB-Wireless-Receiver/dp/B08G43CCLC/ref=sr_1_470?qid=1672909147&amp;s=electronics&amp;sr=1-470" TargetMode="External"/><Relationship Id="rId547" Type="http://schemas.openxmlformats.org/officeDocument/2006/relationships/hyperlink" Target="https://www.amazon.in/SHREENOVA-Bluetooth-Fitness-Activity-Tracker/dp/B0BBVKRP7B/ref=sr_1_338?qid=1672895850&amp;s=electronics&amp;sr=1-338" TargetMode="External"/><Relationship Id="rId789" Type="http://schemas.openxmlformats.org/officeDocument/2006/relationships/hyperlink" Target="https://www.amazon.in/Essentials-G11-Earphone-Carrying-Earphones/dp/B07DKZCZ89/ref=sr_1_222?qid=1672903006&amp;s=computers&amp;sr=1-222" TargetMode="External"/><Relationship Id="rId304" Type="http://schemas.openxmlformats.org/officeDocument/2006/relationships/hyperlink" Target="https://www.amazon.in/Technotech-High-Speed-Cable-Meter/dp/B016MDK4F4/ref=sr_1_469?qid=1672909147&amp;s=electronics&amp;sr=1-469" TargetMode="External"/><Relationship Id="rId546" Type="http://schemas.openxmlformats.org/officeDocument/2006/relationships/hyperlink" Target="https://www.amazon.in/iQOO-Sunset-Storage-Qualcomm-Snapdragon/dp/B07WHS7MZ1/ref=sr_1_336?qid=1672895842&amp;s=electronics&amp;sr=1-336" TargetMode="External"/><Relationship Id="rId788" Type="http://schemas.openxmlformats.org/officeDocument/2006/relationships/hyperlink" Target="https://www.amazon.in/Lapster-Gaming-Nonslip-Laptop-Computer/dp/B0B2PQL5N3/ref=sr_1_221?qid=1672903006&amp;s=computers&amp;sr=1-221" TargetMode="External"/><Relationship Id="rId303" Type="http://schemas.openxmlformats.org/officeDocument/2006/relationships/hyperlink" Target="https://www.amazon.in/Tizum-10-2Gbps-Speed-Plated-Cable/dp/B01M5967SY/ref=sr_1_468?qid=1672909147&amp;s=electronics&amp;sr=1-468" TargetMode="External"/><Relationship Id="rId545" Type="http://schemas.openxmlformats.org/officeDocument/2006/relationships/hyperlink" Target="https://www.amazon.in/Samsung-Storage-sAmoled-Purchased-Separately/dp/B09XJ5LD6L/ref=sr_1_333?qid=1672895842&amp;s=electronics&amp;sr=1-333" TargetMode="External"/><Relationship Id="rId787" Type="http://schemas.openxmlformats.org/officeDocument/2006/relationships/hyperlink" Target="https://www.amazon.in/Noise-Wireless-Equalizer-Resistance-Bluetooth/dp/B098R25TGC/ref=sr_1_220?qid=1672903006&amp;s=computers&amp;sr=1-220" TargetMode="External"/><Relationship Id="rId302" Type="http://schemas.openxmlformats.org/officeDocument/2006/relationships/hyperlink" Target="https://www.amazon.in/Lava-Elements-Charging-Speed-Type-C/dp/B0941392C8/ref=sr_1_467?qid=1672909147&amp;s=electronics&amp;sr=1-467" TargetMode="External"/><Relationship Id="rId544" Type="http://schemas.openxmlformats.org/officeDocument/2006/relationships/hyperlink" Target="https://www.amazon.in/Sounce-Protective-Case-Xtend-Unbreakable/dp/B09SJ1FTYV/ref=sr_1_329?qid=1672895842&amp;s=electronics&amp;sr=1-329" TargetMode="External"/><Relationship Id="rId786" Type="http://schemas.openxmlformats.org/officeDocument/2006/relationships/hyperlink" Target="https://www.amazon.in/Duracell-Lightning-Certified-Braided-Charging/dp/B09W5XR9RT/ref=sr_1_219?qid=1672903006&amp;s=computers&amp;sr=1-219" TargetMode="External"/><Relationship Id="rId309" Type="http://schemas.openxmlformats.org/officeDocument/2006/relationships/hyperlink" Target="https://www.amazon.in/Generation-Space-Saving-Solution-Management-Speakers/dp/B0B8ZKWGKD/ref=sr_1_474?qid=1672909147&amp;s=electronics&amp;sr=1-474" TargetMode="External"/><Relationship Id="rId308" Type="http://schemas.openxmlformats.org/officeDocument/2006/relationships/hyperlink" Target="https://www.amazon.in/Kodak-inches-Android-50UHDX7XPROBL-Bezel-Less/dp/B09PLD9TCD/ref=sr_1_473?qid=1672909147&amp;s=electronics&amp;sr=1-473" TargetMode="External"/><Relationship Id="rId307" Type="http://schemas.openxmlformats.org/officeDocument/2006/relationships/hyperlink" Target="https://www.amazon.in/AmazonBasics-High-Speed-Braided-6-Foot-1-Pack/dp/B07RX14W1Q/ref=sr_1_472?qid=1672909147&amp;s=electronics&amp;sr=1-472" TargetMode="External"/><Relationship Id="rId549" Type="http://schemas.openxmlformats.org/officeDocument/2006/relationships/hyperlink" Target="https://www.amazon.in/Noise_Colorfit-Charger-Magnetic-Charging-Adapter/dp/B0BMM7R92G/ref=sr_1_354?qid=1672895850&amp;s=electronics&amp;sr=1-354" TargetMode="External"/><Relationship Id="rId306" Type="http://schemas.openxmlformats.org/officeDocument/2006/relationships/hyperlink" Target="https://www.amazon.in/LS-LAPSTER-Quality-Assured-Biometric/dp/B0B61GCHC1/ref=sr_1_471?qid=1672909147&amp;s=electronics&amp;sr=1-471" TargetMode="External"/><Relationship Id="rId548" Type="http://schemas.openxmlformats.org/officeDocument/2006/relationships/hyperlink" Target="https://www.amazon.in/POCO-C31-Shadow-Gray-RAM/dp/B09NY7W8YD/ref=sr_1_353?qid=1672895850&amp;s=electronics&amp;sr=1-353" TargetMode="External"/><Relationship Id="rId781" Type="http://schemas.openxmlformats.org/officeDocument/2006/relationships/hyperlink" Target="https://www.amazon.in/Zebronics-Zeb-Jaguar-Wireless-Precision-Ambidextrous/dp/B098JYT4SY/ref=sr_1_214?qid=1672903005&amp;s=computers&amp;sr=1-214" TargetMode="External"/><Relationship Id="rId1370" Type="http://schemas.openxmlformats.org/officeDocument/2006/relationships/hyperlink" Target="https://www.amazon.in/n1-Retail-Stainless-Indian-Coffee/dp/B08KS2KQTK/ref=sr_1_393?qid=1672923612&amp;s=kitchen&amp;sr=1-393" TargetMode="External"/><Relationship Id="rId780" Type="http://schemas.openxmlformats.org/officeDocument/2006/relationships/hyperlink" Target="https://www.amazon.in/Luxor-Subject-Single-Ruled-Notebook/dp/B00LHZW3XY/ref=sr_1_213_mod_primary_new?qid=1672903005&amp;s=computers&amp;sbo=RZvfv%2F%2FHxDF%2BO5021pAnSA%3D%3D&amp;sr=1-213" TargetMode="External"/><Relationship Id="rId1371" Type="http://schemas.openxmlformats.org/officeDocument/2006/relationships/hyperlink" Target="https://www.amazon.in/Saiyam-Stainless-Espresso-Maker-Percolator/dp/B095K14P86/ref=sr_1_394?qid=1672923612&amp;s=kitchen&amp;sr=1-394" TargetMode="External"/><Relationship Id="rId1130" Type="http://schemas.openxmlformats.org/officeDocument/2006/relationships/hyperlink" Target="https://www.amazon.in/HUL-Pureit-Germkill-Classic-Purifier/dp/B00E9G8KOY/ref=sr_1_130?qid=1672923597&amp;s=kitchen&amp;sr=1-130" TargetMode="External"/><Relationship Id="rId1372" Type="http://schemas.openxmlformats.org/officeDocument/2006/relationships/hyperlink" Target="https://www.amazon.in/KONVIO-NEER-Cartridge-Compatible-Pre-Filter/dp/B08K36NZSV/ref=sr_1_395?qid=1672923612&amp;s=kitchen&amp;sr=1-395" TargetMode="External"/><Relationship Id="rId1131" Type="http://schemas.openxmlformats.org/officeDocument/2006/relationships/hyperlink" Target="https://www.amazon.in/HUL-Pureit-Germkill-Classic-Purifier/dp/B00H3H03Q4/ref=sr_1_131?qid=1672923597&amp;s=kitchen&amp;sr=1-131" TargetMode="External"/><Relationship Id="rId1373" Type="http://schemas.openxmlformats.org/officeDocument/2006/relationships/hyperlink" Target="https://www.amazon.in/Havells-Glydo-1000-Watt-Iron-Charcoal/dp/B07LDPLSZC/ref=sr_1_396?qid=1672923612&amp;s=kitchen&amp;sr=1-396" TargetMode="External"/><Relationship Id="rId301" Type="http://schemas.openxmlformats.org/officeDocument/2006/relationships/hyperlink" Target="https://www.amazon.in/WANBO-X1-Pro-Projector-Correction/dp/B0BNDD9TN6/ref=sr_1_466?qid=1672909147&amp;s=electronics&amp;sr=1-466" TargetMode="External"/><Relationship Id="rId543" Type="http://schemas.openxmlformats.org/officeDocument/2006/relationships/hyperlink" Target="https://www.amazon.in/Nokia-8210-4G-Display-Wireless/dp/B0B7DHSKS7/ref=sr_1_326?qid=1672895842&amp;s=electronics&amp;sr=1-326" TargetMode="External"/><Relationship Id="rId785" Type="http://schemas.openxmlformats.org/officeDocument/2006/relationships/hyperlink" Target="https://www.amazon.in/DASITON-Flexible-Ambient-Portable-Outdoor/dp/B09N6TTHT6/ref=sr_1_218?qid=1672903006&amp;s=computers&amp;sr=1-218" TargetMode="External"/><Relationship Id="rId1132" Type="http://schemas.openxmlformats.org/officeDocument/2006/relationships/hyperlink" Target="https://www.amazon.in/Prestige-Iris-Grinder-Stainless-Juicer/dp/B0756K5DYZ/ref=sr_1_132?qid=1672923597&amp;s=kitchen&amp;sr=1-132" TargetMode="External"/><Relationship Id="rId1374" Type="http://schemas.openxmlformats.org/officeDocument/2006/relationships/hyperlink" Target="https://www.amazon.in/Raffles-Premium-Stainless-Indian-Coffee/dp/B07F1T31ZZ/ref=sr_1_397?qid=1672923612&amp;s=kitchen&amp;sr=1-397" TargetMode="External"/><Relationship Id="rId300" Type="http://schemas.openxmlformats.org/officeDocument/2006/relationships/hyperlink" Target="https://www.amazon.in/PROLEGEND%C2%AE-PL-T002-Universal-Stand-Screen/dp/B09HN7LD5L/ref=sr_1_465?qid=1672909147&amp;s=electronics&amp;sr=1-465" TargetMode="External"/><Relationship Id="rId542" Type="http://schemas.openxmlformats.org/officeDocument/2006/relationships/hyperlink" Target="https://www.amazon.in/AmazonBasics-Nylon-Braided-Lightning-Cable/dp/B082T6V3DT/ref=sr_1_320?qid=1672895842&amp;s=electronics&amp;sr=1-320" TargetMode="External"/><Relationship Id="rId784" Type="http://schemas.openxmlformats.org/officeDocument/2006/relationships/hyperlink" Target="https://www.amazon.in/Essentials-Multi-Purpose-Portable-Wooden-Laptop/dp/B07MSLTW8Z/ref=sr_1_217?qid=1672903006&amp;s=computers&amp;sr=1-217" TargetMode="External"/><Relationship Id="rId1133" Type="http://schemas.openxmlformats.org/officeDocument/2006/relationships/hyperlink" Target="https://www.amazon.in/Preethi-Blue-Leaf-Diamond-750-Watt/dp/B0188KPKB2/ref=sr_1_133?qid=1672923597&amp;s=kitchen&amp;sr=1-133" TargetMode="External"/><Relationship Id="rId1375" Type="http://schemas.openxmlformats.org/officeDocument/2006/relationships/hyperlink" Target="https://www.amazon.in/IONIX-Tap-filter-Multilayer-Filter-Pack/dp/B0BNDRK886/ref=sr_1_399?qid=1672923612&amp;s=kitchen&amp;sr=1-399" TargetMode="External"/><Relationship Id="rId541" Type="http://schemas.openxmlformats.org/officeDocument/2006/relationships/hyperlink" Target="https://www.amazon.in/LIRAMARK-Webcam-Blocker-Computer-MacBook/dp/B08BQ947H3/ref=sr_1_317?qid=1672895842&amp;s=electronics&amp;sr=1-317" TargetMode="External"/><Relationship Id="rId783" Type="http://schemas.openxmlformats.org/officeDocument/2006/relationships/hyperlink" Target="https://www.amazon.in/Wembley-LCD-Writing-Tablet-8-5/dp/B09P564ZTJ/ref=sr_1_216?qid=1672903005&amp;s=computers&amp;sr=1-216" TargetMode="External"/><Relationship Id="rId1134" Type="http://schemas.openxmlformats.org/officeDocument/2006/relationships/hyperlink" Target="https://www.amazon.in/Themisto-350-Watts-Egg-Boiler-Blue/dp/B091KNVNS9/ref=sr_1_134?qid=1672923597&amp;s=kitchen&amp;sr=1-134" TargetMode="External"/><Relationship Id="rId1376" Type="http://schemas.openxmlformats.org/officeDocument/2006/relationships/hyperlink" Target="https://www.amazon.in/KNYUC-MART-Electric-Compact-Adjustable/dp/B09ZVJXN5L/ref=sr_1_403?qid=1672923612&amp;s=kitchen&amp;sr=1-403" TargetMode="External"/><Relationship Id="rId540" Type="http://schemas.openxmlformats.org/officeDocument/2006/relationships/hyperlink" Target="https://www.amazon.in/Compatible-I-Phone13-I-Phone11-Only-Adapter/dp/B0B54Y2SNX/ref=sr_1_315?qid=1672895842&amp;s=electronics&amp;sr=1-315" TargetMode="External"/><Relationship Id="rId782" Type="http://schemas.openxmlformats.org/officeDocument/2006/relationships/hyperlink" Target="https://www.amazon.in/Boult-Audio-TrueBuds-Wireless-Waterproof/dp/B08CFCK6CW/ref=sr_1_215?qid=1672903005&amp;s=computers&amp;sr=1-215" TargetMode="External"/><Relationship Id="rId1135" Type="http://schemas.openxmlformats.org/officeDocument/2006/relationships/hyperlink" Target="https://www.amazon.in/Butterfly-Smart-750-Watt-Mixer-Grinder/dp/B075JJ5NQC/ref=sr_1_135?qid=1672923597&amp;s=kitchen&amp;sr=1-135" TargetMode="External"/><Relationship Id="rId1377" Type="http://schemas.openxmlformats.org/officeDocument/2006/relationships/hyperlink" Target="https://www.amazon.in/INKULTURE-Stainless-Measuring-Kitchen-Gadgets/dp/B08JKPVDKL/ref=sr_1_404?qid=1672923612&amp;s=kitchen&amp;sr=1-404" TargetMode="External"/><Relationship Id="rId1125" Type="http://schemas.openxmlformats.org/officeDocument/2006/relationships/hyperlink" Target="https://www.amazon.in/Bajaj-Majesty-Filled-Radiator-Heater/dp/B01N1XVVLC/ref=sr_1_125?qid=1672923597&amp;s=kitchen&amp;sr=1-125" TargetMode="External"/><Relationship Id="rId1367" Type="http://schemas.openxmlformats.org/officeDocument/2006/relationships/hyperlink" Target="https://www.amazon.in/Kitchen-Kit-Electric-Stainless-Protection/dp/B097RN7BBK/ref=sr_1_390?qid=1672923612&amp;s=kitchen&amp;sr=1-390" TargetMode="External"/><Relationship Id="rId1126" Type="http://schemas.openxmlformats.org/officeDocument/2006/relationships/hyperlink" Target="https://www.amazon.in/Luminous-Vento-Deluxe-30-Watt-Ventilator/dp/B00O2R38C4/ref=sr_1_126?qid=1672923597&amp;s=kitchen&amp;sr=1-126" TargetMode="External"/><Relationship Id="rId1368" Type="http://schemas.openxmlformats.org/officeDocument/2006/relationships/hyperlink" Target="https://www.amazon.in/Racold-Pronto-3Litres-Vertical-Instant/dp/B097MKZHNV/ref=sr_1_391?qid=1672923612&amp;s=kitchen&amp;sr=1-391" TargetMode="External"/><Relationship Id="rId1127" Type="http://schemas.openxmlformats.org/officeDocument/2006/relationships/hyperlink" Target="https://www.amazon.in/electric-Kettle-Double-Triple-Protection/dp/B0B2CZTCL2/ref=sr_1_127?qid=1672923597&amp;s=kitchen&amp;sr=1-127" TargetMode="External"/><Relationship Id="rId1369" Type="http://schemas.openxmlformats.org/officeDocument/2006/relationships/hyperlink" Target="https://www.amazon.in/ESN-999-Quality-Immersion-Heater/dp/B07LG96SDB/ref=sr_1_392?qid=1672923612&amp;s=kitchen&amp;sr=1-392" TargetMode="External"/><Relationship Id="rId1128" Type="http://schemas.openxmlformats.org/officeDocument/2006/relationships/hyperlink" Target="https://www.amazon.in/Kitchen-Stainless-Indian-Filter-Coffee/dp/B00PVT30YI/ref=sr_1_128?qid=1672923597&amp;s=kitchen&amp;sr=1-128" TargetMode="External"/><Relationship Id="rId1129" Type="http://schemas.openxmlformats.org/officeDocument/2006/relationships/hyperlink" Target="https://www.amazon.in/Ikea-903-391-72-Sealing-assorted-30-pack/dp/B00SH18114/ref=sr_1_129_mod_primary_new?qid=1672923597&amp;s=kitchen&amp;sbo=RZvfv%2F%2FHxDF%2BO5021pAnSA%3D%3D&amp;sr=1-129" TargetMode="External"/><Relationship Id="rId536" Type="http://schemas.openxmlformats.org/officeDocument/2006/relationships/hyperlink" Target="https://www.amazon.in/Nokia-150-Cyan/dp/B08H21B6V7/ref=sr_1_301?qid=1672895835&amp;s=electronics&amp;sr=1-301" TargetMode="External"/><Relationship Id="rId778" Type="http://schemas.openxmlformats.org/officeDocument/2006/relationships/hyperlink" Target="https://www.amazon.in/Crucial-PC4-25600-SODIMM-260-Pin-Memory/dp/B08C4Z69LN/ref=sr_1_210?qid=1672903005&amp;s=computers&amp;sr=1-210" TargetMode="External"/><Relationship Id="rId535" Type="http://schemas.openxmlformats.org/officeDocument/2006/relationships/hyperlink" Target="https://www.amazon.in/OnePlus-Moonstone-Black-128GB-Storage/dp/B0B5V47VK4/ref=sr_1_300?qid=1672895835&amp;s=electronics&amp;sr=1-300" TargetMode="External"/><Relationship Id="rId777" Type="http://schemas.openxmlformats.org/officeDocument/2006/relationships/hyperlink" Target="https://www.amazon.in/Wireless-Connection-Battery-Ambidextrous-Suitable/dp/B09ZHCJDP1/ref=sr_1_209?qid=1672903005&amp;s=computers&amp;sr=1-209" TargetMode="External"/><Relationship Id="rId534" Type="http://schemas.openxmlformats.org/officeDocument/2006/relationships/hyperlink" Target="https://www.amazon.in/Redmi-Note-11T-5G-Dimensity/dp/B09LHZSMRR/ref=sr_1_297?qid=1672895835&amp;s=electronics&amp;sr=1-297" TargetMode="External"/><Relationship Id="rId776" Type="http://schemas.openxmlformats.org/officeDocument/2006/relationships/hyperlink" Target="https://www.amazon.in/STRIFF-Android-Portable-Foldable-Stand-Perfect/dp/B09Y14JLP3/ref=sr_1_208?qid=1672903005&amp;s=computers&amp;sr=1-208" TargetMode="External"/><Relationship Id="rId533" Type="http://schemas.openxmlformats.org/officeDocument/2006/relationships/hyperlink" Target="https://www.amazon.in/URBN-20000-22-5W-Charging-Output/dp/B08JW1GVS7/ref=sr_1_295?qid=1672895835&amp;s=electronics&amp;sr=1-295" TargetMode="External"/><Relationship Id="rId775" Type="http://schemas.openxmlformats.org/officeDocument/2006/relationships/hyperlink" Target="https://www.amazon.in/Boult-Audio-Equalizer-Cancellation-Bluetooth/dp/B0B31FR4Y2/ref=sr_1_206?qid=1672903005&amp;s=computers&amp;sr=1-206" TargetMode="External"/><Relationship Id="rId539" Type="http://schemas.openxmlformats.org/officeDocument/2006/relationships/hyperlink" Target="https://www.amazon.in/SanDisk-Ultra-microSD-UHS-I-120MB/dp/B08L5FM4JC/ref=sr_1_312?qid=1672895835&amp;s=electronics&amp;sr=1-312" TargetMode="External"/><Relationship Id="rId538" Type="http://schemas.openxmlformats.org/officeDocument/2006/relationships/hyperlink" Target="https://www.amazon.in/Super-Rockerz-400-Bluetooth-Headphones/dp/B01FSYQ2A4/ref=sr_1_307?qid=1672895835&amp;s=electronics&amp;sr=1-307" TargetMode="External"/><Relationship Id="rId537" Type="http://schemas.openxmlformats.org/officeDocument/2006/relationships/hyperlink" Target="https://www.amazon.in/Noise-ColorFit-Ultra-SE-Smartwatch/dp/B09BNXQ6BR/ref=sr_1_303?qid=1672895835&amp;s=electronics&amp;sr=1-303" TargetMode="External"/><Relationship Id="rId779" Type="http://schemas.openxmlformats.org/officeDocument/2006/relationships/hyperlink" Target="https://www.amazon.in/APC-BX600C-600VA-230V-Back/dp/B016XVRKZM/ref=sr_1_211?qid=1672903005&amp;s=computers&amp;sr=1-211" TargetMode="External"/><Relationship Id="rId770" Type="http://schemas.openxmlformats.org/officeDocument/2006/relationships/hyperlink" Target="https://www.amazon.in/Ambrane-Unbreakable-Charging-Braided-Multipurpose/dp/B094JNXNPV/ref=sr_1_201?qid=1672903005&amp;s=computers&amp;sr=1-201" TargetMode="External"/><Relationship Id="rId1360" Type="http://schemas.openxmlformats.org/officeDocument/2006/relationships/hyperlink" Target="https://www.amazon.in/SUJATA-Chutney-Jar-Small-8x8x8cm/dp/B01MUAUOCX/ref=sr_1_386?qid=1672923611&amp;s=kitchen&amp;sr=1-386" TargetMode="External"/><Relationship Id="rId1361" Type="http://schemas.openxmlformats.org/officeDocument/2006/relationships/hyperlink" Target="https://www.amazon.in/KHAITAN-AVAANTE-KA-2013-Halogen-Heater/dp/B09MB3DKG1/ref=sr_1_387?qid=1672923611&amp;s=kitchen&amp;sr=1-387" TargetMode="External"/><Relationship Id="rId1120" Type="http://schemas.openxmlformats.org/officeDocument/2006/relationships/hyperlink" Target="https://www.amazon.in/Crompton-convector-adjustable-Thermostats-Standard/dp/B09CGLY5CX/ref=sr_1_120_mod_primary_new?qid=1672923596&amp;s=kitchen&amp;sbo=RZvfv%2F%2FHxDF%2BO5021pAnSA%3D%3D&amp;sr=1-120" TargetMode="External"/><Relationship Id="rId1362" Type="http://schemas.openxmlformats.org/officeDocument/2006/relationships/hyperlink" Target="https://www.amazon.in/Kenstar-Watts-Filled-Radiator-Heater/dp/B08QHLXWV3/ref=sr_1_388?qid=1672923611&amp;s=kitchen&amp;sr=1-388" TargetMode="External"/><Relationship Id="rId532" Type="http://schemas.openxmlformats.org/officeDocument/2006/relationships/hyperlink" Target="https://www.amazon.in/Tecno-Spark-8T-Expandable-64GB/dp/B09MKP344P/ref=sr_1_294?qid=1672895835&amp;s=electronics&amp;sr=1-294" TargetMode="External"/><Relationship Id="rId774" Type="http://schemas.openxmlformats.org/officeDocument/2006/relationships/hyperlink" Target="https://www.amazon.in/HUMBLE-Dynamic-Recording-Microphone-SmartPhones/dp/B08HD7JQHX/ref=sr_1_205?qid=1672903005&amp;s=computers&amp;sr=1-205" TargetMode="External"/><Relationship Id="rId1121" Type="http://schemas.openxmlformats.org/officeDocument/2006/relationships/hyperlink" Target="https://www.amazon.in/Remover-Clothes-Extractor-Battery-Removing/dp/B09JN37WBX/ref=sr_1_121?qid=1672923596&amp;s=kitchen&amp;sr=1-121" TargetMode="External"/><Relationship Id="rId1363" Type="http://schemas.openxmlformats.org/officeDocument/2006/relationships/hyperlink" Target="https://www.amazon.in/NEXOMS-Instant-Heating-Mounted-Stainless/dp/B07G147SZD/ref=sr_1_389?qid=1672923611&amp;s=kitchen&amp;sr=1-389" TargetMode="External"/><Relationship Id="rId531" Type="http://schemas.openxmlformats.org/officeDocument/2006/relationships/hyperlink" Target="https://www.amazon.in/EN-LIGNE-Adjustable-Tabletop-Compatible/dp/B0B3DV7S9B/ref=sr_1_293?qid=1672895835&amp;s=electronics&amp;sr=1-293" TargetMode="External"/><Relationship Id="rId773" Type="http://schemas.openxmlformats.org/officeDocument/2006/relationships/hyperlink" Target="https://www.amazon.in/A400-Type-C-Cable-Meter-Black/dp/B077Z65HSD/ref=sr_1_204?qid=1672903005&amp;s=computers&amp;sr=1-204" TargetMode="External"/><Relationship Id="rId1122" Type="http://schemas.openxmlformats.org/officeDocument/2006/relationships/hyperlink" Target="https://www.amazon.in/Pigeon-Kessel-1-2-Litre-Multi-purpose-Kettle/dp/B01I1LDZGA/ref=sr_1_125_mod_primary_new?qid=1672923596&amp;s=kitchen&amp;sbo=RZvfv%2F%2FHxDF%2BO5021pAnSA%3D%3D&amp;sr=1-125" TargetMode="External"/><Relationship Id="rId1364" Type="http://schemas.openxmlformats.org/officeDocument/2006/relationships/hyperlink" Target="https://www.amazon.in/BONIRY-Waffle-Maker-Inch-Watts/dp/B09LH32678/ref=sr_1_390?qid=1672923611&amp;s=kitchen&amp;sr=1-390" TargetMode="External"/><Relationship Id="rId530" Type="http://schemas.openxmlformats.org/officeDocument/2006/relationships/hyperlink" Target="https://www.amazon.in/OpenTech%C2%AE-Military-Grade-Tempered-Protector-Installation/dp/B09GP6FBZT/ref=sr_1_274?qid=1672895828&amp;s=electronics&amp;sr=1-274" TargetMode="External"/><Relationship Id="rId772" Type="http://schemas.openxmlformats.org/officeDocument/2006/relationships/hyperlink" Target="https://www.amazon.in/HP-Multimedia-Wireless-Keyboard-4SC12PA/dp/B07V82W5CN/ref=sr_1_203?qid=1672903005&amp;s=computers&amp;sr=1-203" TargetMode="External"/><Relationship Id="rId1123" Type="http://schemas.openxmlformats.org/officeDocument/2006/relationships/hyperlink" Target="https://www.amazon.in/DEVICE-Remover-Woolen-Clothes-Electric/dp/B0BN2576GQ/ref=sr_1_126?qid=1672923596&amp;s=kitchen&amp;sr=1-126" TargetMode="External"/><Relationship Id="rId1365" Type="http://schemas.openxmlformats.org/officeDocument/2006/relationships/hyperlink" Target="https://www.amazon.in/Candes-BlowHot-Silent-Blower-Heater/dp/B09R1YFL6S/ref=sr_1_388?qid=1672923612&amp;s=kitchen&amp;sr=1-388" TargetMode="External"/><Relationship Id="rId771" Type="http://schemas.openxmlformats.org/officeDocument/2006/relationships/hyperlink" Target="https://www.amazon.in/Quantum-Ethernet-Patch-Straight-Category/dp/B00GZLB57U/ref=sr_1_202?qid=1672903005&amp;s=computers&amp;sr=1-202" TargetMode="External"/><Relationship Id="rId1124" Type="http://schemas.openxmlformats.org/officeDocument/2006/relationships/hyperlink" Target="https://www.amazon.in/Pigeon-2-Slice-Pop-up-Toaster-Black/dp/B06XPYRWV5/ref=sr_1_124?qid=1672923597&amp;s=kitchen&amp;sr=1-124" TargetMode="External"/><Relationship Id="rId1366" Type="http://schemas.openxmlformats.org/officeDocument/2006/relationships/hyperlink" Target="https://www.amazon.in/Ionix-Digital-Kitchen-Jewellery-Weighing/dp/B07Q4NJQC5/ref=sr_1_389?qid=1672923612&amp;s=kitchen&amp;sr=1-389" TargetMode="External"/><Relationship Id="rId1158" Type="http://schemas.openxmlformats.org/officeDocument/2006/relationships/hyperlink" Target="https://www.amazon.in/CookJoy-CJ1600WPC-Induction-cooktop-Black/dp/B09NBZ36F7/ref=sr_1_163?qid=1672923598&amp;s=kitchen&amp;sr=1-163" TargetMode="External"/><Relationship Id="rId1159" Type="http://schemas.openxmlformats.org/officeDocument/2006/relationships/hyperlink" Target="https://www.amazon.in/Reffair-AX30-MAX-Internationally-Aromabuds/dp/B0912WJ87V/ref=sr_1_164?qid=1672923598&amp;s=kitchen&amp;sr=1-164" TargetMode="External"/><Relationship Id="rId327" Type="http://schemas.openxmlformats.org/officeDocument/2006/relationships/hyperlink" Target="https://www.amazon.in/OnePlus-163-8-inches-Android-65U1S/dp/B095JPKPH3/ref=sr_1_492?qid=1672909149&amp;s=electronics&amp;sr=1-492" TargetMode="External"/><Relationship Id="rId569" Type="http://schemas.openxmlformats.org/officeDocument/2006/relationships/hyperlink" Target="https://www.amazon.in/Prolet-Classic-Bumper-Samsung-Protector/dp/B0B298D54H/ref=sr_1_433?qid=1672895879&amp;s=electronics&amp;sr=1-433" TargetMode="External"/><Relationship Id="rId326" Type="http://schemas.openxmlformats.org/officeDocument/2006/relationships/hyperlink" Target="https://www.amazon.in/REDTECH-Lightning-Certified-Charging-Compatible/dp/B0BQRJ3C47/ref=sr_1_491?qid=1672909149&amp;s=electronics&amp;sr=1-491" TargetMode="External"/><Relationship Id="rId568" Type="http://schemas.openxmlformats.org/officeDocument/2006/relationships/hyperlink" Target="https://www.amazon.in/Redmi-9A-Sport-Octa-core-Processor/dp/B09GFPN6TP/ref=sr_1_432?qid=1672895872&amp;s=electronics&amp;sr=1-432" TargetMode="External"/><Relationship Id="rId325" Type="http://schemas.openxmlformats.org/officeDocument/2006/relationships/hyperlink" Target="https://www.amazon.in/TCL-inches-Certified-Android-43P615/dp/B08FD2VSD9/ref=sr_1_490?qid=1672909149&amp;s=electronics&amp;sr=1-490" TargetMode="External"/><Relationship Id="rId567" Type="http://schemas.openxmlformats.org/officeDocument/2006/relationships/hyperlink" Target="https://www.amazon.in/FLiX-Charger-Charging-Adapter-More-Black/dp/B09T37CKQ5/ref=sr_1_431?qid=1672895872&amp;s=electronics&amp;sr=1-431" TargetMode="External"/><Relationship Id="rId324" Type="http://schemas.openxmlformats.org/officeDocument/2006/relationships/hyperlink" Target="https://www.amazon.in/Storite-USB-2-0-Mini-External/dp/B00GGGOYEU/ref=sr_1_489?qid=1672909149&amp;s=electronics&amp;sr=1-489" TargetMode="External"/><Relationship Id="rId566" Type="http://schemas.openxmlformats.org/officeDocument/2006/relationships/hyperlink" Target="https://www.amazon.in/Pinnaclz-Original-Micro-USB-Charging/dp/B08R69VDHT/ref=sr_1_429?qid=1672895872&amp;s=electronics&amp;sr=1-429" TargetMode="External"/><Relationship Id="rId329" Type="http://schemas.openxmlformats.org/officeDocument/2006/relationships/hyperlink" Target="https://www.amazon.in/Kodak-inches-Certified-Android-32HDX7XPROBL/dp/B09DSXK8JX/ref=sr_1_494?qid=1672909149&amp;s=electronics&amp;sr=1-494" TargetMode="External"/><Relationship Id="rId1390" Type="http://schemas.openxmlformats.org/officeDocument/2006/relationships/hyperlink" Target="https://www.amazon.in/Spring-Chef-Stainless-Restaurant-Installation/dp/B0BP89YBC1/ref=sr_1_419?qid=1672923613&amp;s=kitchen&amp;sr=1-419" TargetMode="External"/><Relationship Id="rId328" Type="http://schemas.openxmlformats.org/officeDocument/2006/relationships/hyperlink" Target="https://www.amazon.in/AmazonBasics-108cm-inch-Ultra-Smart/dp/B087JWLZ2K/ref=sr_1_493?qid=1672909149&amp;s=electronics&amp;sr=1-493" TargetMode="External"/><Relationship Id="rId1391" Type="http://schemas.openxmlformats.org/officeDocument/2006/relationships/hyperlink" Target="https://www.amazon.in/Themisto-TH-WS20-Digital-Weighing-Stainless/dp/B09W9V2PXG/ref=sr_1_420?qid=1672923613&amp;s=kitchen&amp;sr=1-420" TargetMode="External"/><Relationship Id="rId561" Type="http://schemas.openxmlformats.org/officeDocument/2006/relationships/hyperlink" Target="https://www.amazon.in/Fire-Boltt-Ninja-Smartwatch-Sports-Tracking/dp/B09YV42QHZ/ref=sr_1_408?qid=1672895864&amp;s=electronics&amp;sr=1-408" TargetMode="External"/><Relationship Id="rId1150" Type="http://schemas.openxmlformats.org/officeDocument/2006/relationships/hyperlink" Target="https://www.amazon.in/Hindware-Atlantic-Compacto-Instant-HI03PDW30/dp/B09DL9978Y/ref=sr_1_151?qid=1672923598&amp;s=kitchen&amp;sr=1-151" TargetMode="External"/><Relationship Id="rId1392" Type="http://schemas.openxmlformats.org/officeDocument/2006/relationships/hyperlink" Target="https://www.amazon.in/FYA-Handheld-Cordless-Wireless-Rechargeable/dp/B09XTQFFCG/ref=sr_1_421?qid=1672923613&amp;s=kitchen&amp;sr=1-421" TargetMode="External"/><Relationship Id="rId560" Type="http://schemas.openxmlformats.org/officeDocument/2006/relationships/hyperlink" Target="https://www.amazon.in/REDMI-Sport-Carbon-Black-RAM/dp/B09HSKYMB3/ref=sr_1_405?qid=1672895864&amp;s=electronics&amp;sr=1-405" TargetMode="External"/><Relationship Id="rId1151" Type="http://schemas.openxmlformats.org/officeDocument/2006/relationships/hyperlink" Target="https://www.amazon.in/Atom-Selves-A100-Digital-Pocket-Silver/dp/B06XMZV7RH/ref=sr_1_152?qid=1672923598&amp;s=kitchen&amp;sr=1-152" TargetMode="External"/><Relationship Id="rId1393" Type="http://schemas.openxmlformats.org/officeDocument/2006/relationships/hyperlink" Target="https://www.amazon.in/Lifelong-Sandwich-Griller-Non-Stick-Plates/dp/B08LVVTGZK/ref=sr_1_422?qid=1672923613&amp;s=kitchen&amp;sr=1-422" TargetMode="External"/><Relationship Id="rId1152" Type="http://schemas.openxmlformats.org/officeDocument/2006/relationships/hyperlink" Target="https://www.amazon.in/Crompton-InstaBliss-Instant-Heater-Advanced/dp/B09WMTJPG7/ref=sr_1_153?qid=1672923598&amp;s=kitchen&amp;sr=1-153" TargetMode="External"/><Relationship Id="rId1394" Type="http://schemas.openxmlformats.org/officeDocument/2006/relationships/hyperlink" Target="https://www.amazon.in/Kuber-Industries-Laundry-Basket-CTKTC1475/dp/B07J2BQZD6/ref=sr_1_427?qid=1672923613&amp;s=kitchen&amp;sr=1-427" TargetMode="External"/><Relationship Id="rId1153" Type="http://schemas.openxmlformats.org/officeDocument/2006/relationships/hyperlink" Target="https://www.amazon.in/Croma-Weilburger-Soleplate-Coating-CRSHAH702SIR11/dp/B09ZK6THRR/ref=sr_1_154?qid=1672923598&amp;s=kitchen&amp;sr=1-154" TargetMode="External"/><Relationship Id="rId1395" Type="http://schemas.openxmlformats.org/officeDocument/2006/relationships/hyperlink" Target="https://www.amazon.in/Bulfyss-Plastic-Remover-Cleaner-Remover/dp/B07HK53XM4/ref=sr_1_428?qid=1672923613&amp;s=kitchen&amp;sr=1-428" TargetMode="External"/><Relationship Id="rId323" Type="http://schemas.openxmlformats.org/officeDocument/2006/relationships/hyperlink" Target="https://www.amazon.in/Mi-inches-Ready-Android-Black/dp/B084872DQY/ref=sr_1_488?qid=1672909149&amp;s=electronics&amp;sr=1-488" TargetMode="External"/><Relationship Id="rId565" Type="http://schemas.openxmlformats.org/officeDocument/2006/relationships/hyperlink" Target="https://www.amazon.in/Amozo-iPhone-13-Polycarbonate-Transparent/dp/B09MY4W73Q/ref=sr_1_419?qid=1672895872&amp;s=electronics&amp;sr=1-419" TargetMode="External"/><Relationship Id="rId1154" Type="http://schemas.openxmlformats.org/officeDocument/2006/relationships/hyperlink" Target="https://www.amazon.in/Ikea-Lint-Roller-Paper-Sheets/dp/B07MP21WJD/ref=sr_1_156_mod_primary_new?qid=1672923598&amp;s=kitchen&amp;sbo=RZvfv%2F%2FHxDF%2BO5021pAnSA%3D%3D&amp;sr=1-156" TargetMode="External"/><Relationship Id="rId1396" Type="http://schemas.openxmlformats.org/officeDocument/2006/relationships/hyperlink" Target="https://www.amazon.in/TOPLINE-Egg-Beater-Stainless-Attachments/dp/B08RDWBYCQ/ref=sr_1_429?qid=1672923613&amp;s=kitchen&amp;sr=1-429" TargetMode="External"/><Relationship Id="rId322" Type="http://schemas.openxmlformats.org/officeDocument/2006/relationships/hyperlink" Target="https://www.amazon.in/Female-Converter-Adapter-Projectors-Devices/dp/B07VJ9ZTXS/ref=sr_1_487?qid=1672909149&amp;s=electronics&amp;sr=1-487" TargetMode="External"/><Relationship Id="rId564" Type="http://schemas.openxmlformats.org/officeDocument/2006/relationships/hyperlink" Target="https://www.amazon.in/AmazonBasics-Type-C-USB-Male-Cable/dp/B01GGKYKQM/ref=sr_1_418?qid=1672895872&amp;s=electronics&amp;sr=1-418" TargetMode="External"/><Relationship Id="rId1155" Type="http://schemas.openxmlformats.org/officeDocument/2006/relationships/hyperlink" Target="https://www.amazon.in/Portable-Hairball-Epilator-Removing-Furniture/dp/B09XB1R2F3/ref=sr_1_157?qid=1672923598&amp;s=kitchen&amp;sr=1-157" TargetMode="External"/><Relationship Id="rId1397" Type="http://schemas.openxmlformats.org/officeDocument/2006/relationships/hyperlink" Target="https://www.amazon.in/Empty-Trigger-Plastic-Spray-Bottle/dp/B09FHHTL8L/ref=sr_1_430_mod_primary_new?qid=1672923613&amp;s=kitchen&amp;sbo=RZvfv%2F%2FHxDF%2BO5021pAnSA%3D%3D&amp;sr=1-430" TargetMode="External"/><Relationship Id="rId321" Type="http://schemas.openxmlformats.org/officeDocument/2006/relationships/hyperlink" Target="https://www.amazon.in/PRUSHTI-COVER-BAGS-Protective-Xstream/dp/B08BG4M4N7/ref=sr_1_486?qid=1672909149&amp;s=electronics&amp;sr=1-486" TargetMode="External"/><Relationship Id="rId563" Type="http://schemas.openxmlformats.org/officeDocument/2006/relationships/hyperlink" Target="https://www.amazon.in/POPIO-Compatible-iPhone-Transparent-Installation/dp/B0B5YBGCKD/ref=sr_1_417?qid=1672895872&amp;s=electronics&amp;sr=1-417" TargetMode="External"/><Relationship Id="rId1156" Type="http://schemas.openxmlformats.org/officeDocument/2006/relationships/hyperlink" Target="https://www.amazon.in/Atomberg-Renesa-Motor-Remote-Ceiling/dp/B08Y5QJXSR/ref=sr_1_158?qid=1672923598&amp;s=kitchen&amp;sr=1-158" TargetMode="External"/><Relationship Id="rId1398" Type="http://schemas.openxmlformats.org/officeDocument/2006/relationships/hyperlink" Target="https://www.amazon.in/LONAXA-Travel-Rechargeable-Fruit-Juicer/dp/B0BHNHMR3H/ref=sr_1_431?qid=1672923613&amp;s=kitchen&amp;sr=1-431" TargetMode="External"/><Relationship Id="rId320" Type="http://schemas.openxmlformats.org/officeDocument/2006/relationships/hyperlink" Target="https://www.amazon.in/7SEVENTM-Bluetooth-Command-Compatible-Control/dp/B09P8M18QM/ref=sr_1_485?qid=1672909149&amp;s=electronics&amp;sr=1-485" TargetMode="External"/><Relationship Id="rId562" Type="http://schemas.openxmlformats.org/officeDocument/2006/relationships/hyperlink" Target="https://www.amazon.in/Lava-Notfication-recoding-Military-Certified/dp/B09BF8JBWX/ref=sr_1_411?qid=1672895872&amp;s=electronics&amp;sr=1-411" TargetMode="External"/><Relationship Id="rId1157" Type="http://schemas.openxmlformats.org/officeDocument/2006/relationships/hyperlink" Target="https://www.amazon.in/Pigeon-stovekraft-Amaze-Plus-1-8/dp/B07WJXCTG9/ref=sr_1_159?qid=1672923598&amp;s=kitchen&amp;sr=1-159" TargetMode="External"/><Relationship Id="rId1399" Type="http://schemas.openxmlformats.org/officeDocument/2006/relationships/hyperlink" Target="https://www.amazon.in/Powermatic-Plus-CH-900-Watt-Grinder/dp/B07D8VBYB4/ref=sr_1_432?qid=1672923613&amp;s=kitchen&amp;sr=1-432" TargetMode="External"/><Relationship Id="rId1147" Type="http://schemas.openxmlformats.org/officeDocument/2006/relationships/hyperlink" Target="https://www.amazon.in/Swiffer-Instant-Electric-Home-Kitchen-Instantaneous/dp/B0BR4F878Q/ref=sr_1_150?qid=1672923597&amp;s=kitchen&amp;sr=1-150" TargetMode="External"/><Relationship Id="rId1389" Type="http://schemas.openxmlformats.org/officeDocument/2006/relationships/hyperlink" Target="https://www.amazon.in/Usha-Electric-EI3710-1000W-Golden/dp/B078WB1VWJ/ref=sr_1_418?qid=1672923613&amp;s=kitchen&amp;sr=1-418" TargetMode="External"/><Relationship Id="rId1148" Type="http://schemas.openxmlformats.org/officeDocument/2006/relationships/hyperlink" Target="https://www.amazon.in/InstaCuppa-Portable-Smoothie-Crushing-Rechargeable/dp/B0B3G5XZN5/ref=sr_1_148?qid=1672923598&amp;s=kitchen&amp;sr=1-148" TargetMode="External"/><Relationship Id="rId1149" Type="http://schemas.openxmlformats.org/officeDocument/2006/relationships/hyperlink" Target="https://www.amazon.in/Lifelong-Flash-Instant-Heater-Certified/dp/B07WKB69RS/ref=sr_1_149?qid=1672923598&amp;s=kitchen&amp;sr=1-149" TargetMode="External"/><Relationship Id="rId316" Type="http://schemas.openxmlformats.org/officeDocument/2006/relationships/hyperlink" Target="https://www.amazon.in/Charging-Braided-Compatible-Samsung-Galaxy/dp/B08NW8GHCJ/ref=sr_1_481?qid=1672909149&amp;s=electronics&amp;sr=1-481" TargetMode="External"/><Relationship Id="rId558" Type="http://schemas.openxmlformats.org/officeDocument/2006/relationships/hyperlink" Target="https://www.amazon.in/ORAIMO-SUPER-FAST-CHARGER/dp/B078G6ZF5Z/ref=sr_1_402?qid=1672895864&amp;s=electronics&amp;sr=1-402" TargetMode="External"/><Relationship Id="rId315" Type="http://schemas.openxmlformats.org/officeDocument/2006/relationships/hyperlink" Target="https://www.amazon.in/Amazon-Brand-Charging-Suitable-Supported/dp/B09SB6SJB4/ref=sr_1_480?qid=1672909147&amp;s=electronics&amp;sr=1-480" TargetMode="External"/><Relationship Id="rId557" Type="http://schemas.openxmlformats.org/officeDocument/2006/relationships/hyperlink" Target="https://www.amazon.in/Spigen-Hybrid-Compatible-Carbonate-Crystal/dp/B0B1NX6JTN/ref=sr_1_389?qid=1672895864&amp;s=electronics&amp;sr=1-389" TargetMode="External"/><Relationship Id="rId799" Type="http://schemas.openxmlformats.org/officeDocument/2006/relationships/hyperlink" Target="https://www.amazon.in/Zinq-Technologies-Cool-Slate-Five/dp/B082FTPRSK/ref=sr_1_233?qid=1672903006&amp;s=computers&amp;sr=1-233" TargetMode="External"/><Relationship Id="rId314" Type="http://schemas.openxmlformats.org/officeDocument/2006/relationships/hyperlink" Target="https://www.amazon.in/Virtual-Reality-Headset-Headphones-Gaming/dp/B097JVLW3L/ref=sr_1_479?qid=1672909147&amp;s=electronics&amp;sr=1-479" TargetMode="External"/><Relationship Id="rId556" Type="http://schemas.openxmlformats.org/officeDocument/2006/relationships/hyperlink" Target="https://www.amazon.in/Redmi-Horizon-Qualcomm%C2%AE-SnapdragonTM-Included/dp/B09QS9CWLV/ref=sr_1_382?qid=1672895857&amp;s=electronics&amp;sr=1-382" TargetMode="External"/><Relationship Id="rId798" Type="http://schemas.openxmlformats.org/officeDocument/2006/relationships/hyperlink" Target="https://www.amazon.in/AirCase-15-6-Inch-MacBook-Protective-Neoprene/dp/B07Z1YVP72/ref=sr_1_232?qid=1672903006&amp;s=computers&amp;sr=1-232" TargetMode="External"/><Relationship Id="rId313" Type="http://schemas.openxmlformats.org/officeDocument/2006/relationships/hyperlink" Target="https://www.amazon.in/BESTOR%C2%AE-48Gbps-9-80FT-Braided-Cord-4K/dp/B09HCH3JZG/ref=sr_1_478?qid=1672909147&amp;s=electronics&amp;sr=1-478" TargetMode="External"/><Relationship Id="rId555" Type="http://schemas.openxmlformats.org/officeDocument/2006/relationships/hyperlink" Target="https://www.amazon.in/Noise-ColorFit-Bluetooth-Calling-Metallic/dp/B0B2X35B1K/ref=sr_1_379?qid=1672895857&amp;s=electronics&amp;sr=1-379" TargetMode="External"/><Relationship Id="rId797" Type="http://schemas.openxmlformats.org/officeDocument/2006/relationships/hyperlink" Target="https://www.amazon.in/Portronics-MPORT-Ports-USB-Connector/dp/B09M8888DM/ref=sr_1_231?qid=1672903006&amp;s=computers&amp;sr=1-231" TargetMode="External"/><Relationship Id="rId319" Type="http://schemas.openxmlformats.org/officeDocument/2006/relationships/hyperlink" Target="https://www.amazon.in/LUNAGARIYA%C2%AE-Protective-Compatible-Control-Dimensions/dp/B08YXJJW8H/ref=sr_1_484?qid=1672909149&amp;s=electronics&amp;sr=1-484" TargetMode="External"/><Relationship Id="rId318" Type="http://schemas.openxmlformats.org/officeDocument/2006/relationships/hyperlink" Target="https://www.amazon.in/EYNK-Charging-Charger-Transfer-Smartphones/dp/B08G1RW2Q3/ref=sr_1_483?qid=1672909149&amp;s=electronics&amp;sr=1-483" TargetMode="External"/><Relationship Id="rId317" Type="http://schemas.openxmlformats.org/officeDocument/2006/relationships/hyperlink" Target="https://www.amazon.in/Shopoflux-Silicone-Remote-Cover-Xiaomi/dp/B09YHLPQYT/ref=sr_1_482?qid=1672909149&amp;s=electronics&amp;sr=1-482" TargetMode="External"/><Relationship Id="rId559" Type="http://schemas.openxmlformats.org/officeDocument/2006/relationships/hyperlink" Target="https://www.amazon.in/LAPSTER-Protectors-Charger-Protector-Computers/dp/B0BBW521YC/ref=sr_1_403?qid=1672895864&amp;s=electronics&amp;sr=1-403" TargetMode="External"/><Relationship Id="rId1380" Type="http://schemas.openxmlformats.org/officeDocument/2006/relationships/hyperlink" Target="https://www.amazon.in/Tvara-Enterprise-Instant-Electric-Heating/dp/B08T8KWNQ9/ref=sr_1_407?qid=1672923612&amp;s=kitchen&amp;sr=1-407" TargetMode="External"/><Relationship Id="rId550" Type="http://schemas.openxmlformats.org/officeDocument/2006/relationships/hyperlink" Target="https://www.amazon.in/POPIO-Tempered-Protector-Compatible-Installation/dp/B08M66K48D/ref=sr_1_356?qid=1672895850&amp;s=electronics&amp;sr=1-356" TargetMode="External"/><Relationship Id="rId792" Type="http://schemas.openxmlformats.org/officeDocument/2006/relationships/hyperlink" Target="https://www.amazon.in/Classmate-Long-Notebook-Cover-Single/dp/B00J4YG0PC/ref=sr_1_225?qid=1672903006&amp;s=computers&amp;sr=1-225" TargetMode="External"/><Relationship Id="rId1381" Type="http://schemas.openxmlformats.org/officeDocument/2006/relationships/hyperlink" Target="https://www.amazon.in/WinoteK-Instant-Portable-Geysers-automatic/dp/B07Y1RCCW5/ref=sr_1_409?qid=1672923612&amp;s=kitchen&amp;sr=1-409" TargetMode="External"/><Relationship Id="rId791" Type="http://schemas.openxmlformats.org/officeDocument/2006/relationships/hyperlink" Target="https://www.amazon.in/DIGITEK%C2%AE-DRL-14C-Temperature-Photo-Shoot-Vlogging/dp/B09BN2NPBD/ref=sr_1_224?qid=1672903006&amp;s=computers&amp;sr=1-224" TargetMode="External"/><Relationship Id="rId1140" Type="http://schemas.openxmlformats.org/officeDocument/2006/relationships/hyperlink" Target="https://www.amazon.in/White-Feather-Portable-Sealing-Multicolor/dp/B0BMFD94VD/ref=sr_1_143?qid=1672923597&amp;s=kitchen&amp;sr=1-143" TargetMode="External"/><Relationship Id="rId1382" Type="http://schemas.openxmlformats.org/officeDocument/2006/relationships/hyperlink" Target="https://www.amazon.in/Kent-Alkaline-Filter-Pitcher-3-5-litres/dp/B0762HXMTF/ref=sr_1_410?qid=1672923612&amp;s=kitchen&amp;sr=1-410" TargetMode="External"/><Relationship Id="rId790" Type="http://schemas.openxmlformats.org/officeDocument/2006/relationships/hyperlink" Target="https://www.amazon.in/SanDisk-Ultra-UHS-I-Memory-SDSDUN4-032G-GN6IN/dp/B08GYG6T12/ref=sr_1_223?qid=1672903006&amp;s=computers&amp;sr=1-223" TargetMode="External"/><Relationship Id="rId1141" Type="http://schemas.openxmlformats.org/officeDocument/2006/relationships/hyperlink" Target="https://www.amazon.in/Crompton-CG-IHL-1500-Watt-Immersion-Compatible/dp/B00HZIOGXW/ref=sr_1_144?qid=1672923597&amp;s=kitchen&amp;sr=1-144" TargetMode="External"/><Relationship Id="rId1383" Type="http://schemas.openxmlformats.org/officeDocument/2006/relationships/hyperlink" Target="https://www.amazon.in/Sujata-DynaMix-DX-900-Watt-Grinder/dp/B00K57MR22/ref=sr_1_411?qid=1672923612&amp;s=kitchen&amp;sr=1-411" TargetMode="External"/><Relationship Id="rId1142" Type="http://schemas.openxmlformats.org/officeDocument/2006/relationships/hyperlink" Target="https://www.amazon.in/InstaCuppa-Rechargeable-Mini-Electric-Chopper/dp/B09CKSYBLR/ref=sr_1_145?qid=1672923597&amp;s=kitchen&amp;sr=1-145" TargetMode="External"/><Relationship Id="rId1384" Type="http://schemas.openxmlformats.org/officeDocument/2006/relationships/hyperlink" Target="https://www.amazon.in/Lifelong-LLMG74-Mixer-Grinder-White/dp/B07TTSS5MP/ref=sr_1_412?qid=1672923612&amp;s=kitchen&amp;sr=1-412" TargetMode="External"/><Relationship Id="rId312" Type="http://schemas.openxmlformats.org/officeDocument/2006/relationships/hyperlink" Target="https://www.amazon.in/MI-inches-Ready-Android-L32M7-EAIN/dp/B0B8CXTTG3/ref=sr_1_477?qid=1672909147&amp;s=electronics&amp;sr=1-477" TargetMode="External"/><Relationship Id="rId554" Type="http://schemas.openxmlformats.org/officeDocument/2006/relationships/hyperlink" Target="https://www.amazon.in/Sounce-Plated-Headphone-Earphone-Splitter/dp/B08BCKN299/ref=sr_1_375?qid=1672895857&amp;s=electronics&amp;sr=1-375" TargetMode="External"/><Relationship Id="rId796" Type="http://schemas.openxmlformats.org/officeDocument/2006/relationships/hyperlink" Target="https://www.amazon.in/Logitech-C270-HD-Webcam-Black/dp/B008QS9J6Y/ref=sr_1_230?qid=1672903006&amp;s=computers&amp;sr=1-230" TargetMode="External"/><Relationship Id="rId1143" Type="http://schemas.openxmlformats.org/officeDocument/2006/relationships/hyperlink" Target="https://www.amazon.in/Philips-PowerPro-FC9352-01-Compact/dp/B072J83V9W/ref=sr_1_146?qid=1672923597&amp;s=kitchen&amp;sr=1-146" TargetMode="External"/><Relationship Id="rId1385" Type="http://schemas.openxmlformats.org/officeDocument/2006/relationships/hyperlink" Target="https://www.amazon.in/TTK-Prestige-Limited-Grinder-1200ml/dp/B09ZDVL7L8/ref=sr_1_413?qid=1672923612&amp;s=kitchen&amp;sr=1-413" TargetMode="External"/><Relationship Id="rId311" Type="http://schemas.openxmlformats.org/officeDocument/2006/relationships/hyperlink" Target="https://www.amazon.in/Synqe-Charging-Charger-Samsung-Galaxy/dp/B08H5L8V1L/ref=sr_1_476?qid=1672909147&amp;s=electronics&amp;sr=1-476" TargetMode="External"/><Relationship Id="rId553" Type="http://schemas.openxmlformats.org/officeDocument/2006/relationships/hyperlink" Target="https://www.amazon.in/URBN-20000-Li-Polymer-Compact-Charge/dp/B08HF4W2CT/ref=sr_1_372?qid=1672895857&amp;s=electronics&amp;sr=1-372" TargetMode="External"/><Relationship Id="rId795" Type="http://schemas.openxmlformats.org/officeDocument/2006/relationships/hyperlink" Target="https://www.amazon.in/Passport-Portable-External-Drive-Black/dp/B07VTFN6HM/ref=sr_1_229?qid=1672903006&amp;s=computers&amp;sr=1-229" TargetMode="External"/><Relationship Id="rId1144" Type="http://schemas.openxmlformats.org/officeDocument/2006/relationships/hyperlink" Target="https://www.amazon.in/SAIELLIN-Clothes-Sweater-Defuzzer-Trimmer/dp/B09MTLG4TP/ref=sr_1_147?qid=1672923597&amp;s=kitchen&amp;sr=1-147" TargetMode="External"/><Relationship Id="rId1386" Type="http://schemas.openxmlformats.org/officeDocument/2006/relationships/hyperlink" Target="https://www.amazon.in/AGARO-Regal-Electric-Ceramic-functions/dp/B09XHXXCFH/ref=sr_1_412?qid=1672923613&amp;s=kitchen&amp;sr=1-412" TargetMode="External"/><Relationship Id="rId310" Type="http://schemas.openxmlformats.org/officeDocument/2006/relationships/hyperlink" Target="https://www.amazon.in/Sansui-inches-JSY32SKHD-Bezel-less-Design/dp/B09NNJ9WYM/ref=sr_1_475?qid=1672909147&amp;s=electronics&amp;sr=1-475" TargetMode="External"/><Relationship Id="rId552" Type="http://schemas.openxmlformats.org/officeDocument/2006/relationships/hyperlink" Target="https://www.amazon.in/Tokdis-MX-1-Bluetooth-Calling-Smartwatch/dp/B0B82YGCF6/ref=sr_1_370?qid=1672895857&amp;s=electronics&amp;sr=1-370" TargetMode="External"/><Relationship Id="rId794" Type="http://schemas.openxmlformats.org/officeDocument/2006/relationships/hyperlink" Target="https://www.amazon.in/Dyazo-Computer-Adjustable-Ergonomic-Compatible/dp/B08LHTJTBB/ref=sr_1_228?qid=1672903006&amp;s=computers&amp;sr=1-228" TargetMode="External"/><Relationship Id="rId1145" Type="http://schemas.openxmlformats.org/officeDocument/2006/relationships/hyperlink" Target="https://www.amazon.in/Cookwell-Bullet-Mixer-Grinder-Silver/dp/B097XJQZ8H/ref=sr_1_148?qid=1672923597&amp;s=kitchen&amp;sr=1-148" TargetMode="External"/><Relationship Id="rId1387" Type="http://schemas.openxmlformats.org/officeDocument/2006/relationships/hyperlink" Target="https://www.amazon.in/Portable-Rechargeable-Smoothies-Vegetables-BOTTLE/dp/B0BL3R4RGS/ref=sr_1_415?qid=1672923613&amp;s=kitchen&amp;sr=1-415" TargetMode="External"/><Relationship Id="rId551" Type="http://schemas.openxmlformats.org/officeDocument/2006/relationships/hyperlink" Target="https://www.amazon.in/10WERUN-Bluetooth-Smartwatch-Wireless-Fitness/dp/B09RFB2SJQ/ref=sr_1_367?qid=1672895857&amp;s=electronics&amp;sr=1-367" TargetMode="External"/><Relationship Id="rId793" Type="http://schemas.openxmlformats.org/officeDocument/2006/relationships/hyperlink" Target="https://www.amazon.in/Lenovo-GX30M39704-300-USB-Mouse/dp/B073BRXPZX/ref=sr_1_226?qid=1672903006&amp;s=computers&amp;sr=1-226" TargetMode="External"/><Relationship Id="rId1146" Type="http://schemas.openxmlformats.org/officeDocument/2006/relationships/hyperlink" Target="https://www.amazon.in/Prestige-PRWO-1-8-2-700-Watts-Aluminium/dp/B00935MD1C/ref=sr_1_149?qid=1672923597&amp;s=kitchen&amp;sr=1-149" TargetMode="External"/><Relationship Id="rId1388" Type="http://schemas.openxmlformats.org/officeDocument/2006/relationships/hyperlink" Target="https://www.amazon.in/Philips-HD6975-00-25-Litre-Digital/dp/B07P1BR7L8/ref=sr_1_417?qid=1672923613&amp;s=kitchen&amp;sr=1-417" TargetMode="External"/><Relationship Id="rId297" Type="http://schemas.openxmlformats.org/officeDocument/2006/relationships/hyperlink" Target="https://www.amazon.in/Kodak-inches-55CA0909-Digital-Surround/dp/B08XXF5V6G/ref=sr_1_462?qid=1672909147&amp;s=electronics&amp;sr=1-462" TargetMode="External"/><Relationship Id="rId296" Type="http://schemas.openxmlformats.org/officeDocument/2006/relationships/hyperlink" Target="https://www.amazon.in/AmazonBasics-USB-Type-C-Micro-B-Cable/dp/B01LONQBDG/ref=sr_1_458?qid=1672909147&amp;s=electronics&amp;sr=1-458" TargetMode="External"/><Relationship Id="rId295" Type="http://schemas.openxmlformats.org/officeDocument/2006/relationships/hyperlink" Target="https://www.amazon.in/Tuarso-High-Speed-Compatible-Television-Projectors/dp/B0BBMGLQDW/ref=sr_1_457?qid=1672909147&amp;s=electronics&amp;sr=1-457" TargetMode="External"/><Relationship Id="rId294" Type="http://schemas.openxmlformats.org/officeDocument/2006/relationships/hyperlink" Target="https://www.amazon.in/Hisense-inches-Bezelless-Google-50A6H/dp/B0B2C5MJN6/ref=sr_1_456?qid=1672909146&amp;s=electronics&amp;sr=1-456" TargetMode="External"/><Relationship Id="rId299" Type="http://schemas.openxmlformats.org/officeDocument/2006/relationships/hyperlink" Target="https://www.amazon.in/7SEVENTM-Universal-Replacement-Original-Television/dp/B09MMD1FDN/ref=sr_1_464?qid=1672909147&amp;s=electronics&amp;sr=1-464" TargetMode="External"/><Relationship Id="rId298" Type="http://schemas.openxmlformats.org/officeDocument/2006/relationships/hyperlink" Target="https://www.amazon.in/Smashtronics%C2%AE-Silicone-Firestick-Control-Shockproof/dp/B09HK9JH4F/ref=sr_1_463?qid=1672909147&amp;s=electronics&amp;sr=1-463" TargetMode="External"/><Relationship Id="rId271" Type="http://schemas.openxmlformats.org/officeDocument/2006/relationships/hyperlink" Target="https://www.amazon.in/KRISONS-Multimedia-Standing-Bluetooth-Connectivity/dp/B09LRZYBH1/ref=sr_1_388?qid=1672909144&amp;s=electronics&amp;sr=1-388" TargetMode="External"/><Relationship Id="rId270" Type="http://schemas.openxmlformats.org/officeDocument/2006/relationships/hyperlink" Target="https://www.amazon.in/Bluetooth-Transmitter-Receiver-Headphones-Speakers/dp/B0978V2CP6/ref=sr_1_385?qid=1672909144&amp;s=electronics&amp;sr=1-385" TargetMode="External"/><Relationship Id="rId269" Type="http://schemas.openxmlformats.org/officeDocument/2006/relationships/hyperlink" Target="https://www.amazon.in/AmazonBasics-Braided-HDMI-Cable-3-Feet/dp/B075ZTJ9XR/ref=sr_1_380?qid=1672909143&amp;s=electronics&amp;sr=1-380" TargetMode="External"/><Relationship Id="rId264" Type="http://schemas.openxmlformats.org/officeDocument/2006/relationships/hyperlink" Target="https://www.amazon.in/Belkin-Certified-Lightning-Braided-Meters-Black/dp/B084N1BM9L/ref=sr_1_340?qid=1672909141&amp;s=electronics&amp;sr=1-340" TargetMode="External"/><Relationship Id="rId263" Type="http://schemas.openxmlformats.org/officeDocument/2006/relationships/hyperlink" Target="https://www.amazon.in/Wayona-Charger-Samsung-Galaxy-Wc3Cb1/dp/B07F1P8KNV/ref=sr_1_338?qid=1672909141&amp;s=electronics&amp;sr=1-338" TargetMode="External"/><Relationship Id="rId262" Type="http://schemas.openxmlformats.org/officeDocument/2006/relationships/hyperlink" Target="https://www.amazon.in/AmazonBasics-High-Speed-Female-Extension-Cable/dp/B01D5H90L4/ref=sr_1_335?qid=1672909140&amp;s=electronics&amp;sr=1-335" TargetMode="External"/><Relationship Id="rId261" Type="http://schemas.openxmlformats.org/officeDocument/2006/relationships/hyperlink" Target="https://www.amazon.in/AmazonBasics-Certified-Lightning-Charge-Collection/dp/B07DWFX9YS/ref=sr_1_333?qid=1672909140&amp;s=electronics&amp;sr=1-333" TargetMode="External"/><Relationship Id="rId268" Type="http://schemas.openxmlformats.org/officeDocument/2006/relationships/hyperlink" Target="https://www.amazon.in/Lapster-mantra-cable-data-black/dp/B0B61HYR92/ref=sr_1_371?qid=1672909143&amp;s=electronics&amp;sr=1-371" TargetMode="External"/><Relationship Id="rId267" Type="http://schemas.openxmlformats.org/officeDocument/2006/relationships/hyperlink" Target="https://www.amazon.in/Acer-inches-Android-Smart-AR40AR2841FDFL/dp/B0BC9BW512/ref=sr_1_367?qid=1672909143&amp;s=electronics&amp;sr=1-367" TargetMode="External"/><Relationship Id="rId266" Type="http://schemas.openxmlformats.org/officeDocument/2006/relationships/hyperlink" Target="https://www.amazon.in/Realme-Smart-TV-Stick-4K/dp/B09LQQYNZQ/ref=sr_1_352?qid=1672909141&amp;s=electronics&amp;sr=1-352" TargetMode="External"/><Relationship Id="rId265" Type="http://schemas.openxmlformats.org/officeDocument/2006/relationships/hyperlink" Target="https://www.amazon.in/Compatible-Suitable-Control-Non-Support-Netflix/dp/B09F6D21BY/ref=sr_1_344?qid=1672909141&amp;s=electronics&amp;sr=1-344" TargetMode="External"/><Relationship Id="rId260" Type="http://schemas.openxmlformats.org/officeDocument/2006/relationships/hyperlink" Target="https://www.amazon.in/Rugged-V3-Braided-Micro-Cable/dp/B07CRL2GY6/ref=sr_1_329?qid=1672909140&amp;s=electronics&amp;sr=1-329" TargetMode="External"/><Relationship Id="rId259" Type="http://schemas.openxmlformats.org/officeDocument/2006/relationships/hyperlink" Target="https://www.amazon.in/Wayona-Charging-Charger-Samsung-Galaxy/dp/B08CT62BM1/ref=sr_1_326?qid=1672909140&amp;s=electronics&amp;sr=1-326" TargetMode="External"/><Relationship Id="rId258" Type="http://schemas.openxmlformats.org/officeDocument/2006/relationships/hyperlink" Target="https://www.amazon.in/Cablecreation-Audio-Cable-3-5mm-2-Male/dp/B06XFTHCNY/ref=sr_1_305?qid=1672909139&amp;s=electronics&amp;sr=1-305" TargetMode="External"/><Relationship Id="rId253" Type="http://schemas.openxmlformats.org/officeDocument/2006/relationships/hyperlink" Target="https://www.amazon.in/7SEVENTM-Compatible-Android-Original-Replacement/dp/B09RQRZW2X/ref=sr_1_291?qid=1672909139&amp;s=electronics&amp;sr=1-291" TargetMode="External"/><Relationship Id="rId495" Type="http://schemas.openxmlformats.org/officeDocument/2006/relationships/hyperlink" Target="https://www.amazon.in/Portronics-POR-926-Car-Vent-Mobile-Holder/dp/B07GNC2592/ref=sr_1_185?qid=1672895799&amp;s=electronics&amp;sr=1-185" TargetMode="External"/><Relationship Id="rId252" Type="http://schemas.openxmlformats.org/officeDocument/2006/relationships/hyperlink" Target="https://www.amazon.in/7SEVEN-Compatible-Non-Voice-Infrared-Universal/dp/B09B125CFJ/ref=sr_1_290?qid=1672909139&amp;s=electronics&amp;sr=1-290" TargetMode="External"/><Relationship Id="rId494" Type="http://schemas.openxmlformats.org/officeDocument/2006/relationships/hyperlink" Target="https://www.amazon.in/PTron-Force-Bluetooth-Smartwatch-Waterproof/dp/B0B53NXFFR/ref=sr_1_184?qid=1672895799&amp;s=electronics&amp;sr=1-184" TargetMode="External"/><Relationship Id="rId251" Type="http://schemas.openxmlformats.org/officeDocument/2006/relationships/hyperlink" Target="https://www.amazon.in/Sony-Bravia-inches-Google-KD-65X74K/dp/B09WN3SRC7/ref=sr_1_291?qid=1672909138&amp;s=electronics&amp;sr=1-291" TargetMode="External"/><Relationship Id="rId493" Type="http://schemas.openxmlformats.org/officeDocument/2006/relationships/hyperlink" Target="https://www.amazon.in/Noise-Bluetooth-Calling-Function-Monitoring/dp/B09PLFJ7ZW/ref=sr_1_182?qid=1672895799&amp;s=electronics&amp;sr=1-182" TargetMode="External"/><Relationship Id="rId250" Type="http://schemas.openxmlformats.org/officeDocument/2006/relationships/hyperlink" Target="https://www.amazon.in/Croma-transfer-Durability-warranty-CRCMA0106sTC10/dp/B09BW2GP18/ref=sr_1_289?qid=1672909138&amp;s=electronics&amp;sr=1-289" TargetMode="External"/><Relationship Id="rId492" Type="http://schemas.openxmlformats.org/officeDocument/2006/relationships/hyperlink" Target="https://www.amazon.in/Redmi-Meadow-Design-Dimensity-5000mAh/dp/B0BBFJ9M3X/ref=sr_1_179?qid=1672895799&amp;s=electronics&amp;sr=1-179" TargetMode="External"/><Relationship Id="rId257" Type="http://schemas.openxmlformats.org/officeDocument/2006/relationships/hyperlink" Target="https://www.amazon.in/VU-inches-GloLED-Google-65GloLED/dp/B0BC8BQ432/ref=sr_1_302?qid=1672909139&amp;s=electronics&amp;sr=1-302" TargetMode="External"/><Relationship Id="rId499" Type="http://schemas.openxmlformats.org/officeDocument/2006/relationships/hyperlink" Target="https://www.amazon.in/iQOO-Phantom-Snapdragon-FlashCharge-Brightness/dp/B07WHSJXLF/ref=sr_1_192?qid=1672895799&amp;s=electronics&amp;sr=1-192" TargetMode="External"/><Relationship Id="rId256" Type="http://schemas.openxmlformats.org/officeDocument/2006/relationships/hyperlink" Target="https://www.amazon.in/SVM-Products-Premium-Quality-Unbreakable/dp/B07VVXJ2P5/ref=sr_1_300?qid=1672909139&amp;s=electronics&amp;sr=1-300" TargetMode="External"/><Relationship Id="rId498" Type="http://schemas.openxmlformats.org/officeDocument/2006/relationships/hyperlink" Target="https://www.amazon.in/boAt-Wave-Lite-Smartwatch-Multiple/dp/B09V175NP7/ref=sr_1_190?qid=1672895799&amp;s=electronics&amp;sr=1-190" TargetMode="External"/><Relationship Id="rId255" Type="http://schemas.openxmlformats.org/officeDocument/2006/relationships/hyperlink" Target="https://www.amazon.in/FLiX-Textured-charging-Lightning-Smartphones/dp/B08N1WL9XW/ref=sr_1_293?qid=1672909139&amp;s=electronics&amp;sr=1-293" TargetMode="External"/><Relationship Id="rId497" Type="http://schemas.openxmlformats.org/officeDocument/2006/relationships/hyperlink" Target="https://www.amazon.in/boAt-Flash-Smartwatch-Resistance-Lightning/dp/B0949SBKMP/ref=sr_1_188?qid=1672895799&amp;s=electronics&amp;sr=1-188" TargetMode="External"/><Relationship Id="rId254" Type="http://schemas.openxmlformats.org/officeDocument/2006/relationships/hyperlink" Target="https://www.amazon.in/Storite-Feet-Micro-USB-Cable/dp/B07924P3C5/ref=sr_1_292?qid=1672909139&amp;s=electronics&amp;sr=1-292" TargetMode="External"/><Relationship Id="rId496" Type="http://schemas.openxmlformats.org/officeDocument/2006/relationships/hyperlink" Target="https://www.amazon.in/Charger-Multi-Layer-Protection-Certified-Charging/dp/B09TP5KBN7/ref=sr_1_186?qid=1672895799&amp;s=electronics&amp;sr=1-186" TargetMode="External"/><Relationship Id="rId293" Type="http://schemas.openxmlformats.org/officeDocument/2006/relationships/hyperlink" Target="https://www.amazon.in/AmazonBasics-High-Speed-Braided-10-Foot-1-Pack/dp/B07RY2X9MP/ref=sr_1_454?qid=1672909146&amp;s=electronics&amp;sr=1-454" TargetMode="External"/><Relationship Id="rId292" Type="http://schemas.openxmlformats.org/officeDocument/2006/relationships/hyperlink" Target="https://www.amazon.in/V-smash-Firestick-Remote/dp/B09TY4MSH3/ref=sr_1_453?qid=1672909146&amp;s=electronics&amp;sr=1-453" TargetMode="External"/><Relationship Id="rId291" Type="http://schemas.openxmlformats.org/officeDocument/2006/relationships/hyperlink" Target="https://www.amazon.in/AmazonBasics-Double-Braided-Nylon-Type-C/dp/B07CWDX49D/ref=sr_1_452?qid=1672909146&amp;s=electronics&amp;sr=1-452" TargetMode="External"/><Relationship Id="rId290" Type="http://schemas.openxmlformats.org/officeDocument/2006/relationships/hyperlink" Target="https://www.amazon.in/Kodak-inches-32HDX900S-Ready-Black/dp/B06XGWRKYT/ref=sr_1_451?qid=1672909146&amp;s=electronics&amp;sr=1-451" TargetMode="External"/><Relationship Id="rId286" Type="http://schemas.openxmlformats.org/officeDocument/2006/relationships/hyperlink" Target="https://www.amazon.in/Tata-Sky-Digital-Setup-Remote/dp/B08RZ12GKR/ref=sr_1_447?qid=1672909146&amp;s=electronics&amp;sr=1-447" TargetMode="External"/><Relationship Id="rId285" Type="http://schemas.openxmlformats.org/officeDocument/2006/relationships/hyperlink" Target="https://www.amazon.in/LG-inches-Ultra-55UQ7500PSF-Ceramic/dp/B0B3XXSB1K/ref=sr_1_445?qid=1672909146&amp;s=electronics&amp;sr=1-445" TargetMode="External"/><Relationship Id="rId284" Type="http://schemas.openxmlformats.org/officeDocument/2006/relationships/hyperlink" Target="https://www.amazon.in/Amazon-Brand-Charging-Suitable-Supported/dp/B0B94JPY2N/ref=sr_1_444?qid=1672909146&amp;s=electronics&amp;sr=1-444" TargetMode="External"/><Relationship Id="rId283" Type="http://schemas.openxmlformats.org/officeDocument/2006/relationships/hyperlink" Target="https://www.amazon.in/Lenovo-Tangle-free-Aramid-braided-1-2m-transmission-certified/dp/B09PTT8DZF/ref=sr_1_438?qid=1672909146&amp;s=electronics&amp;sr=1-438" TargetMode="External"/><Relationship Id="rId289" Type="http://schemas.openxmlformats.org/officeDocument/2006/relationships/hyperlink" Target="https://www.amazon.in/Storite-USB-3-0-Transfer-Enclosures/dp/B08XXVXP3J/ref=sr_1_450?qid=1672909146&amp;s=electronics&amp;sr=1-450" TargetMode="External"/><Relationship Id="rId288" Type="http://schemas.openxmlformats.org/officeDocument/2006/relationships/hyperlink" Target="https://www.amazon.in/VU-inches-Premium-Smart-43GA/dp/B0B7B9V9QP/ref=sr_1_449?qid=1672909146&amp;s=electronics&amp;sr=1-449" TargetMode="External"/><Relationship Id="rId287" Type="http://schemas.openxmlformats.org/officeDocument/2006/relationships/hyperlink" Target="https://www.amazon.in/pTron-Charging-480Mbps-Durable-Smartphone/dp/B0B4T8RSJ1/ref=sr_1_448?qid=1672909146&amp;s=electronics&amp;sr=1-448" TargetMode="External"/><Relationship Id="rId282" Type="http://schemas.openxmlformats.org/officeDocument/2006/relationships/hyperlink" Target="https://www.amazon.in/Toshiba-inches-Android-43V35KP-Silver/dp/B0B21XL94T/ref=sr_1_425?qid=1672909145&amp;s=electronics&amp;sr=1-425" TargetMode="External"/><Relationship Id="rId281" Type="http://schemas.openxmlformats.org/officeDocument/2006/relationships/hyperlink" Target="https://www.amazon.in/Astigo-Compatible-Remote-Control-Smart/dp/B08TZD7FQN/ref=sr_1_423?qid=1672909145&amp;s=electronics&amp;sr=1-423" TargetMode="External"/><Relationship Id="rId280" Type="http://schemas.openxmlformats.org/officeDocument/2006/relationships/hyperlink" Target="https://www.amazon.in/inches-Horizon-Android-L40M6-EI-Black/dp/B09HQSV46W/ref=sr_1_420?qid=1672909145&amp;s=electronics&amp;sr=1-420" TargetMode="External"/><Relationship Id="rId275" Type="http://schemas.openxmlformats.org/officeDocument/2006/relationships/hyperlink" Target="https://www.amazon.in/inches-Ready-Smart-VW32PRO-Black/dp/B08PZ6HZLT/ref=sr_1_404?qid=1672909144&amp;s=electronics&amp;sr=1-404" TargetMode="External"/><Relationship Id="rId274" Type="http://schemas.openxmlformats.org/officeDocument/2006/relationships/hyperlink" Target="https://www.amazon.in/Wayona-Lightning-Certified-charging-Braided/dp/B09HV71RL1/ref=sr_1_400?qid=1672909144&amp;s=electronics&amp;sr=1-400" TargetMode="External"/><Relationship Id="rId273" Type="http://schemas.openxmlformats.org/officeDocument/2006/relationships/hyperlink" Target="https://www.amazon.in/Dealfreez-Compatible-Shockproof-Silicone-Anti-Lost/dp/B098LCVYPW/ref=sr_1_395?qid=1672909144&amp;s=electronics&amp;sr=1-395" TargetMode="External"/><Relationship Id="rId272" Type="http://schemas.openxmlformats.org/officeDocument/2006/relationships/hyperlink" Target="https://www.amazon.in/Acer-inches-Ultra-Android-AR55AR2851UDPRO/dp/B0B997FBZT/ref=sr_1_394?qid=1672909144&amp;s=electronics&amp;sr=1-394" TargetMode="External"/><Relationship Id="rId279" Type="http://schemas.openxmlformats.org/officeDocument/2006/relationships/hyperlink" Target="https://www.amazon.in/Amazon-Brand-Solimo-Charging-Cable/dp/B09VH568H7/ref=sr_1_415?qid=1672909145&amp;s=electronics&amp;sr=1-415" TargetMode="External"/><Relationship Id="rId278" Type="http://schemas.openxmlformats.org/officeDocument/2006/relationships/hyperlink" Target="https://www.amazon.in/Samsung-inches-Crystal-Ultra-UA55AUE60AKLXL/dp/B092BL5DCX/ref=sr_1_411?qid=1672909145&amp;s=electronics&amp;sr=1-411" TargetMode="External"/><Relationship Id="rId277" Type="http://schemas.openxmlformats.org/officeDocument/2006/relationships/hyperlink" Target="https://www.amazon.in/LOHAYA-Assistant-Compatible-Xstream-Function/dp/B09LV13JFB/ref=sr_1_408?qid=1672909144&amp;s=electronics&amp;sr=1-408" TargetMode="External"/><Relationship Id="rId276" Type="http://schemas.openxmlformats.org/officeDocument/2006/relationships/hyperlink" Target="https://www.amazon.in/Airtel-Digital-TV-Month-Recording/dp/B075TJHWVC/ref=sr_1_407_mod_primary_new?qid=1672909144&amp;s=electronics&amp;sbo=RZvfv%2F%2FHxDF%2BO5021pAnSA%3D%3D&amp;sr=1-407" TargetMode="External"/><Relationship Id="rId907" Type="http://schemas.openxmlformats.org/officeDocument/2006/relationships/hyperlink" Target="https://www.amazon.in/Lenovo-65W-320-15IKBRA-320S-14IKBR-510S-13IKB/dp/B07DJ5KYDZ/ref=sr_1_360?qid=1672903012&amp;s=computers&amp;sr=1-360" TargetMode="External"/><Relationship Id="rId906" Type="http://schemas.openxmlformats.org/officeDocument/2006/relationships/hyperlink" Target="https://www.amazon.in/Camel-Camlin-Kokuyo-Fabrica-Acrylic/dp/B00LY1FN1K/ref=sr_1_359?qid=1672903012&amp;s=computers&amp;sr=1-359" TargetMode="External"/><Relationship Id="rId905" Type="http://schemas.openxmlformats.org/officeDocument/2006/relationships/hyperlink" Target="https://www.amazon.in/Duracell-Chhota-Power-Coins-2025-5/dp/B08Y5QJTVK/ref=sr_1_358?qid=1672903012&amp;s=computers&amp;sr=1-358" TargetMode="External"/><Relationship Id="rId904" Type="http://schemas.openxmlformats.org/officeDocument/2006/relationships/hyperlink" Target="https://www.amazon.in/Smart-Camera-Coverage-Intruder-Google/dp/B09LD3116F/ref=sr_1_357?qid=1672903012&amp;s=computers&amp;sr=1-357" TargetMode="External"/><Relationship Id="rId909" Type="http://schemas.openxmlformats.org/officeDocument/2006/relationships/hyperlink" Target="https://www.amazon.in/Redragon-K617-Keyboard-Mechanical-Supported/dp/B09BVCVTBC/ref=sr_1_362?qid=1672903013&amp;s=computers&amp;sr=1-362" TargetMode="External"/><Relationship Id="rId908" Type="http://schemas.openxmlformats.org/officeDocument/2006/relationships/hyperlink" Target="https://www.amazon.in/HP-B4B09PA-Headphones-with-Mic/dp/B009LJ2BXA/ref=sr_1_361?qid=1672903013&amp;s=computers&amp;sr=1-361" TargetMode="External"/><Relationship Id="rId903" Type="http://schemas.openxmlformats.org/officeDocument/2006/relationships/hyperlink" Target="https://www.amazon.in/URBN-Li-Polymer-Charge-Compact-Certification/dp/B07X963JNS/ref=sr_1_356?qid=1672903012&amp;s=computers&amp;sr=1-356" TargetMode="External"/><Relationship Id="rId902" Type="http://schemas.openxmlformats.org/officeDocument/2006/relationships/hyperlink" Target="https://www.amazon.in/LAPSTER-SATA-CABLE-LAPTOP-DESKTOP/dp/B09F3PDDRF/ref=sr_1_353?qid=1672903012&amp;s=computers&amp;sr=1-353" TargetMode="External"/><Relationship Id="rId901" Type="http://schemas.openxmlformats.org/officeDocument/2006/relationships/hyperlink" Target="https://www.amazon.in/Zebronics-Zeb-Vita-Portable-Speaker-Bluetooth/dp/B0814ZY6FP/ref=sr_1_352?qid=1672903012&amp;s=computers&amp;sr=1-352" TargetMode="External"/><Relationship Id="rId900" Type="http://schemas.openxmlformats.org/officeDocument/2006/relationships/hyperlink" Target="https://www.amazon.in/AmazonBasics-Nylon-Braided-Lightning-Cable/dp/B082T6V3DT/ref=sr_1_351?qid=1672903012&amp;s=computers&amp;sr=1-351" TargetMode="External"/><Relationship Id="rId929" Type="http://schemas.openxmlformats.org/officeDocument/2006/relationships/hyperlink" Target="https://www.amazon.in/SaleOnTM-Portable-Organizer-Earphone-Assorted/dp/B07NTKGW45/ref=sr_1_384?qid=1672903013&amp;s=computers&amp;sr=1-384" TargetMode="External"/><Relationship Id="rId928" Type="http://schemas.openxmlformats.org/officeDocument/2006/relationships/hyperlink" Target="https://www.amazon.in/Zinq-Technologies-ZQ-6600-Intercom-Set-top/dp/B08FGNPQ9X/ref=sr_1_383?qid=1672903013&amp;s=computers&amp;sr=1-383" TargetMode="External"/><Relationship Id="rId927" Type="http://schemas.openxmlformats.org/officeDocument/2006/relationships/hyperlink" Target="https://www.amazon.in/WeCool-Unbreakable-Charging-Purpose-iPhone/dp/B0B4DT8MKT/ref=sr_1_382?qid=1672903013&amp;s=computers&amp;sr=1-382" TargetMode="External"/><Relationship Id="rId926" Type="http://schemas.openxmlformats.org/officeDocument/2006/relationships/hyperlink" Target="https://www.amazon.in/Faber-Castell-Connector-Pen-Set-Assorted/dp/B00DJ5N9VK/ref=sr_1_381?qid=1672903013&amp;s=computers&amp;sr=1-381" TargetMode="External"/><Relationship Id="rId921" Type="http://schemas.openxmlformats.org/officeDocument/2006/relationships/hyperlink" Target="https://www.amazon.in/Parker-Vector-Standard-Ball-Black/dp/B00LZPQVMK/ref=sr_1_374?qid=1672903013&amp;s=computers&amp;sr=1-374" TargetMode="External"/><Relationship Id="rId920" Type="http://schemas.openxmlformats.org/officeDocument/2006/relationships/hyperlink" Target="https://www.amazon.in/Super-Rockerz-400-Bluetooth-Headphones/dp/B01FSYQ2A4/ref=sr_1_373?qid=1672903013&amp;s=computers&amp;sr=1-373" TargetMode="External"/><Relationship Id="rId925" Type="http://schemas.openxmlformats.org/officeDocument/2006/relationships/hyperlink" Target="https://www.amazon.in/AirCase-14-Inch-MacBook-Protective-Neoprene/dp/B07Z1Z77ZZ/ref=sr_1_380?qid=1672903013&amp;s=computers&amp;sr=1-380" TargetMode="External"/><Relationship Id="rId924" Type="http://schemas.openxmlformats.org/officeDocument/2006/relationships/hyperlink" Target="https://www.amazon.in/Samsung-inch-Bezel-Flicker-Monitor-LF24T350FHWXXL/dp/B08J82K4GX/ref=sr_1_379?qid=1672903013&amp;s=computers&amp;sr=1-379" TargetMode="External"/><Relationship Id="rId923" Type="http://schemas.openxmlformats.org/officeDocument/2006/relationships/hyperlink" Target="https://www.amazon.in/Canon-MG2577s-Inkjet-Colour-Printer/dp/B01EJ5MM5M/ref=sr_1_378?qid=1672903013&amp;s=computers&amp;sr=1-378" TargetMode="External"/><Relationship Id="rId922" Type="http://schemas.openxmlformats.org/officeDocument/2006/relationships/hyperlink" Target="https://www.amazon.in/Silicone-Earplugs-Replacement-Earphones-Bluetooth/dp/B08X77LM8C/ref=sr_1_376?qid=1672903013&amp;s=computers&amp;sr=1-376" TargetMode="External"/><Relationship Id="rId918" Type="http://schemas.openxmlformats.org/officeDocument/2006/relationships/hyperlink" Target="https://www.amazon.in/Boult-Audio-Wired-Lightweight-Comfortable/dp/B08FY4FG5X/ref=sr_1_371?qid=1672903013&amp;s=computers&amp;sr=1-371" TargetMode="External"/><Relationship Id="rId917" Type="http://schemas.openxmlformats.org/officeDocument/2006/relationships/hyperlink" Target="https://www.amazon.in/Zebronics-100HB-High-Speed-Port/dp/B07GLNJC25/ref=sr_1_370?qid=1672903013&amp;s=computers&amp;sr=1-370" TargetMode="External"/><Relationship Id="rId916" Type="http://schemas.openxmlformats.org/officeDocument/2006/relationships/hyperlink" Target="https://www.amazon.in/Security-Bluetooth-Connection-Low-Light-Detection/dp/B09CYTJV3N/ref=sr_1_369?qid=1672903013&amp;s=computers&amp;sr=1-369" TargetMode="External"/><Relationship Id="rId915" Type="http://schemas.openxmlformats.org/officeDocument/2006/relationships/hyperlink" Target="https://www.amazon.in/Duracell-Chhota-Power-Coins-2016-5/dp/B08Y57TPDM/ref=sr_1_368?qid=1672903013&amp;s=computers&amp;sr=1-368" TargetMode="External"/><Relationship Id="rId919" Type="http://schemas.openxmlformats.org/officeDocument/2006/relationships/hyperlink" Target="https://www.amazon.in/ESR-iPad-Screen-Protector-Scratch-Resistant/dp/B07TMCXRFV/ref=sr_1_372?qid=1672903013&amp;s=computers&amp;sr=1-372" TargetMode="External"/><Relationship Id="rId910" Type="http://schemas.openxmlformats.org/officeDocument/2006/relationships/hyperlink" Target="https://www.amazon.in/Ambrane-Unbreakable-Charging-RCT15-Supports/dp/B0BFWGBX61/ref=sr_1_363?qid=1672903013&amp;s=computers&amp;sr=1-363" TargetMode="External"/><Relationship Id="rId914" Type="http://schemas.openxmlformats.org/officeDocument/2006/relationships/hyperlink" Target="https://www.amazon.in/Boat-Bassheads-102-Wired-Earphones/dp/B08MTLLSL8/ref=sr_1_367?qid=1672903013&amp;s=computers&amp;sr=1-367" TargetMode="External"/><Relationship Id="rId913" Type="http://schemas.openxmlformats.org/officeDocument/2006/relationships/hyperlink" Target="https://www.amazon.in/Zebronics-Zeb-JUKEBAR-3900-Multimedia-Supporting/dp/B08CRRQK6Z/ref=sr_1_366?qid=1672903013&amp;s=computers&amp;sr=1-366" TargetMode="External"/><Relationship Id="rId912" Type="http://schemas.openxmlformats.org/officeDocument/2006/relationships/hyperlink" Target="https://www.amazon.in/Noise-ColorFit-Bezel-Less-TruView-Display/dp/B094JB13XL/ref=sr_1_365?qid=1672903013&amp;s=computers&amp;sr=1-365" TargetMode="External"/><Relationship Id="rId911" Type="http://schemas.openxmlformats.org/officeDocument/2006/relationships/hyperlink" Target="https://www.amazon.in/HP-GT53XL-135-ml-Black-Bottle/dp/B07SY4C3TD/ref=sr_1_364?qid=1672903013&amp;s=computers&amp;sr=1-364" TargetMode="External"/><Relationship Id="rId1213" Type="http://schemas.openxmlformats.org/officeDocument/2006/relationships/hyperlink" Target="https://www.amazon.in/ROYAL-STEP-Portable-Electric-Rechargeable/dp/B0BNQMF152/ref=sr_1_224?qid=1672923603&amp;s=kitchen&amp;sr=1-224" TargetMode="External"/><Relationship Id="rId1455" Type="http://schemas.openxmlformats.org/officeDocument/2006/relationships/hyperlink" Target="https://www.amazon.in/Usha-812-Thermo-Room-Heater/dp/B07K19NYZ8/ref=sr_1_492?qid=1672923617&amp;s=kitchen&amp;sr=1-492" TargetMode="External"/><Relationship Id="rId1214" Type="http://schemas.openxmlformats.org/officeDocument/2006/relationships/hyperlink" Target="https://www.amazon.in/Kent-Zoom-Vacuum-Cleaner-16068/dp/B08J7VCT12/ref=sr_1_225?qid=1672923603&amp;s=kitchen&amp;sr=1-225" TargetMode="External"/><Relationship Id="rId1456" Type="http://schemas.openxmlformats.org/officeDocument/2006/relationships/hyperlink" Target="https://www.amazon.in/akiara-Tailoring-Stitching-Scissors-Accessories/dp/B08ZXZ362Z/ref=sr_1_493?qid=1672923617&amp;s=kitchen&amp;sr=1-493" TargetMode="External"/><Relationship Id="rId1215" Type="http://schemas.openxmlformats.org/officeDocument/2006/relationships/hyperlink" Target="https://www.amazon.in/Sealing-Machine-Warranty-Function-Plastic/dp/B0989W6J2F/ref=sr_1_226?qid=1672923603&amp;s=kitchen&amp;sr=1-226" TargetMode="External"/><Relationship Id="rId1457" Type="http://schemas.openxmlformats.org/officeDocument/2006/relationships/hyperlink" Target="https://www.amazon.in/Usha-1212-PTC-Adjustable-Thermostat/dp/B00GHL8VP2/ref=sr_1_494?qid=1672923617&amp;s=kitchen&amp;sr=1-494" TargetMode="External"/><Relationship Id="rId1216" Type="http://schemas.openxmlformats.org/officeDocument/2006/relationships/hyperlink" Target="https://www.amazon.in/Heavyweight-Automatic-bacterial-Weilburger-Soleplate/dp/B0B84KSH3X/ref=sr_1_227?qid=1672923603&amp;s=kitchen&amp;sr=1-227" TargetMode="External"/><Relationship Id="rId1458" Type="http://schemas.openxmlformats.org/officeDocument/2006/relationships/hyperlink" Target="https://www.amazon.in/Handheld-Electric-Vegetable-Wireless-Processor/dp/B0B9JZW1SQ/ref=sr_1_495_mod_primary_new?qid=1672923617&amp;s=kitchen&amp;sbo=RZvfv%2F%2FHxDF%2BO5021pAnSA%3D%3D&amp;sr=1-495" TargetMode="External"/><Relationship Id="rId1217" Type="http://schemas.openxmlformats.org/officeDocument/2006/relationships/hyperlink" Target="https://www.amazon.in/Inalsa-Electric-Kettle-Prism-Inox/dp/B08HLC7Z3G/ref=sr_1_229?qid=1672923603&amp;s=kitchen&amp;sr=1-229" TargetMode="External"/><Relationship Id="rId1459" Type="http://schemas.openxmlformats.org/officeDocument/2006/relationships/hyperlink" Target="https://www.amazon.in/Philips-HD9306-06-1-5-Litre-Multicolor/dp/B00TI8E7BI/ref=sr_1_499?qid=1672923617&amp;s=kitchen&amp;sr=1-499" TargetMode="External"/><Relationship Id="rId1218" Type="http://schemas.openxmlformats.org/officeDocument/2006/relationships/hyperlink" Target="https://www.amazon.in/VRPRIME-Remover-Reusable-Easy-Tear-Furniture/dp/B0BN6M3TCM/ref=sr_1_230?qid=1672923603&amp;s=kitchen&amp;sr=1-230" TargetMode="External"/><Relationship Id="rId1219" Type="http://schemas.openxmlformats.org/officeDocument/2006/relationships/hyperlink" Target="https://www.amazon.in/Philips-AC1215-20-Purifier-White/dp/B01L6MT7E0/ref=sr_1_231?qid=1672923603&amp;s=kitchen&amp;sr=1-231" TargetMode="External"/><Relationship Id="rId629" Type="http://schemas.openxmlformats.org/officeDocument/2006/relationships/hyperlink" Target="https://www.amazon.in/ZEBRONICS-Zeb-Dash-Wireless-Receiver-Buttons/dp/B08YDFX7Y1/ref=sr_1_46?qid=1672902996&amp;s=computers&amp;sr=1-46" TargetMode="External"/><Relationship Id="rId624" Type="http://schemas.openxmlformats.org/officeDocument/2006/relationships/hyperlink" Target="https://www.amazon.in/Ambrane-Unbreakable-Charging-Braided-Cable/dp/B098NS6PVG/ref=sr_1_41?qid=1672902996&amp;s=computers&amp;sr=1-41" TargetMode="External"/><Relationship Id="rId866" Type="http://schemas.openxmlformats.org/officeDocument/2006/relationships/hyperlink" Target="https://www.amazon.in/SanDisk-Extreme-Video-Mirrorless-Cameras/dp/B09X7DY7Q4/ref=sr_1_307?qid=1672903010&amp;s=computers&amp;sr=1-307" TargetMode="External"/><Relationship Id="rId623" Type="http://schemas.openxmlformats.org/officeDocument/2006/relationships/hyperlink" Target="https://www.amazon.in/Dell-Wireless-Keyboard-Mouse-Spill-Resistant/dp/B09T3H12GV/ref=sr_1_40?qid=1672902996&amp;s=computers&amp;sr=1-40" TargetMode="External"/><Relationship Id="rId865" Type="http://schemas.openxmlformats.org/officeDocument/2006/relationships/hyperlink" Target="https://www.amazon.in/Lapster-Caddy-Optical-Drive-Laptop/dp/B0BDS8MY8J/ref=sr_1_306?qid=1672903010&amp;s=computers&amp;sr=1-306" TargetMode="External"/><Relationship Id="rId622" Type="http://schemas.openxmlformats.org/officeDocument/2006/relationships/hyperlink" Target="https://www.amazon.in/BassHeads-122-Earphones-Tangle-Straight/dp/B07QZ3CZ48/ref=sr_1_39?qid=1672902996&amp;s=computers&amp;sr=1-39" TargetMode="External"/><Relationship Id="rId864" Type="http://schemas.openxmlformats.org/officeDocument/2006/relationships/hyperlink" Target="https://www.amazon.in/Noise-ColorFit-Bluetooth-Resolution-Smartwatch/dp/B09NC2TY11/ref=sr_1_305?qid=1672903010&amp;s=computers&amp;sr=1-305" TargetMode="External"/><Relationship Id="rId621" Type="http://schemas.openxmlformats.org/officeDocument/2006/relationships/hyperlink" Target="https://www.amazon.in/Fire-Boltt-Smartwatch-Resolution-Connection-Assistance/dp/B0B3N7LR6K/ref=sr_1_38?qid=1672902996&amp;s=computers&amp;sr=1-38" TargetMode="External"/><Relationship Id="rId863" Type="http://schemas.openxmlformats.org/officeDocument/2006/relationships/hyperlink" Target="https://www.amazon.in/IT2M-Designer-Laptop-Computer-12788/dp/B07S7DCJKS/ref=sr_1_303?qid=1672903010&amp;s=computers&amp;sr=1-303" TargetMode="External"/><Relationship Id="rId628" Type="http://schemas.openxmlformats.org/officeDocument/2006/relationships/hyperlink" Target="https://www.amazon.in/HP-Webcam-Wide-Angle-Calling-Microsoft/dp/B08FTFXNNB/ref=sr_1_45?qid=1672902996&amp;s=computers&amp;sr=1-45" TargetMode="External"/><Relationship Id="rId627" Type="http://schemas.openxmlformats.org/officeDocument/2006/relationships/hyperlink" Target="https://www.amazon.in/Seagate-Expansion-1TB-External-HDD/dp/B08ZJDWTJ1/ref=sr_1_44?qid=1672902996&amp;s=computers&amp;sr=1-44" TargetMode="External"/><Relationship Id="rId869" Type="http://schemas.openxmlformats.org/officeDocument/2006/relationships/hyperlink" Target="https://www.amazon.in/Boult-Audio-Bluetooth-Resistant-Assistant/dp/B09ND94ZRG/ref=sr_1_310?qid=1672903010&amp;s=computers&amp;sr=1-310" TargetMode="External"/><Relationship Id="rId626" Type="http://schemas.openxmlformats.org/officeDocument/2006/relationships/hyperlink" Target="https://www.amazon.in/Noise-ColorFit-Bluetooth-Fully-Functional-Brightness/dp/B09ZQK9X8G/ref=sr_1_43?qid=1672902996&amp;s=computers&amp;sr=1-43" TargetMode="External"/><Relationship Id="rId868" Type="http://schemas.openxmlformats.org/officeDocument/2006/relationships/hyperlink" Target="https://www.amazon.in/Lenovo-600-Bluetooth%C2%AE-Silent-Mouse/dp/B08LW31NQ6/ref=sr_1_309?qid=1672903010&amp;s=computers&amp;sr=1-309" TargetMode="External"/><Relationship Id="rId625" Type="http://schemas.openxmlformats.org/officeDocument/2006/relationships/hyperlink" Target="https://www.amazon.in/Sounce-iPhone-Charging-Compatible-Devices/dp/B096MSW6CT/ref=sr_1_42?qid=1672902996&amp;s=computers&amp;sr=1-42" TargetMode="External"/><Relationship Id="rId867" Type="http://schemas.openxmlformats.org/officeDocument/2006/relationships/hyperlink" Target="https://www.amazon.in/Fire-Boltt-Bluetooth-Calling-Monitoring-Functionality/dp/B09YV575RK/ref=sr_1_308?qid=1672903010&amp;s=computers&amp;sr=1-308" TargetMode="External"/><Relationship Id="rId1450" Type="http://schemas.openxmlformats.org/officeDocument/2006/relationships/hyperlink" Target="https://www.amazon.in/IKEA-Frother-Coffee-Drinks-Black/dp/B09LMMFW3S/ref=sr_1_487_mod_primary_new?qid=1672923617&amp;s=kitchen&amp;sbo=RZvfv%2F%2FHxDF%2BO5021pAnSA%3D%3D&amp;sr=1-487" TargetMode="External"/><Relationship Id="rId620" Type="http://schemas.openxmlformats.org/officeDocument/2006/relationships/hyperlink" Target="https://www.amazon.in/BassHeads-152-ToneSecure-Braided-Earphones/dp/B07KY3FNQP/ref=sr_1_37?qid=1672902996&amp;s=computers&amp;sr=1-37" TargetMode="External"/><Relationship Id="rId862" Type="http://schemas.openxmlformats.org/officeDocument/2006/relationships/hyperlink" Target="https://www.amazon.in/Boult-Audio-BassBuds-Oak-Earphones/dp/B091JF2TFD/ref=sr_1_302?qid=1672903010&amp;s=computers&amp;sr=1-302" TargetMode="External"/><Relationship Id="rId1451" Type="http://schemas.openxmlformats.org/officeDocument/2006/relationships/hyperlink" Target="https://www.amazon.in/IONIX-Tap-Multilayer-Filter-Filter-Pack/dp/B0BBLHTRM9/ref=sr_1_488?qid=1672923617&amp;s=kitchen&amp;sr=1-488" TargetMode="External"/><Relationship Id="rId861" Type="http://schemas.openxmlformats.org/officeDocument/2006/relationships/hyperlink" Target="https://www.amazon.in/boAt-Airdopes-191G-Wireless-Appealing/dp/B09X76VL5L/ref=sr_1_301?qid=1672903010&amp;s=computers&amp;sr=1-301" TargetMode="External"/><Relationship Id="rId1210" Type="http://schemas.openxmlformats.org/officeDocument/2006/relationships/hyperlink" Target="https://www.amazon.in/Havells-OFR-13-Wave-Fin/dp/B08MZNT7GP/ref=sr_1_221?qid=1672923603&amp;s=kitchen&amp;sr=1-221" TargetMode="External"/><Relationship Id="rId1452" Type="http://schemas.openxmlformats.org/officeDocument/2006/relationships/hyperlink" Target="https://www.amazon.in/Kitchengenixs-Waffle-Maker-Inch-Watts/dp/B0BJYSCWFQ/ref=sr_1_489?qid=1672923617&amp;s=kitchen&amp;sr=1-489" TargetMode="External"/><Relationship Id="rId860" Type="http://schemas.openxmlformats.org/officeDocument/2006/relationships/hyperlink" Target="https://www.amazon.in/Pilot-Liquid-Roller-Ball-Black/dp/B00LOD70SC/ref=sr_1_300?qid=1672903010&amp;s=computers&amp;sr=1-300" TargetMode="External"/><Relationship Id="rId1211" Type="http://schemas.openxmlformats.org/officeDocument/2006/relationships/hyperlink" Target="https://www.amazon.in/Bajaj-DHX-1000-Watt-Ivory-Color/dp/B009P2L7CO/ref=sr_1_222?qid=1672923603&amp;s=kitchen&amp;sr=1-222" TargetMode="External"/><Relationship Id="rId1453" Type="http://schemas.openxmlformats.org/officeDocument/2006/relationships/hyperlink" Target="https://www.amazon.in/Bajaj-HM-01-250-Watt-Mixer/dp/B0187F2IOK/ref=sr_1_490?qid=1672923617&amp;s=kitchen&amp;sr=1-490" TargetMode="External"/><Relationship Id="rId1212" Type="http://schemas.openxmlformats.org/officeDocument/2006/relationships/hyperlink" Target="https://www.amazon.in/Eureka-Forbes-Amaze-RO-MTDS/dp/B07YC8JHMB/ref=sr_1_223?qid=1672923603&amp;s=kitchen&amp;sr=1-223" TargetMode="External"/><Relationship Id="rId1454" Type="http://schemas.openxmlformats.org/officeDocument/2006/relationships/hyperlink" Target="https://www.amazon.in/Electric-Handheld-BLACK-COFFEE-BEATER/dp/B0B8CB7MHW/ref=sr_1_491?qid=1672923617&amp;s=kitchen&amp;sr=1-491" TargetMode="External"/><Relationship Id="rId1202" Type="http://schemas.openxmlformats.org/officeDocument/2006/relationships/hyperlink" Target="https://www.amazon.in/JM-SELLER-Electric-Beater-180-Watt/dp/B08JV91JTK/ref=sr_1_215?qid=1672923601&amp;s=kitchen&amp;sr=1-215" TargetMode="External"/><Relationship Id="rId1444" Type="http://schemas.openxmlformats.org/officeDocument/2006/relationships/hyperlink" Target="https://www.amazon.in/Havells-Ambrose-1200mm-Ceiling-Pearl/dp/B01L7C4IU2/ref=sr_1_480?qid=1672923615&amp;s=kitchen&amp;sr=1-480" TargetMode="External"/><Relationship Id="rId1203" Type="http://schemas.openxmlformats.org/officeDocument/2006/relationships/hyperlink" Target="https://www.amazon.in/Oratech-electric-cappuccino-Mocktail-Multicolour/dp/B0BQ3K23Y1/ref=sr_1_216?qid=1672923601&amp;s=kitchen&amp;sr=1-216" TargetMode="External"/><Relationship Id="rId1445" Type="http://schemas.openxmlformats.org/officeDocument/2006/relationships/hyperlink" Target="https://www.amazon.in/PHILIPS-Coffee-HD7432-20-Medium/dp/B09H7JDJCW/ref=sr_1_483?qid=1672923615&amp;s=kitchen&amp;sr=1-483" TargetMode="External"/><Relationship Id="rId1204" Type="http://schemas.openxmlformats.org/officeDocument/2006/relationships/hyperlink" Target="https://www.amazon.in/Havells-Glaze-Pearl-Ivory-Ceiling/dp/B09MT94QLL/ref=sr_1_217?qid=1672923601&amp;s=kitchen&amp;sr=1-217" TargetMode="External"/><Relationship Id="rId1446" Type="http://schemas.openxmlformats.org/officeDocument/2006/relationships/hyperlink" Target="https://www.amazon.in/Eureka-Forbes-Euroclean-Vacuum-Cleaner/dp/B07F6GXNPB/ref=sr_1_485?qid=1672923615&amp;s=kitchen&amp;sr=1-485" TargetMode="External"/><Relationship Id="rId1205" Type="http://schemas.openxmlformats.org/officeDocument/2006/relationships/hyperlink" Target="https://www.amazon.in/Ur-NeedsTM-Rocklight-Remover-Fabric/dp/B07NKNBTT3/ref=sr_1_218?qid=1672923601&amp;s=kitchen&amp;sr=1-218" TargetMode="External"/><Relationship Id="rId1447" Type="http://schemas.openxmlformats.org/officeDocument/2006/relationships/hyperlink" Target="https://www.amazon.in/Larrito-Humidifiers-Humidifier-humidifiers-HUMIDIFIRE/dp/B0B97D658R/ref=sr_1_484?qid=1672923617&amp;s=kitchen&amp;sr=1-484" TargetMode="External"/><Relationship Id="rId1206" Type="http://schemas.openxmlformats.org/officeDocument/2006/relationships/hyperlink" Target="https://www.amazon.in/Rico-Japanese-Technology-Rechargeable-Replacement/dp/B09KPXTZXN/ref=sr_1_220?qid=1672923601&amp;s=kitchen&amp;sr=1-220" TargetMode="External"/><Relationship Id="rId1448" Type="http://schemas.openxmlformats.org/officeDocument/2006/relationships/hyperlink" Target="https://www.amazon.in/Hilton-Quartz-Heater-Watt-Certified/dp/B09NFSHCWN/ref=sr_1_485?qid=1672923617&amp;s=kitchen&amp;sr=1-485" TargetMode="External"/><Relationship Id="rId1207" Type="http://schemas.openxmlformats.org/officeDocument/2006/relationships/hyperlink" Target="https://www.amazon.in/Butterfly-150-Watt-Grinder-Scrapper-Attachment/dp/B078HG2ZPS/ref=sr_1_221?qid=1672923601&amp;s=kitchen&amp;sr=1-221" TargetMode="External"/><Relationship Id="rId1449" Type="http://schemas.openxmlformats.org/officeDocument/2006/relationships/hyperlink" Target="https://www.amazon.in/Syska-SDI-07-Stellar-Dry-Iron/dp/B076VQS87V/ref=sr_1_486_mod_primary_new?qid=1672923617&amp;s=kitchen&amp;sbo=RZvfv%2F%2FHxDF%2BO5021pAnSA%3D%3D&amp;sr=1-486" TargetMode="External"/><Relationship Id="rId1208" Type="http://schemas.openxmlformats.org/officeDocument/2006/relationships/hyperlink" Target="https://www.amazon.in/AGARO-Marvel-Litre-Toaster-Griller/dp/B07N2MGB3G/ref=sr_1_222?qid=1672923601&amp;s=kitchen&amp;sr=1-222" TargetMode="External"/><Relationship Id="rId1209" Type="http://schemas.openxmlformats.org/officeDocument/2006/relationships/hyperlink" Target="https://www.amazon.in/Philips-GC1920-28-1440-Watt-Non-Stick/dp/B008LN8KDM/ref=sr_1_220?qid=1672923603&amp;s=kitchen&amp;sr=1-220" TargetMode="External"/><Relationship Id="rId619" Type="http://schemas.openxmlformats.org/officeDocument/2006/relationships/hyperlink" Target="https://www.amazon.in/Scotch-Double-Foam-Tape-24/dp/B00N1U9AJS/ref=sr_1_36?qid=1672902996&amp;s=computers&amp;sr=1-36" TargetMode="External"/><Relationship Id="rId618" Type="http://schemas.openxmlformats.org/officeDocument/2006/relationships/hyperlink" Target="https://www.amazon.in/Classmate-Octane-Neon-Pack-5/dp/B07KCMR8D6/ref=sr_1_35?qid=1672902996&amp;s=computers&amp;sr=1-35" TargetMode="External"/><Relationship Id="rId613" Type="http://schemas.openxmlformats.org/officeDocument/2006/relationships/hyperlink" Target="https://www.amazon.in/Fire-Boltt-Smartwatch-Bluetooth-Calling-Assistance/dp/B09YV4MW2T/ref=sr_1_30?qid=1672902996&amp;s=computers&amp;sr=1-30" TargetMode="External"/><Relationship Id="rId855" Type="http://schemas.openxmlformats.org/officeDocument/2006/relationships/hyperlink" Target="https://www.amazon.in/Logitech-Pebble-M350-Wireless-Bluetooth/dp/B07X2L5Z8C/ref=sr_1_295?qid=1672903010&amp;s=computers&amp;sr=1-295" TargetMode="External"/><Relationship Id="rId612" Type="http://schemas.openxmlformats.org/officeDocument/2006/relationships/hyperlink" Target="https://www.amazon.in/Dell-KB216-Wired-Multimedia-Keyboard/dp/B00ZYLMQH0/ref=sr_1_29?qid=1672902996&amp;s=computers&amp;sr=1-29" TargetMode="External"/><Relationship Id="rId854" Type="http://schemas.openxmlformats.org/officeDocument/2006/relationships/hyperlink" Target="https://www.amazon.in/AmazonBasics-USB-2-0-Cable-Male/dp/B00NH11KIK/ref=sr_1_293?qid=1672903010&amp;s=computers&amp;sr=1-293" TargetMode="External"/><Relationship Id="rId611" Type="http://schemas.openxmlformats.org/officeDocument/2006/relationships/hyperlink" Target="https://www.amazon.in/Boult-Audio-X1-Earphones-Cancellation/dp/B07TCN5VR9/ref=sr_1_28?qid=1672902996&amp;s=computers&amp;sr=1-28" TargetMode="External"/><Relationship Id="rId853" Type="http://schemas.openxmlformats.org/officeDocument/2006/relationships/hyperlink" Target="https://www.amazon.in/DURACELL-Type-C-braided-Charge-Cable/dp/B09C6HWG18/ref=sr_1_292?qid=1672903010&amp;s=computers&amp;sr=1-292" TargetMode="External"/><Relationship Id="rId610" Type="http://schemas.openxmlformats.org/officeDocument/2006/relationships/hyperlink" Target="https://www.amazon.in/Fire-Boltt-Ninja-Smartwatch-Sports-Tracking/dp/B09YV4RG4D/ref=sr_1_27?qid=1672902996&amp;s=computers&amp;sr=1-27" TargetMode="External"/><Relationship Id="rId852" Type="http://schemas.openxmlformats.org/officeDocument/2006/relationships/hyperlink" Target="https://www.amazon.in/Linc-Ball-Point-Pentonic-Multicolor/dp/B07SBGFDX9/ref=sr_1_291?qid=1672903010&amp;s=computers&amp;sr=1-291" TargetMode="External"/><Relationship Id="rId617" Type="http://schemas.openxmlformats.org/officeDocument/2006/relationships/hyperlink" Target="https://www.amazon.in/Duracell-Alkaline-Battery-Duralock-Technology/dp/B014SZO90Y/ref=sr_1_34?qid=1672902996&amp;s=computers&amp;sr=1-34" TargetMode="External"/><Relationship Id="rId859" Type="http://schemas.openxmlformats.org/officeDocument/2006/relationships/hyperlink" Target="https://www.amazon.in/WeCool-Braided-Multifunction-Charging-Android/dp/B07XJYYH7L/ref=sr_1_299?qid=1672903010&amp;s=computers&amp;sr=1-299" TargetMode="External"/><Relationship Id="rId616" Type="http://schemas.openxmlformats.org/officeDocument/2006/relationships/hyperlink" Target="https://www.amazon.in/Wayona-Braided-WN3LG1-Syncing-Charging/dp/B07JW9H4J1/ref=sr_1_33?qid=1672902996&amp;s=computers&amp;sr=1-33" TargetMode="External"/><Relationship Id="rId858" Type="http://schemas.openxmlformats.org/officeDocument/2006/relationships/hyperlink" Target="https://www.amazon.in/Ant-Esports-GM320-Programmable-Comfortable/dp/B08D64C9FN/ref=sr_1_298?qid=1672903010&amp;s=computers&amp;sr=1-298" TargetMode="External"/><Relationship Id="rId615" Type="http://schemas.openxmlformats.org/officeDocument/2006/relationships/hyperlink" Target="https://www.amazon.in/Boya-Omnidirectional-Lavalier-Condenser-Microphone/dp/B076B8G5D8/ref=sr_1_32?qid=1672902996&amp;s=computers&amp;sr=1-32" TargetMode="External"/><Relationship Id="rId857" Type="http://schemas.openxmlformats.org/officeDocument/2006/relationships/hyperlink" Target="https://www.amazon.in/Zebronics-Zeb-Power-Wired-Mouse-Black/dp/B07L9FW9GF/ref=sr_1_297?qid=1672903010&amp;s=computers&amp;sr=1-297" TargetMode="External"/><Relationship Id="rId614" Type="http://schemas.openxmlformats.org/officeDocument/2006/relationships/hyperlink" Target="https://www.amazon.in/Dell-MS116-1000DPI-Wired-Optical/dp/B01HJI0FS2/ref=sr_1_31?qid=1672902996&amp;s=computers&amp;sr=1-31" TargetMode="External"/><Relationship Id="rId856" Type="http://schemas.openxmlformats.org/officeDocument/2006/relationships/hyperlink" Target="https://www.amazon.in/Apsara-Platinum-Pencils-Value-Pack/dp/B00VA7YYUO/ref=sr_1_296?qid=1672903010&amp;s=computers&amp;sr=1-296" TargetMode="External"/><Relationship Id="rId851" Type="http://schemas.openxmlformats.org/officeDocument/2006/relationships/hyperlink" Target="https://www.amazon.in/Classmate-Pulse-Spiral-Notebook-Unruled/dp/B00P93X0VO/ref=sr_1_290?qid=1672903010&amp;s=computers&amp;sr=1-290" TargetMode="External"/><Relationship Id="rId1440" Type="http://schemas.openxmlformats.org/officeDocument/2006/relationships/hyperlink" Target="https://www.amazon.in/Inalsa-Digital-Fryer-Nutri-Fry/dp/B08N6P8G5K/ref=sr_1_475?qid=1672923615&amp;s=kitchen&amp;sr=1-475" TargetMode="External"/><Relationship Id="rId850" Type="http://schemas.openxmlformats.org/officeDocument/2006/relationships/hyperlink" Target="https://www.amazon.in/ProElite-Smart-Generation-Stylus-Translucent/dp/B07Z53L5QL/ref=sr_1_289?qid=1672903010&amp;s=computers&amp;sr=1-289" TargetMode="External"/><Relationship Id="rId1441" Type="http://schemas.openxmlformats.org/officeDocument/2006/relationships/hyperlink" Target="https://www.amazon.in/AmazonBasics-400mm-Pedestal-Remote-White/dp/B07NPBG1B4/ref=sr_1_477?qid=1672923615&amp;s=kitchen&amp;sr=1-477" TargetMode="External"/><Relationship Id="rId1200" Type="http://schemas.openxmlformats.org/officeDocument/2006/relationships/hyperlink" Target="https://www.amazon.in/CROMPTON-Sapphira-Ultra-Ceiling-Lustre/dp/B09SPTNG58/ref=sr_1_213?qid=1672923601&amp;s=kitchen&amp;sr=1-213" TargetMode="External"/><Relationship Id="rId1442" Type="http://schemas.openxmlformats.org/officeDocument/2006/relationships/hyperlink" Target="https://www.amazon.in/Crystal-Cartridge-size-Fresh-Clean/dp/B01MRARGBW/ref=sr_1_478?qid=1672923615&amp;s=kitchen&amp;sr=1-478" TargetMode="External"/><Relationship Id="rId1201" Type="http://schemas.openxmlformats.org/officeDocument/2006/relationships/hyperlink" Target="https://www.amazon.in/Kuber-Industries-Waterproof-Organizer-CTKTC034616/dp/B083J64CBB/ref=sr_1_214?qid=1672923601&amp;s=kitchen&amp;sr=1-214" TargetMode="External"/><Relationship Id="rId1443" Type="http://schemas.openxmlformats.org/officeDocument/2006/relationships/hyperlink" Target="https://www.amazon.in/Borosil-Rio-1-5L-Electric-Kettle/dp/B07VZYMQNZ/ref=sr_1_479?qid=1672923615&amp;s=kitchen&amp;sr=1-479" TargetMode="External"/><Relationship Id="rId1235" Type="http://schemas.openxmlformats.org/officeDocument/2006/relationships/hyperlink" Target="https://www.amazon.in/Sui-Generis-Frother-Electric-Blender/dp/B098T9CJVQ/ref=sr_1_248?qid=1672923605&amp;s=kitchen&amp;sr=1-248" TargetMode="External"/><Relationship Id="rId1236" Type="http://schemas.openxmlformats.org/officeDocument/2006/relationships/hyperlink" Target="https://www.amazon.in/Philips-AeraSense-AC2887-20-Purifier/dp/B01KCSGBU2/ref=sr_1_249?qid=1672923605&amp;s=kitchen&amp;sr=1-249" TargetMode="External"/><Relationship Id="rId1237" Type="http://schemas.openxmlformats.org/officeDocument/2006/relationships/hyperlink" Target="https://www.amazon.in/Esquire-Elite-Laundry-Basket-Colour/dp/B095XCRDQW/ref=sr_1_250?qid=1672923605&amp;s=kitchen&amp;sr=1-250" TargetMode="External"/><Relationship Id="rId1238" Type="http://schemas.openxmlformats.org/officeDocument/2006/relationships/hyperlink" Target="https://www.amazon.in/PHILIPS-Fryer-HD9200-90-Technology/dp/B09CTWFV5W/ref=sr_1_251?qid=1672923605&amp;s=kitchen&amp;sr=1-251" TargetMode="External"/><Relationship Id="rId1239" Type="http://schemas.openxmlformats.org/officeDocument/2006/relationships/hyperlink" Target="https://www.amazon.in/Havells-Quartz-Settings-Product-Warranty/dp/B0B7NWGXS6/ref=sr_1_252?qid=1672923605&amp;s=kitchen&amp;sr=1-252" TargetMode="External"/><Relationship Id="rId409" Type="http://schemas.openxmlformats.org/officeDocument/2006/relationships/hyperlink" Target="https://www.amazon.in/Sounce-Charger-Protector-Charging-Protective/dp/B085HY1DGR/ref=sr_1_76?qid=1672895770&amp;s=electronics&amp;sr=1-76" TargetMode="External"/><Relationship Id="rId404" Type="http://schemas.openxmlformats.org/officeDocument/2006/relationships/hyperlink" Target="https://www.amazon.in/Fire-Boltt-Gladiator-Bluetooth-Assistant-Interactions/dp/B0BP18W8TM/ref=sr_1_71?qid=1672895762&amp;s=electronics&amp;sr=1-71" TargetMode="External"/><Relationship Id="rId646" Type="http://schemas.openxmlformats.org/officeDocument/2006/relationships/hyperlink" Target="https://www.amazon.in/Sounce-Charger-Protector-Charging-Protective/dp/B085HY1DGR/ref=sr_1_64?qid=1672902997&amp;s=computers&amp;sr=1-64" TargetMode="External"/><Relationship Id="rId888" Type="http://schemas.openxmlformats.org/officeDocument/2006/relationships/hyperlink" Target="https://www.amazon.in/Logitech-Silent-Wireless-Mouse-Black/dp/B01MQ2A86A/ref=sr_1_333?qid=1672903011&amp;s=computers&amp;sr=1-333" TargetMode="External"/><Relationship Id="rId403" Type="http://schemas.openxmlformats.org/officeDocument/2006/relationships/hyperlink" Target="https://www.amazon.in/iQOO-Lumina-Blue-128GB-Storage/dp/B07WDKLRM4/ref=sr_1_70?qid=1672895762&amp;s=electronics&amp;sr=1-70" TargetMode="External"/><Relationship Id="rId645" Type="http://schemas.openxmlformats.org/officeDocument/2006/relationships/hyperlink" Target="https://www.amazon.in/805-Black-Original-Ink-Cartridge/dp/B08CYPB15D/ref=sr_1_62?qid=1672902997&amp;s=computers&amp;sr=1-62" TargetMode="External"/><Relationship Id="rId887" Type="http://schemas.openxmlformats.org/officeDocument/2006/relationships/hyperlink" Target="https://www.amazon.in/AmazonBasics-Micro-Charging-Android-Phones/dp/B07232M876/ref=sr_1_332?qid=1672903011&amp;s=computers&amp;sr=1-332" TargetMode="External"/><Relationship Id="rId402" Type="http://schemas.openxmlformats.org/officeDocument/2006/relationships/hyperlink" Target="https://www.amazon.in/Boat-BassHeads-100-Inspired-Earphones/dp/B07GQD4K6L/ref=sr_1_69?qid=1672895762&amp;s=electronics&amp;sr=1-69" TargetMode="External"/><Relationship Id="rId644" Type="http://schemas.openxmlformats.org/officeDocument/2006/relationships/hyperlink" Target="https://www.amazon.in/Solero-TB301-Charging-480Mbps-1-5-Meter/dp/B08Y1TFSP6/ref=sr_1_61?qid=1672902997&amp;s=computers&amp;sr=1-61" TargetMode="External"/><Relationship Id="rId886" Type="http://schemas.openxmlformats.org/officeDocument/2006/relationships/hyperlink" Target="https://www.amazon.in/Robustrion-Smart-Trifold-Stand-Generation/dp/B07YNHCW6N/ref=sr_1_331?qid=1672903011&amp;s=computers&amp;sr=1-331" TargetMode="External"/><Relationship Id="rId401" Type="http://schemas.openxmlformats.org/officeDocument/2006/relationships/hyperlink" Target="https://www.amazon.in/Samsung-Galaxy-Storage-5000mAh-Battery/dp/B0B4F3QNDM/ref=sr_1_68?qid=1672895762&amp;s=electronics&amp;sr=1-68" TargetMode="External"/><Relationship Id="rId643" Type="http://schemas.openxmlformats.org/officeDocument/2006/relationships/hyperlink" Target="https://www.amazon.in/Samsung-microSDXC-Memory-Adapter-MB-MC128KA/dp/B09MT84WV5/ref=sr_1_60?qid=1672902997&amp;s=computers&amp;sr=1-60" TargetMode="External"/><Relationship Id="rId885" Type="http://schemas.openxmlformats.org/officeDocument/2006/relationships/hyperlink" Target="https://www.amazon.in/Infinity-Glide-510-Headphone-Equalizer/dp/B0873L7J6X/ref=sr_1_329?qid=1672903011&amp;s=computers&amp;sr=1-329" TargetMode="External"/><Relationship Id="rId408" Type="http://schemas.openxmlformats.org/officeDocument/2006/relationships/hyperlink" Target="https://www.amazon.in/OnePlus-Nord-Jade-256GB-Storage/dp/B0B3D39RKV/ref=sr_1_75?qid=1672895770&amp;s=electronics&amp;sr=1-75" TargetMode="External"/><Relationship Id="rId407" Type="http://schemas.openxmlformats.org/officeDocument/2006/relationships/hyperlink" Target="https://www.amazon.in/Samsung-Galaxy-SM-R180NZKAINU-Mystic-Black/dp/B08FN6WGDQ/ref=sr_1_74?qid=1672895770&amp;s=electronics&amp;sr=1-74" TargetMode="External"/><Relationship Id="rId649" Type="http://schemas.openxmlformats.org/officeDocument/2006/relationships/hyperlink" Target="https://www.amazon.in/Boult-Audio-Bluetooth-Environmental-Cancellation/dp/B09NR6G588/ref=sr_1_67?qid=1672902997&amp;s=computers&amp;sr=1-67" TargetMode="External"/><Relationship Id="rId406" Type="http://schemas.openxmlformats.org/officeDocument/2006/relationships/hyperlink" Target="https://www.amazon.in/STRIFF-Mobile-Android-Samsung-OnePlus/dp/B07GXHC691/ref=sr_1_73?qid=1672895770&amp;s=electronics&amp;sr=1-73" TargetMode="External"/><Relationship Id="rId648" Type="http://schemas.openxmlformats.org/officeDocument/2006/relationships/hyperlink" Target="https://www.amazon.in/SanDisk-Ultra-128-Drive-Black/dp/B07JJFSG2B/ref=sr_1_66?qid=1672902997&amp;s=computers&amp;sr=1-66" TargetMode="External"/><Relationship Id="rId405" Type="http://schemas.openxmlformats.org/officeDocument/2006/relationships/hyperlink" Target="https://www.amazon.in/Solero-TB301-Charging-480Mbps-1-5-Meter/dp/B08Y1TFSP6/ref=sr_1_72?qid=1672895762&amp;s=electronics&amp;sr=1-72" TargetMode="External"/><Relationship Id="rId647" Type="http://schemas.openxmlformats.org/officeDocument/2006/relationships/hyperlink" Target="https://www.amazon.in/Universal-Silicone-Keyboard-Protector-15-6-inch/dp/B00MFPCY5C/ref=sr_1_65?qid=1672902997&amp;s=computers&amp;sr=1-65" TargetMode="External"/><Relationship Id="rId889" Type="http://schemas.openxmlformats.org/officeDocument/2006/relationships/hyperlink" Target="https://www.amazon.in/Camel-Camlin-Kokuyo-Acrylic-Color/dp/B00KIE28X0/ref=sr_1_334?qid=1672903011&amp;s=computers&amp;sr=1-334" TargetMode="External"/><Relationship Id="rId880" Type="http://schemas.openxmlformats.org/officeDocument/2006/relationships/hyperlink" Target="https://www.amazon.in/Parker-Quink-Ink-Bottle-Black/dp/B00LM4X3XE/ref=sr_1_324?qid=1672903011&amp;s=computers&amp;sr=1-324" TargetMode="External"/><Relationship Id="rId1230" Type="http://schemas.openxmlformats.org/officeDocument/2006/relationships/hyperlink" Target="https://www.amazon.in/ACTIVA-Instant-SPCEIAL-Warranty-Premium/dp/B07W4HTS8Q/ref=sr_1_245?qid=1672923603&amp;s=kitchen&amp;sr=1-245" TargetMode="External"/><Relationship Id="rId400" Type="http://schemas.openxmlformats.org/officeDocument/2006/relationships/hyperlink" Target="https://www.amazon.in/Portronics-Adapto-Adapter-Charger-Charging/dp/B08VS3YLRK/ref=sr_1_67?qid=1672895762&amp;s=electronics&amp;sr=1-67" TargetMode="External"/><Relationship Id="rId642" Type="http://schemas.openxmlformats.org/officeDocument/2006/relationships/hyperlink" Target="https://www.amazon.in/DIGITEK%C2%AE-DTR-260-GT-Flexible/dp/B08LPJZSSW/ref=sr_1_59?qid=1672902997&amp;s=computers&amp;sr=1-59" TargetMode="External"/><Relationship Id="rId884" Type="http://schemas.openxmlformats.org/officeDocument/2006/relationships/hyperlink" Target="https://www.amazon.in/Tukzer-Memory-Foam-Ergonomic-Mousepad-Suitable/dp/B08WLY8V9S/ref=sr_1_328?qid=1672903011&amp;s=computers&amp;sr=1-328" TargetMode="External"/><Relationship Id="rId1231" Type="http://schemas.openxmlformats.org/officeDocument/2006/relationships/hyperlink" Target="https://www.amazon.in/Havells-Instanio-1-Litre-Instant-Geyser/dp/B078JBK4GX/ref=sr_1_244?qid=1672923605&amp;s=kitchen&amp;sr=1-244" TargetMode="External"/><Relationship Id="rId641" Type="http://schemas.openxmlformats.org/officeDocument/2006/relationships/hyperlink" Target="https://www.amazon.in/boAt-Bassheads-242-Wired-Earphones/dp/B08H9Z3XQW/ref=sr_1_58?qid=1672902997&amp;s=computers&amp;sr=1-58" TargetMode="External"/><Relationship Id="rId883" Type="http://schemas.openxmlformats.org/officeDocument/2006/relationships/hyperlink" Target="https://www.amazon.in/D-Link-DWA-131-Wireless-Adapter-Black/dp/B002PD61Y4/ref=sr_1_327?qid=1672903011&amp;s=computers&amp;sr=1-327" TargetMode="External"/><Relationship Id="rId1232" Type="http://schemas.openxmlformats.org/officeDocument/2006/relationships/hyperlink" Target="https://www.amazon.in/Lifelong-Boiler-Poacher-500-Watt-Transparent/dp/B08S7V8YTN/ref=sr_1_245?qid=1672923605&amp;s=kitchen&amp;sr=1-245" TargetMode="External"/><Relationship Id="rId640" Type="http://schemas.openxmlformats.org/officeDocument/2006/relationships/hyperlink" Target="https://www.amazon.in/Tp-Link-300Mbps-AC750-Range-Extender/dp/B00KXULGJQ/ref=sr_1_57?qid=1672902997&amp;s=computers&amp;sr=1-57" TargetMode="External"/><Relationship Id="rId882" Type="http://schemas.openxmlformats.org/officeDocument/2006/relationships/hyperlink" Target="https://www.amazon.in/Zebronics-ZEB-NC3300-Powered-Laptop-Cooling/dp/B07YWS9SP9/ref=sr_1_326?qid=1672903011&amp;s=computers&amp;sr=1-326" TargetMode="External"/><Relationship Id="rId1233" Type="http://schemas.openxmlformats.org/officeDocument/2006/relationships/hyperlink" Target="https://www.amazon.in/Indias-Instant-Bathroom-Kitchen-Hospital/dp/B07H5PBN54/ref=sr_1_246?qid=1672923605&amp;s=kitchen&amp;sr=1-246" TargetMode="External"/><Relationship Id="rId881" Type="http://schemas.openxmlformats.org/officeDocument/2006/relationships/hyperlink" Target="https://www.amazon.in/Sony-Headphones-Customizable-Equalizer-DSEE-Upscale/dp/B09YLFHFDW/ref=sr_1_325?qid=1672903011&amp;s=computers&amp;sr=1-325" TargetMode="External"/><Relationship Id="rId1234" Type="http://schemas.openxmlformats.org/officeDocument/2006/relationships/hyperlink" Target="https://www.amazon.in/AmazonBasics-Induction-Cooktop-1600-Watt/dp/B07YCBSCYB/ref=sr_1_247?qid=1672923605&amp;s=kitchen&amp;sr=1-247" TargetMode="External"/><Relationship Id="rId1224" Type="http://schemas.openxmlformats.org/officeDocument/2006/relationships/hyperlink" Target="https://www.amazon.in/Kitchenwell-Multipurpose-Portable-Electronic-Scale/dp/B0B4SJKRDF/ref=sr_1_239?qid=1672923603&amp;s=kitchen&amp;sr=1-239" TargetMode="External"/><Relationship Id="rId1466" Type="http://schemas.openxmlformats.org/officeDocument/2006/relationships/hyperlink" Target="https://www.amazon.in/Borosil-Jumbo-1000-Watt-Grill-Sandwich/dp/B01486F4G6/ref=sr_1_506?qid=1672923617&amp;s=kitchen&amp;sr=1-506" TargetMode="External"/><Relationship Id="rId1225" Type="http://schemas.openxmlformats.org/officeDocument/2006/relationships/hyperlink" Target="https://www.amazon.in/FIGMENT-Rechargeable-Decoration-ENTERPRISES-A1/dp/B0BM4KTNL1/ref=sr_1_240?qid=1672923603&amp;s=kitchen&amp;sr=1-240" TargetMode="External"/><Relationship Id="rId1467" Type="http://schemas.openxmlformats.org/officeDocument/2006/relationships/drawing" Target="../drawings/drawing1.xml"/><Relationship Id="rId1226" Type="http://schemas.openxmlformats.org/officeDocument/2006/relationships/hyperlink" Target="https://www.amazon.in/Balzano-Speed-Nutri-Blender-Smoothie/dp/B08S6RKT4L/ref=sr_1_241?qid=1672923603&amp;s=kitchen&amp;sr=1-241" TargetMode="External"/><Relationship Id="rId1468" Type="http://schemas.openxmlformats.org/officeDocument/2006/relationships/vmlDrawing" Target="../drawings/vmlDrawing1.vml"/><Relationship Id="rId1227" Type="http://schemas.openxmlformats.org/officeDocument/2006/relationships/hyperlink" Target="https://www.amazon.in/Swiss-Military-VC03-Wireless-Collection/dp/B09SZ5TWHW/ref=sr_1_242?qid=1672923603&amp;s=kitchen&amp;sr=1-242" TargetMode="External"/><Relationship Id="rId1228" Type="http://schemas.openxmlformats.org/officeDocument/2006/relationships/hyperlink" Target="https://www.amazon.in/Zuvexa-Rechargeable-Electric-Foam-Maker/dp/B0BLC2BYPX/ref=sr_1_243?qid=1672923603&amp;s=kitchen&amp;sr=1-243" TargetMode="External"/><Relationship Id="rId1229" Type="http://schemas.openxmlformats.org/officeDocument/2006/relationships/hyperlink" Target="https://www.amazon.in/Usha-IH2415-1500-Watt-Immersion-Heater/dp/B00P0R95EA/ref=sr_1_244?qid=1672923603&amp;s=kitchen&amp;sr=1-244" TargetMode="External"/><Relationship Id="rId635" Type="http://schemas.openxmlformats.org/officeDocument/2006/relationships/hyperlink" Target="https://www.amazon.in/SanDisk-Ultra-Flair-USB-64GB/dp/B07SLMR1K6/ref=sr_1_52?qid=1672902997&amp;s=computers&amp;sr=1-52" TargetMode="External"/><Relationship Id="rId877" Type="http://schemas.openxmlformats.org/officeDocument/2006/relationships/hyperlink" Target="https://www.amazon.in/Games-Gaming-Mousepad-Speed-Large/dp/B08WJ86PV2/ref=sr_1_321?qid=1672903011&amp;s=computers&amp;sr=1-321" TargetMode="External"/><Relationship Id="rId634" Type="http://schemas.openxmlformats.org/officeDocument/2006/relationships/hyperlink" Target="https://www.amazon.in/Portronics-Konnect-POR-1080-Charging-Function/dp/B08CF3B7N1/ref=sr_1_51?qid=1672902997&amp;s=computers&amp;sr=1-51" TargetMode="External"/><Relationship Id="rId876" Type="http://schemas.openxmlformats.org/officeDocument/2006/relationships/hyperlink" Target="https://www.amazon.in/D-Link-DIR-615-Wireless-N300-Router-Black/dp/B0085IATT6/ref=sr_1_320?qid=1672903011&amp;s=computers&amp;sr=1-320" TargetMode="External"/><Relationship Id="rId633" Type="http://schemas.openxmlformats.org/officeDocument/2006/relationships/hyperlink" Target="https://www.amazon.in/Boult-Audio-Lightning-Environmental-Cancellation/dp/B0B31BYXQQ/ref=sr_1_50?qid=1672902997&amp;s=computers&amp;sr=1-50" TargetMode="External"/><Relationship Id="rId875" Type="http://schemas.openxmlformats.org/officeDocument/2006/relationships/hyperlink" Target="https://www.amazon.in/HP-DeskJet-Inkjet-Colour-Printer/dp/B08D9NDZ1Y/ref=sr_1_317?qid=1672903011&amp;s=computers&amp;sr=1-317" TargetMode="External"/><Relationship Id="rId632" Type="http://schemas.openxmlformats.org/officeDocument/2006/relationships/hyperlink" Target="https://www.amazon.in/Syvo-3130-Aluminum-Universal-Lightweight/dp/B07N42JB4S/ref=sr_1_49?qid=1672902997&amp;s=computers&amp;sr=1-49" TargetMode="External"/><Relationship Id="rId874" Type="http://schemas.openxmlformats.org/officeDocument/2006/relationships/hyperlink" Target="https://www.amazon.in/CP-PLUS-Intelligent-Compatible-Communication/dp/B09NNHFSSF/ref=sr_1_316?qid=1672903011&amp;s=computers&amp;sr=1-316" TargetMode="External"/><Relationship Id="rId639" Type="http://schemas.openxmlformats.org/officeDocument/2006/relationships/hyperlink" Target="https://www.amazon.in/Casio-FX-991ES-Plus-2nd-Scientific-Calculator/dp/B0846D5CBP/ref=sr_1_56?qid=1672902997&amp;s=computers&amp;sr=1-56" TargetMode="External"/><Relationship Id="rId638" Type="http://schemas.openxmlformats.org/officeDocument/2006/relationships/hyperlink" Target="https://www.amazon.in/boAt-Rockerz-330-Bluetooth-Assistant/dp/B092X94QNQ/ref=sr_1_55?qid=1672902997&amp;s=computers&amp;sr=1-55" TargetMode="External"/><Relationship Id="rId637" Type="http://schemas.openxmlformats.org/officeDocument/2006/relationships/hyperlink" Target="https://www.amazon.in/Tygot-Bluetooth-Extendable-Multifunctional-Compatible/dp/B094YFFSMY/ref=sr_1_54?qid=1672902997&amp;s=computers&amp;sr=1-54" TargetMode="External"/><Relationship Id="rId879" Type="http://schemas.openxmlformats.org/officeDocument/2006/relationships/hyperlink" Target="https://www.amazon.in/Lenovo-Megapixel-Ultra-Wide-Rotation-Plug-n-Play/dp/B09P22HXH6/ref=sr_1_323?qid=1672903011&amp;s=computers&amp;sr=1-323" TargetMode="External"/><Relationship Id="rId636" Type="http://schemas.openxmlformats.org/officeDocument/2006/relationships/hyperlink" Target="https://www.amazon.in/boAt-Display-Multiple-Monitoring-Charcoal/dp/B09MQSCJQ1/ref=sr_1_53?qid=1672902997&amp;s=computers&amp;sr=1-53" TargetMode="External"/><Relationship Id="rId878" Type="http://schemas.openxmlformats.org/officeDocument/2006/relationships/hyperlink" Target="https://www.amazon.in/Wacom-CTL-472-6-inch-3-5-inch-Graphic/dp/B078HRR1XV/ref=sr_1_322?qid=1672903011&amp;s=computers&amp;sr=1-322" TargetMode="External"/><Relationship Id="rId1460" Type="http://schemas.openxmlformats.org/officeDocument/2006/relationships/hyperlink" Target="https://www.amazon.in/LIBRA-Portable-Heater-Adjustable-Thermostat/dp/B07J9KXQCC/ref=sr_1_500?qid=1672923617&amp;s=kitchen&amp;sr=1-500" TargetMode="External"/><Relationship Id="rId1461" Type="http://schemas.openxmlformats.org/officeDocument/2006/relationships/hyperlink" Target="https://www.amazon.in/Hair-Removers-Laundry-Remover-Reusable/dp/B0B3JSWG81/ref=sr_1_501?qid=1672923617&amp;s=kitchen&amp;sr=1-501" TargetMode="External"/><Relationship Id="rId631" Type="http://schemas.openxmlformats.org/officeDocument/2006/relationships/hyperlink" Target="https://www.amazon.in/Zebronics-Zeb-Companion-107-Wireless-Keyboard/dp/B087FXHB6J/ref=sr_1_48?qid=1672902996&amp;s=computers&amp;sr=1-48" TargetMode="External"/><Relationship Id="rId873" Type="http://schemas.openxmlformats.org/officeDocument/2006/relationships/hyperlink" Target="https://www.amazon.in/Writing-Screenwriting-Digital-Birthday-Multicolor/dp/B07H8W9PB6/ref=sr_1_315?qid=1672903011&amp;s=computers&amp;sr=1-315" TargetMode="External"/><Relationship Id="rId1220" Type="http://schemas.openxmlformats.org/officeDocument/2006/relationships/hyperlink" Target="https://www.amazon.in/Eopora-Ceramic-Heating-Bedroom-Electric/dp/B0B9F9PT8R/ref=sr_1_235?qid=1672923603&amp;s=kitchen&amp;sr=1-235" TargetMode="External"/><Relationship Id="rId1462" Type="http://schemas.openxmlformats.org/officeDocument/2006/relationships/hyperlink" Target="https://www.amazon.in/Noir-Aqua-Spanner-Purifiers-cartridge/dp/B08L7J3T31/ref=sr_1_502?qid=1672923617&amp;s=kitchen&amp;sr=1-502" TargetMode="External"/><Relationship Id="rId630" Type="http://schemas.openxmlformats.org/officeDocument/2006/relationships/hyperlink" Target="https://www.amazon.in/Deuce-300-Resistant-Tangle-Free-Transmission/dp/B08HDJ86NZ/ref=sr_1_47?qid=1672902996&amp;s=computers&amp;sr=1-47" TargetMode="External"/><Relationship Id="rId872" Type="http://schemas.openxmlformats.org/officeDocument/2006/relationships/hyperlink" Target="https://www.amazon.in/Universal-Silicone-Keyboard-Protector-Keyguard/dp/B0994GP1CX/ref=sr_1_314?qid=1672903011&amp;s=computers&amp;sr=1-314" TargetMode="External"/><Relationship Id="rId1221" Type="http://schemas.openxmlformats.org/officeDocument/2006/relationships/hyperlink" Target="https://www.amazon.in/Goliath-GO1200WG-Weight-1200-Watt-Maroon/dp/B0883LQJ6B/ref=sr_1_236?qid=1672923603&amp;s=kitchen&amp;sr=1-236" TargetMode="External"/><Relationship Id="rId1463" Type="http://schemas.openxmlformats.org/officeDocument/2006/relationships/hyperlink" Target="https://www.amazon.in/Prestige-Delight-PRWO-1-Litre-Electric/dp/B01M6453MB/ref=sr_1_503?qid=1672923617&amp;s=kitchen&amp;sr=1-503" TargetMode="External"/><Relationship Id="rId871" Type="http://schemas.openxmlformats.org/officeDocument/2006/relationships/hyperlink" Target="https://www.amazon.in/TP-Link-Archer-T2U-Nano-Wireless/dp/B07KRCW6LZ/ref=sr_1_313?qid=1672903011&amp;s=computers&amp;sr=1-313" TargetMode="External"/><Relationship Id="rId1222" Type="http://schemas.openxmlformats.org/officeDocument/2006/relationships/hyperlink" Target="https://www.amazon.in/Wipro-Electric-Stainless-Automatic-VB021070/dp/B099Z83VRC/ref=sr_1_237?qid=1672923603&amp;s=kitchen&amp;sr=1-237" TargetMode="External"/><Relationship Id="rId1464" Type="http://schemas.openxmlformats.org/officeDocument/2006/relationships/hyperlink" Target="https://www.amazon.in/Bajaj-RX-10-2000-Watt-Convector/dp/B009P2LIL4/ref=sr_1_504?qid=1672923617&amp;s=kitchen&amp;sr=1-504" TargetMode="External"/><Relationship Id="rId870" Type="http://schemas.openxmlformats.org/officeDocument/2006/relationships/hyperlink" Target="https://www.amazon.in/Classmate-Pulse-Spiral-Notebook-Unruled/dp/B00P93X6EK/ref=sr_1_311?qid=1672903010&amp;s=computers&amp;sr=1-311" TargetMode="External"/><Relationship Id="rId1223" Type="http://schemas.openxmlformats.org/officeDocument/2006/relationships/hyperlink" Target="https://www.amazon.in/Philips-Viva-Collection-HR1832-1-5-Litre400-Watt/dp/B00S9BSJC8/ref=sr_1_238?qid=1672923603&amp;s=kitchen&amp;sr=1-238" TargetMode="External"/><Relationship Id="rId1465" Type="http://schemas.openxmlformats.org/officeDocument/2006/relationships/hyperlink" Target="https://www.amazon.in/Havells-Ventilair-230mm-Exhaust-Grey/dp/B00J5DYCCA/ref=sr_1_505?qid=1672923617&amp;s=kitchen&amp;sr=1-505" TargetMode="External"/><Relationship Id="rId1411" Type="http://schemas.openxmlformats.org/officeDocument/2006/relationships/hyperlink" Target="https://www.amazon.in/Measuring-Cups-Spoons-Set-Essential/dp/B06Y36JKC3/ref=sr_1_443?qid=1672923614&amp;s=kitchen&amp;sr=1-443" TargetMode="External"/><Relationship Id="rId1412" Type="http://schemas.openxmlformats.org/officeDocument/2006/relationships/hyperlink" Target="https://www.amazon.in/Sujata-Supermix-AM-007-Watt-Juicer-Grinder/dp/B075S9FVRY/ref=sr_1_444?qid=1672923614&amp;s=kitchen&amp;sr=1-444" TargetMode="External"/><Relationship Id="rId1413" Type="http://schemas.openxmlformats.org/officeDocument/2006/relationships/hyperlink" Target="https://www.amazon.in/Weighing-Multipurpose-Electronic-Measuring-Vegetable/dp/B08SJVD8QD/ref=sr_1_445?qid=1672923614&amp;s=kitchen&amp;sr=1-445" TargetMode="External"/><Relationship Id="rId1414" Type="http://schemas.openxmlformats.org/officeDocument/2006/relationships/hyperlink" Target="https://www.amazon.in/V-Guard-Zenora-Litre-Purifier-Purification/dp/B07FJNNZCJ/ref=sr_1_446?qid=1672923614&amp;s=kitchen&amp;sr=1-446" TargetMode="External"/><Relationship Id="rId1415" Type="http://schemas.openxmlformats.org/officeDocument/2006/relationships/hyperlink" Target="https://www.amazon.in/Bajaj-Jars-Mixer-Grinder-White/dp/B09MFR93KS/ref=sr_1_447?qid=1672923614&amp;s=kitchen&amp;sr=1-447" TargetMode="External"/><Relationship Id="rId1416" Type="http://schemas.openxmlformats.org/officeDocument/2006/relationships/hyperlink" Target="https://www.amazon.in/Kent-Hand-Blender-300-White/dp/B07Y5FDPKV/ref=sr_1_451?qid=1672923614&amp;s=kitchen&amp;sr=1-451" TargetMode="External"/><Relationship Id="rId1417" Type="http://schemas.openxmlformats.org/officeDocument/2006/relationships/hyperlink" Target="https://www.amazon.in/Prestige-PIC-15-0-1900-Watt-Induction/dp/B0756KCV5K/ref=sr_1_452?qid=1672923614&amp;s=kitchen&amp;sr=1-452" TargetMode="External"/><Relationship Id="rId1418" Type="http://schemas.openxmlformats.org/officeDocument/2006/relationships/hyperlink" Target="https://www.amazon.in/Aquadpure-Copper-RO-Automatic-Controller/dp/B0BJ6P3LSK/ref=sr_1_453?qid=1672923614&amp;s=kitchen&amp;sr=1-453" TargetMode="External"/><Relationship Id="rId1419" Type="http://schemas.openxmlformats.org/officeDocument/2006/relationships/hyperlink" Target="https://www.amazon.in/PrettyKrafts-Laundry-Foldable-Multipurpose-Slanting/dp/B09HS1NDRQ/ref=sr_1_454?qid=1672923614&amp;s=kitchen&amp;sr=1-454" TargetMode="External"/><Relationship Id="rId829" Type="http://schemas.openxmlformats.org/officeDocument/2006/relationships/hyperlink" Target="https://www.amazon.in/Fire-Boltt-Bluetooth-Smartwatch-Monitoring-Assistant/dp/B09RKFBCV7/ref=sr_1_265?qid=1672903008&amp;s=computers&amp;sr=1-265" TargetMode="External"/><Relationship Id="rId828" Type="http://schemas.openxmlformats.org/officeDocument/2006/relationships/hyperlink" Target="https://www.amazon.in/OFIXO-Multi-Purpose-Foldable-Portable-Writing/dp/B08HQL67D6/ref=sr_1_264?qid=1672903007&amp;s=computers&amp;sr=1-264" TargetMode="External"/><Relationship Id="rId827" Type="http://schemas.openxmlformats.org/officeDocument/2006/relationships/hyperlink" Target="https://www.amazon.in/Post-Cubes-sheets-colours-inches/dp/B00N1U7JXM/ref=sr_1_262_mod_primary_new?qid=1672903007&amp;s=computers&amp;sbo=RZvfv%2F%2FHxDF%2BO5021pAnSA%3D%3D&amp;sr=1-262" TargetMode="External"/><Relationship Id="rId822" Type="http://schemas.openxmlformats.org/officeDocument/2006/relationships/hyperlink" Target="https://www.amazon.in/Redgear-MP35-Speed-Type-Gaming-Mousepad/dp/B01J1CFO5I/ref=sr_1_257?qid=1672903007&amp;s=computers&amp;sr=1-257" TargetMode="External"/><Relationship Id="rId821" Type="http://schemas.openxmlformats.org/officeDocument/2006/relationships/hyperlink" Target="https://www.amazon.in/Elements-Portable-External-Drive-Black/dp/B06XDKWLJH/ref=sr_1_256?qid=1672903007&amp;s=computers&amp;sr=1-256" TargetMode="External"/><Relationship Id="rId820" Type="http://schemas.openxmlformats.org/officeDocument/2006/relationships/hyperlink" Target="https://www.amazon.in/Ambrane-Charging-Unbreakable-Braided-Connector/dp/B09CMM3VGK/ref=sr_1_255?qid=1672903007&amp;s=computers&amp;sr=1-255" TargetMode="External"/><Relationship Id="rId826" Type="http://schemas.openxmlformats.org/officeDocument/2006/relationships/hyperlink" Target="https://www.amazon.in/Resonate-RouterUPS-CRU12V2-Backup-Router/dp/B017NC2IPM/ref=sr_1_261?qid=1672903007&amp;s=computers&amp;sr=1-261" TargetMode="External"/><Relationship Id="rId825" Type="http://schemas.openxmlformats.org/officeDocument/2006/relationships/hyperlink" Target="https://www.amazon.in/Charging-Braided-Charger-Samsung-Galaxy/dp/B08QSC1XY8/ref=sr_1_260?qid=1672903007&amp;s=computers&amp;sr=1-260" TargetMode="External"/><Relationship Id="rId824" Type="http://schemas.openxmlformats.org/officeDocument/2006/relationships/hyperlink" Target="https://www.amazon.in/Logitech-Multi-Device-Bluetooth-Keyboard-Black/dp/B00MUTWLW4/ref=sr_1_259?qid=1672903007&amp;s=computers&amp;sr=1-259" TargetMode="External"/><Relationship Id="rId823" Type="http://schemas.openxmlformats.org/officeDocument/2006/relationships/hyperlink" Target="https://www.amazon.in/Lenovo-GY50R91293-Wireless-Mouse-Black/dp/B07J2NGB69/ref=sr_1_258?qid=1672903007&amp;s=computers&amp;sr=1-258" TargetMode="External"/><Relationship Id="rId1410" Type="http://schemas.openxmlformats.org/officeDocument/2006/relationships/hyperlink" Target="https://www.amazon.in/Wolpin-Roller-Sheets-Remove-Clothes/dp/B0B59K1C8F/ref=sr_1_442?qid=1672923614&amp;s=kitchen&amp;sr=1-442" TargetMode="External"/><Relationship Id="rId1400" Type="http://schemas.openxmlformats.org/officeDocument/2006/relationships/hyperlink" Target="https://www.amazon.in/AGARO-Double-Layered-Boiling-Protection/dp/B0B3TBY2YX/ref=sr_1_433_mod_primary_new?qid=1672923613&amp;s=kitchen&amp;sbo=RZvfv%2F%2FHxDF%2BO5021pAnSA%3D%3D&amp;sr=1-433" TargetMode="External"/><Relationship Id="rId1401" Type="http://schemas.openxmlformats.org/officeDocument/2006/relationships/hyperlink" Target="https://www.amazon.in/Cafe-JEI-Filtration-Resistant-Borosilicate/dp/B088WCFPQF/ref=sr_1_436?qid=1672923613&amp;s=kitchen&amp;sr=1-436" TargetMode="External"/><Relationship Id="rId1402" Type="http://schemas.openxmlformats.org/officeDocument/2006/relationships/hyperlink" Target="https://www.amazon.in/Borosil-Prime-BGRILLPS11-Grill-Sandwich/dp/B07JZSG42Y/ref=sr_1_437?qid=1672923613&amp;s=kitchen&amp;sr=1-437" TargetMode="External"/><Relationship Id="rId1403" Type="http://schemas.openxmlformats.org/officeDocument/2006/relationships/hyperlink" Target="https://www.amazon.in/Candes-Automatic-Instant-Multiple-Perfecto/dp/B08YRMBK9R/ref=sr_1_438?qid=1672923613&amp;s=kitchen&amp;sr=1-438" TargetMode="External"/><Relationship Id="rId1404" Type="http://schemas.openxmlformats.org/officeDocument/2006/relationships/hyperlink" Target="https://www.amazon.in/Prestige-PSMFB-Sandwich-Toaster-Plates/dp/B00935MGHS/ref=sr_1_436?qid=1672923614&amp;s=kitchen&amp;sr=1-436" TargetMode="External"/><Relationship Id="rId1405" Type="http://schemas.openxmlformats.org/officeDocument/2006/relationships/hyperlink" Target="https://www.amazon.in/iBELL-MPK120L-Stainless-Purpose-Kettle/dp/B07B5XJ572/ref=sr_1_437?qid=1672923614&amp;s=kitchen&amp;sr=1-437" TargetMode="External"/><Relationship Id="rId1406" Type="http://schemas.openxmlformats.org/officeDocument/2006/relationships/hyperlink" Target="https://www.amazon.in/Maharaja-Whiteline-Odacio-550-Watt-Grinder/dp/B086199CWG/ref=sr_1_438?qid=1672923614&amp;s=kitchen&amp;sr=1-438" TargetMode="External"/><Relationship Id="rId1407" Type="http://schemas.openxmlformats.org/officeDocument/2006/relationships/hyperlink" Target="https://www.amazon.in/Shakti-Technology-S3-Pressure-Cleaning/dp/B0BBWJFK5C/ref=sr_1_439?qid=1672923614&amp;s=kitchen&amp;sr=1-439" TargetMode="External"/><Relationship Id="rId819" Type="http://schemas.openxmlformats.org/officeDocument/2006/relationships/hyperlink" Target="https://www.amazon.in/TVARA-Writing-Tablet-Inch-Note/dp/B08WD18LJZ/ref=sr_1_254?qid=1672903007&amp;s=computers&amp;sr=1-254" TargetMode="External"/><Relationship Id="rId1408" Type="http://schemas.openxmlformats.org/officeDocument/2006/relationships/hyperlink" Target="https://www.amazon.in/cello-Stainless-Electric-Kettle-Silver/dp/B07GLS2563/ref=sr_1_440?qid=1672923614&amp;s=kitchen&amp;sr=1-440" TargetMode="External"/><Relationship Id="rId818" Type="http://schemas.openxmlformats.org/officeDocument/2006/relationships/hyperlink" Target="https://www.amazon.in/Zebronics-Zeb-Fame-Multi-Speakers-Control/dp/B07L3NDN24/ref=sr_1_253?qid=1672903007&amp;s=computers&amp;sr=1-253" TargetMode="External"/><Relationship Id="rId1409" Type="http://schemas.openxmlformats.org/officeDocument/2006/relationships/hyperlink" Target="https://www.amazon.in/AGARO-Ultrasonic-Humidifier-4-5Litres-Adjustable/dp/B09P182Z2H/ref=sr_1_441?qid=1672923614&amp;s=kitchen&amp;sr=1-441" TargetMode="External"/><Relationship Id="rId817" Type="http://schemas.openxmlformats.org/officeDocument/2006/relationships/hyperlink" Target="https://www.amazon.in/Seagate-Touch-External-Password-Protection/dp/B094QZLJQ6/ref=sr_1_252?qid=1672903007&amp;s=computers&amp;sr=1-252" TargetMode="External"/><Relationship Id="rId816" Type="http://schemas.openxmlformats.org/officeDocument/2006/relationships/hyperlink" Target="https://www.amazon.in/INOVERA-Extended-Rubber-Stitched-Computer/dp/B09MZ6WZ6V/ref=sr_1_251?qid=1672903007&amp;s=computers&amp;sr=1-251" TargetMode="External"/><Relationship Id="rId811" Type="http://schemas.openxmlformats.org/officeDocument/2006/relationships/hyperlink" Target="https://www.amazon.in/Cuzor-Router-Switching-Moisture-Resistant/dp/B07ZKD8T1Q/ref=sr_1_246?qid=1672903007&amp;s=computers&amp;sr=1-246" TargetMode="External"/><Relationship Id="rId810" Type="http://schemas.openxmlformats.org/officeDocument/2006/relationships/hyperlink" Target="https://www.amazon.in/BRUSTRO-Copytinta-Coloured-Bright-Printing/dp/B095X38CJS/ref=sr_1_245?qid=1672903007&amp;s=computers&amp;sr=1-245" TargetMode="External"/><Relationship Id="rId815" Type="http://schemas.openxmlformats.org/officeDocument/2006/relationships/hyperlink" Target="https://www.amazon.in/ZEBRONICS-Zeb-Evolve-Supporting-Metallic-Blue/dp/B09GFWJDY1/ref=sr_1_250?qid=1672903007&amp;s=computers&amp;sr=1-250" TargetMode="External"/><Relationship Id="rId814" Type="http://schemas.openxmlformats.org/officeDocument/2006/relationships/hyperlink" Target="https://www.amazon.in/Portronics-POR-895-Adjustable-Laptop-Table/dp/B0798PJPCL/ref=sr_1_249?qid=1672903007&amp;s=computers&amp;sr=1-249" TargetMode="External"/><Relationship Id="rId813" Type="http://schemas.openxmlformats.org/officeDocument/2006/relationships/hyperlink" Target="https://www.amazon.in/Classmate-Pulse-Spiral-Notebook-Unruled/dp/B00P93X2H6/ref=sr_1_248?qid=1672903007&amp;s=computers&amp;sr=1-248" TargetMode="External"/><Relationship Id="rId812" Type="http://schemas.openxmlformats.org/officeDocument/2006/relationships/hyperlink" Target="https://www.amazon.in/Crucial-BX500-240GB-2-5-inch-CT240BX500SSD1/dp/B07G3YNLJB/ref=sr_1_247?qid=1672903007&amp;s=computers&amp;sr=1-247" TargetMode="External"/><Relationship Id="rId1433" Type="http://schemas.openxmlformats.org/officeDocument/2006/relationships/hyperlink" Target="https://www.amazon.in/Havells-FHVVEDXOWH08-Ventil-200mm-White/dp/B00KIDSU8S/ref=sr_1_465?qid=1672923615&amp;s=kitchen&amp;sr=1-465" TargetMode="External"/><Relationship Id="rId1434" Type="http://schemas.openxmlformats.org/officeDocument/2006/relationships/hyperlink" Target="https://www.amazon.in/AGARO-Setting-Whisking-Warranty-33554/dp/B0977CGNJJ/ref=sr_1_466?qid=1672923615&amp;s=kitchen&amp;sr=1-466" TargetMode="External"/><Relationship Id="rId1435" Type="http://schemas.openxmlformats.org/officeDocument/2006/relationships/hyperlink" Target="https://www.amazon.in/Crompton-Highspeed-Anti-Dust-Ceiling-Efficient/dp/B08WWKM5HQ/ref=sr_1_467?qid=1672923615&amp;s=kitchen&amp;sr=1-467" TargetMode="External"/><Relationship Id="rId1436" Type="http://schemas.openxmlformats.org/officeDocument/2006/relationships/hyperlink" Target="https://www.amazon.in/Lifelong-Waffled105-750-Watt-Waffle-Maker/dp/B015GX9Y0W/ref=sr_1_468?qid=1672923615&amp;s=kitchen&amp;sr=1-468" TargetMode="External"/><Relationship Id="rId1437" Type="http://schemas.openxmlformats.org/officeDocument/2006/relationships/hyperlink" Target="https://www.amazon.in/Kuber-Industries-Waterproof-Organizer-CTKTC044992/dp/B089BDBDGM/ref=sr_1_469?qid=1672923615&amp;s=kitchen&amp;sr=1-469" TargetMode="External"/><Relationship Id="rId1438" Type="http://schemas.openxmlformats.org/officeDocument/2006/relationships/hyperlink" Target="https://www.amazon.in/Portable-Compact-Electric-Wall-Outlet-Adjustable/dp/B0BPBG712X/ref=sr_1_470?qid=1672923615&amp;s=kitchen&amp;sr=1-470" TargetMode="External"/><Relationship Id="rId1439" Type="http://schemas.openxmlformats.org/officeDocument/2006/relationships/hyperlink" Target="https://www.amazon.in/Karcher-WD-Multi-Purpose-Vacuum-Cleaner/dp/B00JBNZPFM/ref=sr_1_471?qid=1672923615&amp;s=kitchen&amp;sr=1-471" TargetMode="External"/><Relationship Id="rId609" Type="http://schemas.openxmlformats.org/officeDocument/2006/relationships/hyperlink" Target="https://www.amazon.in/Noise-ColorFit-Display-Monitoring-Smartwatches/dp/B09NVPSCQT/ref=sr_1_25?qid=1672902996&amp;s=computers&amp;sr=1-25" TargetMode="External"/><Relationship Id="rId608" Type="http://schemas.openxmlformats.org/officeDocument/2006/relationships/hyperlink" Target="https://www.amazon.in/Portronics-Wireless-Optical-Orientation-Adjustable/dp/B0B296NTFV/ref=sr_1_23?qid=1672902995&amp;s=computers&amp;sr=1-23" TargetMode="External"/><Relationship Id="rId607" Type="http://schemas.openxmlformats.org/officeDocument/2006/relationships/hyperlink" Target="https://www.amazon.in/HP-X1000-Wired-Mouse-Black/dp/B009VCGPSY/ref=sr_1_22?qid=1672902995&amp;s=computers&amp;sr=1-22" TargetMode="External"/><Relationship Id="rId849" Type="http://schemas.openxmlformats.org/officeDocument/2006/relationships/hyperlink" Target="https://www.amazon.in/ENVIE-ECR-20-Charger-Rechargeable-Batteries/dp/B00N3XLDW0/ref=sr_1_288?qid=1672903008&amp;s=computers&amp;sr=1-288" TargetMode="External"/><Relationship Id="rId602" Type="http://schemas.openxmlformats.org/officeDocument/2006/relationships/hyperlink" Target="https://www.amazon.in/boAt-Wave-Lite-Smartwatch-Activity/dp/B09V12K8NT/ref=sr_1_17?qid=1672902995&amp;s=computers&amp;sr=1-17" TargetMode="External"/><Relationship Id="rId844" Type="http://schemas.openxmlformats.org/officeDocument/2006/relationships/hyperlink" Target="https://www.amazon.in/Portronics-Ruffpad-Re-Writable-Writing-Battery/dp/B09VC2D2WG/ref=sr_1_283?qid=1672903008&amp;s=computers&amp;sr=1-283" TargetMode="External"/><Relationship Id="rId601" Type="http://schemas.openxmlformats.org/officeDocument/2006/relationships/hyperlink" Target="https://www.amazon.in/Rockerz-450-Wireless-Bluetooth-Headphone/dp/B07PR1CL3S/ref=sr_1_16?qid=1672902995&amp;s=computers&amp;sr=1-16" TargetMode="External"/><Relationship Id="rId843" Type="http://schemas.openxmlformats.org/officeDocument/2006/relationships/hyperlink" Target="https://www.amazon.in/LS-LAPSTER-Accessories-Adapter-Recorder/dp/B084BR3QX8/ref=sr_1_282?qid=1672903008&amp;s=computers&amp;sr=1-282" TargetMode="External"/><Relationship Id="rId600" Type="http://schemas.openxmlformats.org/officeDocument/2006/relationships/hyperlink" Target="https://www.amazon.in/JBL-C100SI-Ear-Headphones-Black/dp/B01DEWVZ2C/ref=sr_1_15?qid=1672902995&amp;s=computers&amp;sr=1-15" TargetMode="External"/><Relationship Id="rId842" Type="http://schemas.openxmlformats.org/officeDocument/2006/relationships/hyperlink" Target="https://www.amazon.in/Sounce-Type-C-Compatible-Smartphone-Charging/dp/B09RZS1NQT/ref=sr_1_280?qid=1672903008&amp;s=computers&amp;sr=1-280" TargetMode="External"/><Relationship Id="rId841" Type="http://schemas.openxmlformats.org/officeDocument/2006/relationships/hyperlink" Target="https://www.amazon.in/AmazonBasics-Apple-Certified-Lightning-Charging/dp/B07XLCFSSN/ref=sr_1_279?qid=1672903008&amp;s=computers&amp;sr=1-279" TargetMode="External"/><Relationship Id="rId606" Type="http://schemas.openxmlformats.org/officeDocument/2006/relationships/hyperlink" Target="https://www.amazon.in/HP-v236w-64GB-USB-Drive/dp/B01L8ZNWN2/ref=sr_1_21?qid=1672902995&amp;s=computers&amp;sr=1-21" TargetMode="External"/><Relationship Id="rId848" Type="http://schemas.openxmlformats.org/officeDocument/2006/relationships/hyperlink" Target="https://www.amazon.in/Anjaney-Enterprise-Multipurpose-Breakfast-Ergonomic/dp/B09Z7YGV3R/ref=sr_1_287?qid=1672903008&amp;s=computers&amp;sr=1-287" TargetMode="External"/><Relationship Id="rId605" Type="http://schemas.openxmlformats.org/officeDocument/2006/relationships/hyperlink" Target="https://www.amazon.in/PTron-Bullet-Pro-Lightweight-Smartphones/dp/B07WG8PDCW/ref=sr_1_20?qid=1672902995&amp;s=computers&amp;sr=1-20" TargetMode="External"/><Relationship Id="rId847" Type="http://schemas.openxmlformats.org/officeDocument/2006/relationships/hyperlink" Target="https://www.amazon.in/HP-Wired-Mouse-100-6VY96AA/dp/B083RD1J99/ref=sr_1_286?qid=1672903008&amp;s=computers&amp;sr=1-286" TargetMode="External"/><Relationship Id="rId604" Type="http://schemas.openxmlformats.org/officeDocument/2006/relationships/hyperlink" Target="https://www.amazon.in/LAPSTER-Charger-Protectors-Charging-Protective/dp/B08W56G1K9/ref=sr_1_19?qid=1672902995&amp;s=computers&amp;sr=1-19" TargetMode="External"/><Relationship Id="rId846" Type="http://schemas.openxmlformats.org/officeDocument/2006/relationships/hyperlink" Target="https://www.amazon.in/Zebronics-Wonderbar-Powered-Computer-Speaker/dp/B08K9PX15C/ref=sr_1_285?qid=1672903008&amp;s=computers&amp;sr=1-285" TargetMode="External"/><Relationship Id="rId603" Type="http://schemas.openxmlformats.org/officeDocument/2006/relationships/hyperlink" Target="https://www.amazon.in/JBL-C50HI-Ear-Headphones-Black/dp/B07JQKQ91F/ref=sr_1_18?qid=1672902995&amp;s=computers&amp;sr=1-18" TargetMode="External"/><Relationship Id="rId845" Type="http://schemas.openxmlformats.org/officeDocument/2006/relationships/hyperlink" Target="https://www.amazon.in/Verilux%C2%AE-Multiport-Adapter-Portable-Compatible/dp/B09163Q5CD/ref=sr_1_284?qid=1672903008&amp;s=computers&amp;sr=1-284" TargetMode="External"/><Relationship Id="rId840" Type="http://schemas.openxmlformats.org/officeDocument/2006/relationships/hyperlink" Target="https://www.amazon.in/Zebronics-Zeb-Buds-30-Multifunction-Lightweight/dp/B09SGGRKV8/ref=sr_1_278?qid=1672903008&amp;s=computers&amp;sr=1-278" TargetMode="External"/><Relationship Id="rId1430" Type="http://schemas.openxmlformats.org/officeDocument/2006/relationships/hyperlink" Target="https://www.amazon.in/Sujata-Dynamix-900W-900-Watt-Mixer-Grinder/dp/B078JT7LTD/ref=sr_1_462?qid=1672923615&amp;s=kitchen&amp;sr=1-462" TargetMode="External"/><Relationship Id="rId1431" Type="http://schemas.openxmlformats.org/officeDocument/2006/relationships/hyperlink" Target="https://www.amazon.in/Cordless-resistant-soleplate-Vertical-Horizontal/dp/B09WF4Q7B3/ref=sr_1_463?qid=1672923615&amp;s=kitchen&amp;sr=1-463" TargetMode="External"/><Relationship Id="rId1432" Type="http://schemas.openxmlformats.org/officeDocument/2006/relationships/hyperlink" Target="https://www.amazon.in/Vacuum-Mop-Intelligent-Navigation-Connectivity-Assistant/dp/B092R48XXB/ref=sr_1_464?qid=1672923615&amp;s=kitchen&amp;sr=1-464" TargetMode="External"/><Relationship Id="rId1422" Type="http://schemas.openxmlformats.org/officeDocument/2006/relationships/hyperlink" Target="https://www.amazon.in/Dynore-Stainless-Measuring-8-Pieces-DS_45/dp/B01F7B2JCI/ref=sr_1_457?qid=1672923614&amp;s=kitchen&amp;sr=1-457" TargetMode="External"/><Relationship Id="rId1423" Type="http://schemas.openxmlformats.org/officeDocument/2006/relationships/hyperlink" Target="https://www.amazon.in/SAIELLIN-Clothes-Sweater-Defuzzer-Trimmer/dp/B09NNZ1GF7/ref=sr_1_458?qid=1672923614&amp;s=kitchen&amp;sr=1-458" TargetMode="External"/><Relationship Id="rId1424" Type="http://schemas.openxmlformats.org/officeDocument/2006/relationships/hyperlink" Target="https://www.amazon.in/Monitor-Split-AC-Stand-White/dp/B01CS4A5V4/ref=sr_1_459?qid=1672923614&amp;s=kitchen&amp;sr=1-459" TargetMode="External"/><Relationship Id="rId1425" Type="http://schemas.openxmlformats.org/officeDocument/2006/relationships/hyperlink" Target="https://www.amazon.in/Induction-Cooktop-Overheat-Protection-Certified/dp/B0BL11S5QK/ref=sr_1_460?qid=1672923614&amp;s=kitchen&amp;sr=1-460" TargetMode="External"/><Relationship Id="rId1426" Type="http://schemas.openxmlformats.org/officeDocument/2006/relationships/hyperlink" Target="https://www.amazon.in/KENT-POWP-Sediment-Filter-Thread-WCAP/dp/B09BL2KHQW/ref=sr_1_461_mod_primary_new?qid=1672923614&amp;s=kitchen&amp;sbo=RZvfv%2F%2FHxDF%2BO5021pAnSA%3D%3D&amp;sr=1-461" TargetMode="External"/><Relationship Id="rId1427" Type="http://schemas.openxmlformats.org/officeDocument/2006/relationships/hyperlink" Target="https://www.amazon.in/LACOPINE-Mini-Pocket-Roller-White/dp/B081RLM75M/ref=sr_1_462?qid=1672923614&amp;s=kitchen&amp;sr=1-462" TargetMode="External"/><Relationship Id="rId1428" Type="http://schemas.openxmlformats.org/officeDocument/2006/relationships/hyperlink" Target="https://www.amazon.in/SEK170L-Premium-Stainless-Electric-Cut-Off/dp/B07SYYVP69/ref=sr_1_460?qid=1672923615&amp;s=kitchen&amp;sr=1-460" TargetMode="External"/><Relationship Id="rId1429" Type="http://schemas.openxmlformats.org/officeDocument/2006/relationships/hyperlink" Target="https://www.amazon.in/Activa-Nutri-Mixer-Grinder-Lasting/dp/B0BDZWMGZ1/ref=sr_1_461?qid=1672923615&amp;s=kitchen&amp;sr=1-461" TargetMode="External"/><Relationship Id="rId839" Type="http://schemas.openxmlformats.org/officeDocument/2006/relationships/hyperlink" Target="https://www.amazon.in/Envie-1000-4PL-Ni-CD-Rechargeable/dp/B00BN5SNF0/ref=sr_1_276?qid=1672903008&amp;s=computers&amp;sr=1-276" TargetMode="External"/><Relationship Id="rId838" Type="http://schemas.openxmlformats.org/officeDocument/2006/relationships/hyperlink" Target="https://www.amazon.in/pTron-3-5Amps-Charging-480Mbps-Smartphones/dp/B0B4HJNPV4/ref=sr_1_275?qid=1672903008&amp;s=computers&amp;sr=1-275" TargetMode="External"/><Relationship Id="rId833" Type="http://schemas.openxmlformats.org/officeDocument/2006/relationships/hyperlink" Target="https://www.amazon.in/DIGITEK-Portable-Flexible-Compact-Operating/dp/B08B6XWQ1C/ref=sr_1_269?qid=1672903008&amp;s=computers&amp;sr=1-269" TargetMode="External"/><Relationship Id="rId832" Type="http://schemas.openxmlformats.org/officeDocument/2006/relationships/hyperlink" Target="https://www.amazon.in/Logitech-Wireless-mk270r-Keyboard-Mouse/dp/B00CEQEGPI/ref=sr_1_268?qid=1672903008&amp;s=computers&amp;sr=1-268" TargetMode="External"/><Relationship Id="rId831" Type="http://schemas.openxmlformats.org/officeDocument/2006/relationships/hyperlink" Target="https://www.amazon.in/Gizga-Essentials-Laptop-Adapter-Certified/dp/B01IOZUHRS/ref=sr_1_267?qid=1672903008&amp;s=computers&amp;sr=1-267" TargetMode="External"/><Relationship Id="rId830" Type="http://schemas.openxmlformats.org/officeDocument/2006/relationships/hyperlink" Target="https://www.amazon.in/Airtel-DigitalTV-Hotspot-Router-ongle/dp/B08KHM9VBJ/ref=sr_1_266?qid=1672903008&amp;s=computers&amp;sr=1-266" TargetMode="External"/><Relationship Id="rId837" Type="http://schemas.openxmlformats.org/officeDocument/2006/relationships/hyperlink" Target="https://www.amazon.in/Duracell-Ultra-5000688-Rechargeable-Batteries/dp/B00E3DVQFS/ref=sr_1_274?qid=1672903008&amp;s=computers&amp;sr=1-274" TargetMode="External"/><Relationship Id="rId836" Type="http://schemas.openxmlformats.org/officeDocument/2006/relationships/hyperlink" Target="https://www.amazon.in/Kingston-DataTraveler-Exodia-DTX-Flash/dp/B08JD36C6H/ref=sr_1_272?qid=1672903008&amp;s=computers&amp;sr=1-272" TargetMode="External"/><Relationship Id="rId835" Type="http://schemas.openxmlformats.org/officeDocument/2006/relationships/hyperlink" Target="https://www.amazon.in/Samsung-Original-Type-Cable-Meter/dp/B008FWZGSG/ref=sr_1_271?qid=1672903008&amp;s=computers&amp;sr=1-271" TargetMode="External"/><Relationship Id="rId834" Type="http://schemas.openxmlformats.org/officeDocument/2006/relationships/hyperlink" Target="https://www.amazon.in/Technotech-Ethernet-Network-Patch-Cable/dp/B01DGVKBC6/ref=sr_1_270?qid=1672903008&amp;s=computers&amp;sr=1-270" TargetMode="External"/><Relationship Id="rId1420" Type="http://schemas.openxmlformats.org/officeDocument/2006/relationships/hyperlink" Target="https://www.amazon.in/Libra-Athena-Roti-Maker-Black/dp/B018SJJ0GE/ref=sr_1_455?qid=1672923614&amp;s=kitchen&amp;sr=1-455" TargetMode="External"/><Relationship Id="rId1421" Type="http://schemas.openxmlformats.org/officeDocument/2006/relationships/hyperlink" Target="https://www.amazon.in/Glen-Electric-Multi-Cooker-Boiler/dp/B09FPP3R1D/ref=sr_1_456?qid=1672923614&amp;s=kitchen&amp;sr=1-456" TargetMode="External"/><Relationship Id="rId1059" Type="http://schemas.openxmlformats.org/officeDocument/2006/relationships/hyperlink" Target="https://www.amazon.in/Havells-Immersion-HB15-1500-White/dp/B088ZTJT2R/ref=sr_1_48_mod_primary_new?qid=1672923592&amp;s=kitchen&amp;sbo=RZvfv%2F%2FHxDF%2BO5021pAnSA%3D%3D&amp;sr=1-48" TargetMode="External"/><Relationship Id="rId228" Type="http://schemas.openxmlformats.org/officeDocument/2006/relationships/hyperlink" Target="https://www.amazon.in/SoniVision-SA-D100-Theater-Compatible-RM-ANU156/dp/B08DCVRW98/ref=sr_1_247?qid=1672909136&amp;s=electronics&amp;sr=1-247" TargetMode="External"/><Relationship Id="rId227" Type="http://schemas.openxmlformats.org/officeDocument/2006/relationships/hyperlink" Target="https://www.amazon.in/Remote-Compatible-Samsung-Control-Works/dp/B09H39KTTB/ref=sr_1_246?qid=1672909136&amp;s=electronics&amp;sr=1-246" TargetMode="External"/><Relationship Id="rId469" Type="http://schemas.openxmlformats.org/officeDocument/2006/relationships/hyperlink" Target="https://www.amazon.in/DURACELL-Lightning-Certified-braided-Devices/dp/B09C6HXFC1/ref=sr_1_138?qid=1672895784&amp;s=electronics&amp;sr=1-138" TargetMode="External"/><Relationship Id="rId226" Type="http://schemas.openxmlformats.org/officeDocument/2006/relationships/hyperlink" Target="https://www.amazon.in/TATASKY-Connection-Month-Basic-Installation/dp/B07YZG8PPY/ref=sr_1_245?qid=1672909136&amp;s=electronics&amp;sr=1-245" TargetMode="External"/><Relationship Id="rId468" Type="http://schemas.openxmlformats.org/officeDocument/2006/relationships/hyperlink" Target="https://www.amazon.in/Samsung-Original-EHS64AVFWECINU-Stereo-Headset/dp/B01F25X6RQ/ref=sr_1_137?qid=1672895784&amp;s=electronics&amp;sr=1-137" TargetMode="External"/><Relationship Id="rId225" Type="http://schemas.openxmlformats.org/officeDocument/2006/relationships/hyperlink" Target="https://www.amazon.in/Portronics-Konnect-Charging-Resistant-Braided/dp/B09Q8WQ5QJ/ref=sr_1_244?qid=1672909136&amp;s=electronics&amp;sr=1-244" TargetMode="External"/><Relationship Id="rId467" Type="http://schemas.openxmlformats.org/officeDocument/2006/relationships/hyperlink" Target="https://www.amazon.in/iQOO-Storage-Snapdragon-695-6nm-Processor/dp/B07WJWRNVK/ref=sr_1_136?qid=1672895784&amp;s=electronics&amp;sr=1-136" TargetMode="External"/><Relationship Id="rId1290" Type="http://schemas.openxmlformats.org/officeDocument/2006/relationships/hyperlink" Target="https://www.amazon.in/Plastic-Powermatic-Jar-Juicer-Grinder-Chutney/dp/B07Y9PY6Y1/ref=sr_1_307?qid=1672923607&amp;s=kitchen&amp;sr=1-307" TargetMode="External"/><Relationship Id="rId1291" Type="http://schemas.openxmlformats.org/officeDocument/2006/relationships/hyperlink" Target="https://www.amazon.in/Aquadpure-Copper-ADJUSTER-Purifier-Technology/dp/B0BJ966M5K/ref=sr_1_308?qid=1672923607&amp;s=kitchen&amp;sr=1-308" TargetMode="External"/><Relationship Id="rId229" Type="http://schemas.openxmlformats.org/officeDocument/2006/relationships/hyperlink" Target="https://www.amazon.in/RTSTM-Support-10-Meters-Devices/dp/B0718ZN31Q/ref=sr_1_249?qid=1672909136&amp;s=electronics&amp;sr=1-249" TargetMode="External"/><Relationship Id="rId1050" Type="http://schemas.openxmlformats.org/officeDocument/2006/relationships/hyperlink" Target="https://www.amazon.in/Lifelong-LLEK15-Electric-Stainless-Warranty/dp/B096YCN3SD/ref=sr_1_35?qid=1672923592&amp;s=kitchen&amp;sr=1-35" TargetMode="External"/><Relationship Id="rId1292" Type="http://schemas.openxmlformats.org/officeDocument/2006/relationships/hyperlink" Target="https://www.amazon.in/AmazonBasics-Drip-Coffee-Maker-Black/dp/B086GVRP63/ref=sr_1_309?qid=1672923607&amp;s=kitchen&amp;sr=1-309" TargetMode="External"/><Relationship Id="rId220" Type="http://schemas.openxmlformats.org/officeDocument/2006/relationships/hyperlink" Target="https://www.amazon.in/AmazonBasics-AZHDAD01-HDMI-Coupler-Black/dp/B06XR9PR5X/ref=sr_1_239?qid=1672909135&amp;s=electronics&amp;sr=1-239" TargetMode="External"/><Relationship Id="rId462" Type="http://schemas.openxmlformats.org/officeDocument/2006/relationships/hyperlink" Target="https://www.amazon.in/Upgraded-Precision-Sensitivity-Rejection-Adsorption/dp/B09KGV7WSV/ref=sr_1_131?qid=1672895784&amp;s=electronics&amp;sr=1-131" TargetMode="External"/><Relationship Id="rId1051" Type="http://schemas.openxmlformats.org/officeDocument/2006/relationships/hyperlink" Target="https://www.amazon.in/Lifelong-LLQH922-Certified-Overheating-Protection/dp/B09LQH3SD9/ref=sr_1_36?qid=1672923592&amp;s=kitchen&amp;sr=1-36" TargetMode="External"/><Relationship Id="rId1293" Type="http://schemas.openxmlformats.org/officeDocument/2006/relationships/hyperlink" Target="https://www.amazon.in/Crompton-Delight-Circulator-Heater-Settings/dp/B08MVXPTDG/ref=sr_1_311?qid=1672923607&amp;s=kitchen&amp;sr=1-311" TargetMode="External"/><Relationship Id="rId461" Type="http://schemas.openxmlformats.org/officeDocument/2006/relationships/hyperlink" Target="https://www.amazon.in/Spigen-Tempered-Screen-Protector-iPhone/dp/B0B23LW7NV/ref=sr_1_130?qid=1672895784&amp;s=electronics&amp;sr=1-130" TargetMode="External"/><Relationship Id="rId1052" Type="http://schemas.openxmlformats.org/officeDocument/2006/relationships/hyperlink" Target="https://www.amazon.in/Remover-Sweaters-Blankets-Jackets-Carpets/dp/B09KNMLH4Y/ref=sr_1_37_mod_primary_new?qid=1672923592&amp;s=kitchen&amp;sbo=RZvfv%2F%2FHxDF%2BO5021pAnSA%3D%3D&amp;sr=1-37" TargetMode="External"/><Relationship Id="rId1294" Type="http://schemas.openxmlformats.org/officeDocument/2006/relationships/hyperlink" Target="https://www.amazon.in/HANEUL-2000-Watt-Heater-HN-2500-Thermoset/dp/B0BMZ6SY89/ref=sr_1_312?qid=1672923607&amp;s=kitchen&amp;sr=1-312" TargetMode="External"/><Relationship Id="rId460" Type="http://schemas.openxmlformats.org/officeDocument/2006/relationships/hyperlink" Target="https://www.amazon.in/boAt-Wave-Call-Dedicated-Multi-Sport/dp/B0B5CGTBKV/ref=sr_1_128?qid=1672895784&amp;s=electronics&amp;sr=1-128" TargetMode="External"/><Relationship Id="rId1053" Type="http://schemas.openxmlformats.org/officeDocument/2006/relationships/hyperlink" Target="https://www.amazon.in/Bajaj-1500-Watt-Immersion-Heater-Plug/dp/B00ABMASXG/ref=sr_1_38?qid=1672923592&amp;s=kitchen&amp;sr=1-38" TargetMode="External"/><Relationship Id="rId1295" Type="http://schemas.openxmlformats.org/officeDocument/2006/relationships/hyperlink" Target="https://www.amazon.in/Melbon-Blower-Heater-2000-Watt-White/dp/B09P1MFKG1/ref=sr_1_313?qid=1672923607&amp;s=kitchen&amp;sr=1-313" TargetMode="External"/><Relationship Id="rId1054" Type="http://schemas.openxmlformats.org/officeDocument/2006/relationships/hyperlink" Target="https://www.amazon.in/Inalsa-Electric-Kettle-Absa-1500W-Capacity/dp/B07QDSN9V6/ref=sr_1_39?qid=1672923592&amp;s=kitchen&amp;sr=1-39" TargetMode="External"/><Relationship Id="rId1296" Type="http://schemas.openxmlformats.org/officeDocument/2006/relationships/hyperlink" Target="https://www.amazon.in/Plastic-Laundry-Basket-Light-Grey/dp/B01LY9W8AF/ref=sr_1_314?qid=1672923607&amp;s=kitchen&amp;sr=1-314" TargetMode="External"/><Relationship Id="rId224" Type="http://schemas.openxmlformats.org/officeDocument/2006/relationships/hyperlink" Target="https://www.amazon.in/Caprigo-Universal-Monitor-Rotatable-Black-M416/dp/B083GQGT3Z/ref=sr_1_243?qid=1672909136&amp;s=electronics&amp;sr=1-243" TargetMode="External"/><Relationship Id="rId466" Type="http://schemas.openxmlformats.org/officeDocument/2006/relationships/hyperlink" Target="https://www.amazon.in/Mi-Braided-USB-Type-C-Cable/dp/B083342NKJ/ref=sr_1_135?qid=1672895784&amp;s=electronics&amp;sr=1-135" TargetMode="External"/><Relationship Id="rId1055" Type="http://schemas.openxmlformats.org/officeDocument/2006/relationships/hyperlink" Target="https://www.amazon.in/Prestige-PIC-20-Induction-Cooktop/dp/B00YMJ0OI8/ref=sr_1_43?qid=1672923592&amp;s=kitchen&amp;sr=1-43" TargetMode="External"/><Relationship Id="rId1297" Type="http://schemas.openxmlformats.org/officeDocument/2006/relationships/hyperlink" Target="https://www.amazon.in/ACTIVA-APSRA-Approved-Ceiling-Warranty/dp/B07ZJND9B9/ref=sr_1_315?qid=1672923607&amp;s=kitchen&amp;sr=1-315" TargetMode="External"/><Relationship Id="rId223" Type="http://schemas.openxmlformats.org/officeDocument/2006/relationships/hyperlink" Target="https://www.amazon.in/Astigo-Compatible-Remote-Airtel-Set/dp/B09127FZCK/ref=sr_1_242?qid=1672909136&amp;s=electronics&amp;sr=1-242" TargetMode="External"/><Relationship Id="rId465" Type="http://schemas.openxmlformats.org/officeDocument/2006/relationships/hyperlink" Target="https://www.amazon.in/PTron-Force-Bluetooth-Smartwatch-Waterproof/dp/B0B53QFZPY/ref=sr_1_134?qid=1672895784&amp;s=electronics&amp;sr=1-134" TargetMode="External"/><Relationship Id="rId1056" Type="http://schemas.openxmlformats.org/officeDocument/2006/relationships/hyperlink" Target="https://www.amazon.in/Pigeon-Healthifry-Circulation-Technology-Non-Stick/dp/B0B8XNPQPN/ref=sr_1_44?qid=1672923592&amp;s=kitchen&amp;sr=1-44" TargetMode="External"/><Relationship Id="rId1298" Type="http://schemas.openxmlformats.org/officeDocument/2006/relationships/hyperlink" Target="https://www.amazon.in/Shakti-Technology-S5-Pressure-Machine/dp/B0B2CWRDB1/ref=sr_1_316?qid=1672923607&amp;s=kitchen&amp;sr=1-316" TargetMode="External"/><Relationship Id="rId222" Type="http://schemas.openxmlformats.org/officeDocument/2006/relationships/hyperlink" Target="https://www.amazon.in/Wayona-Braided-WN3LB2-Syncing-Charging/dp/B07JH1CBGW/ref=sr_1_241?qid=1672909136&amp;s=electronics&amp;sr=1-241" TargetMode="External"/><Relationship Id="rId464" Type="http://schemas.openxmlformats.org/officeDocument/2006/relationships/hyperlink" Target="https://www.amazon.in/boAt-Launched-Ultra-Seamless-Personalization-Charcoal/dp/B0BNV7JM5Y/ref=sr_1_133?qid=1672895784&amp;s=electronics&amp;sr=1-133" TargetMode="External"/><Relationship Id="rId1057" Type="http://schemas.openxmlformats.org/officeDocument/2006/relationships/hyperlink" Target="https://www.amazon.in/PrettyKrafts-Laundry-Basket-Clothes-Handles/dp/B0814P4L98/ref=sr_1_45?qid=1672923592&amp;s=kitchen&amp;sr=1-45" TargetMode="External"/><Relationship Id="rId1299" Type="http://schemas.openxmlformats.org/officeDocument/2006/relationships/hyperlink" Target="https://www.amazon.in/American-Micronic-AMI-VCD21-1600WDx-Wet-1600Watts-21-litres-Stainless/dp/B072NCN9M4/ref=sr_1_317?qid=1672923607&amp;s=kitchen&amp;sr=1-317" TargetMode="External"/><Relationship Id="rId221" Type="http://schemas.openxmlformats.org/officeDocument/2006/relationships/hyperlink" Target="https://www.amazon.in/boAt-LTG-550v3-Lightning-Resistance/dp/B09JSW16QD/ref=sr_1_240?qid=1672909135&amp;s=electronics&amp;sr=1-240" TargetMode="External"/><Relationship Id="rId463" Type="http://schemas.openxmlformats.org/officeDocument/2006/relationships/hyperlink" Target="https://www.amazon.in/Portronics-CarPower-Charger-Output-Black/dp/B0971DWFDT/ref=sr_1_132?qid=1672895784&amp;s=electronics&amp;sr=1-132" TargetMode="External"/><Relationship Id="rId1058" Type="http://schemas.openxmlformats.org/officeDocument/2006/relationships/hyperlink" Target="https://www.amazon.in/Philips-GC1905-1440-Watt-Steam-Spray/dp/B008QTK47Q/ref=sr_1_47?qid=1672923592&amp;s=kitchen&amp;sr=1-47" TargetMode="External"/><Relationship Id="rId1048" Type="http://schemas.openxmlformats.org/officeDocument/2006/relationships/hyperlink" Target="https://www.amazon.in/Bajaj-Majesty-1000-Watt-Iron-White/dp/B01C8P29T4/ref=sr_1_33?qid=1672923592&amp;s=kitchen&amp;sr=1-33" TargetMode="External"/><Relationship Id="rId1049" Type="http://schemas.openxmlformats.org/officeDocument/2006/relationships/hyperlink" Target="https://www.amazon.in/Bajaj-Rex-500-Watt-Mixer-Grinder/dp/B00HVXS7WC/ref=sr_1_34?qid=1672923592&amp;s=kitchen&amp;sr=1-34" TargetMode="External"/><Relationship Id="rId217" Type="http://schemas.openxmlformats.org/officeDocument/2006/relationships/hyperlink" Target="https://www.amazon.in/Karbonn-Millennium-KJW32NSHDF-Phantom-Bezel-Less/dp/B0B467CCB9/ref=sr_1_236?qid=1672909135&amp;s=electronics&amp;sr=1-236" TargetMode="External"/><Relationship Id="rId459" Type="http://schemas.openxmlformats.org/officeDocument/2006/relationships/hyperlink" Target="https://www.amazon.in/boAt-Wave-Lite-Smartwatch-Multiple/dp/B09V17S2BG/ref=sr_1_127?qid=1672895784&amp;s=electronics&amp;sr=1-127" TargetMode="External"/><Relationship Id="rId216" Type="http://schemas.openxmlformats.org/officeDocument/2006/relationships/hyperlink" Target="https://www.amazon.in/CrypoTM-Universal-Remote-Compatible-Sky/dp/B0841KQR1Z/ref=sr_1_235?qid=1672909135&amp;s=electronics&amp;sr=1-235" TargetMode="External"/><Relationship Id="rId458" Type="http://schemas.openxmlformats.org/officeDocument/2006/relationships/hyperlink" Target="https://www.amazon.in/Portronics-Konnect-POR-1401-Charging-Function/dp/B09KLVMZ3B/ref=sr_1_126?qid=1672895784&amp;s=electronics&amp;sr=1-126" TargetMode="External"/><Relationship Id="rId215" Type="http://schemas.openxmlformats.org/officeDocument/2006/relationships/hyperlink" Target="https://www.amazon.in/Amazon-Basics-Lightning-Certified-Charging/dp/B0B8SSZ76F/ref=sr_1_234?qid=1672909135&amp;s=electronics&amp;sr=1-234" TargetMode="External"/><Relationship Id="rId457" Type="http://schemas.openxmlformats.org/officeDocument/2006/relationships/hyperlink" Target="https://www.amazon.in/Motorola-keypad-Mobile-Expandable-Battery/dp/B09JS562TP/ref=sr_1_125?qid=1672895784&amp;s=electronics&amp;sr=1-125" TargetMode="External"/><Relationship Id="rId699" Type="http://schemas.openxmlformats.org/officeDocument/2006/relationships/hyperlink" Target="https://www.amazon.in/Logitech-H111-Stero-Headset-Black/dp/B00Y4ORQ46/ref=sr_1_123?qid=1672903001&amp;s=computers&amp;sr=1-123" TargetMode="External"/><Relationship Id="rId214" Type="http://schemas.openxmlformats.org/officeDocument/2006/relationships/hyperlink" Target="https://www.amazon.in/AmazonBasics-Extension-Cable-2-Pack-Female/dp/B00NH13Q8W/ref=sr_1_233?qid=1672909135&amp;s=electronics&amp;sr=1-233" TargetMode="External"/><Relationship Id="rId456" Type="http://schemas.openxmlformats.org/officeDocument/2006/relationships/hyperlink" Target="https://www.amazon.in/Portronics-Konnect-Delivery-Support-Braided/dp/B085DTN6R2/ref=sr_1_124?qid=1672895784&amp;s=electronics&amp;sr=1-124" TargetMode="External"/><Relationship Id="rId698" Type="http://schemas.openxmlformats.org/officeDocument/2006/relationships/hyperlink" Target="https://www.amazon.in/682-Black-Original-Ink-Cartridge/dp/B08CYNJ5KY/ref=sr_1_122?qid=1672903001&amp;s=computers&amp;sr=1-122" TargetMode="External"/><Relationship Id="rId219" Type="http://schemas.openxmlformats.org/officeDocument/2006/relationships/hyperlink" Target="https://www.amazon.in/Meter-Speed-Plated-Female-Extension/dp/B08PPHFXG3/ref=sr_1_238?qid=1672909135&amp;s=electronics&amp;sr=1-238" TargetMode="External"/><Relationship Id="rId1280" Type="http://schemas.openxmlformats.org/officeDocument/2006/relationships/hyperlink" Target="https://www.amazon.in/Crompton-Greaves-ASWH-2015-15-Litre-Storage/dp/B07JGCGNDG/ref=sr_1_294_mod_primary_new?qid=1672923607&amp;s=kitchen&amp;sbo=RZvfv%2F%2FHxDF%2BO5021pAnSA%3D%3D&amp;sr=1-294" TargetMode="External"/><Relationship Id="rId218" Type="http://schemas.openxmlformats.org/officeDocument/2006/relationships/hyperlink" Target="https://www.amazon.in/OnePlus-138-7-inches-Android-55U1S/dp/B095JQVC7N/ref=sr_1_237?qid=1672909135&amp;s=electronics&amp;sr=1-237" TargetMode="External"/><Relationship Id="rId1281" Type="http://schemas.openxmlformats.org/officeDocument/2006/relationships/hyperlink" Target="https://www.amazon.in/Eureka-Forbes-Vacuum-Cleaner-Washable/dp/B08L12N5H1/ref=sr_1_295?qid=1672923607&amp;s=kitchen&amp;sr=1-295" TargetMode="External"/><Relationship Id="rId451" Type="http://schemas.openxmlformats.org/officeDocument/2006/relationships/hyperlink" Target="https://www.amazon.in/Nokia-105-Single-Wireless-Charcoal/dp/B09YDFKJF8/ref=sr_1_125?qid=1672895777&amp;s=electronics&amp;sr=1-125" TargetMode="External"/><Relationship Id="rId693" Type="http://schemas.openxmlformats.org/officeDocument/2006/relationships/hyperlink" Target="https://www.amazon.in/TP-Link-Bluetooth-Receiver-UB500-Controllers/dp/B098K3H92Z/ref=sr_1_117?qid=1672903000&amp;s=computers&amp;sr=1-117" TargetMode="External"/><Relationship Id="rId1040" Type="http://schemas.openxmlformats.org/officeDocument/2006/relationships/hyperlink" Target="https://www.amazon.in/Croma-500-Watt-Grinder-CRAK4184-Purple/dp/B08KDBLMQP/ref=sr_1_27?qid=1672923591&amp;s=kitchen&amp;sr=1-27" TargetMode="External"/><Relationship Id="rId1282" Type="http://schemas.openxmlformats.org/officeDocument/2006/relationships/hyperlink" Target="https://www.amazon.in/Kent-16025-700-Watt-Sandwich-Grill/dp/B07GWTWFS2/ref=sr_1_296?qid=1672923607&amp;s=kitchen&amp;sr=1-296" TargetMode="External"/><Relationship Id="rId450" Type="http://schemas.openxmlformats.org/officeDocument/2006/relationships/hyperlink" Target="https://www.amazon.in/Noise-ColorFit-Smartwatch-Monitoring-Waterproof/dp/B097R25DP7/ref=sr_1_124?qid=1672895777&amp;s=electronics&amp;sr=1-124" TargetMode="External"/><Relationship Id="rId692" Type="http://schemas.openxmlformats.org/officeDocument/2006/relationships/hyperlink" Target="https://www.amazon.in/Airdopes-181-Playtime-Bluetooth-Wireless/dp/B09PL79D2X/ref=sr_1_116?qid=1672903000&amp;s=computers&amp;sr=1-116" TargetMode="External"/><Relationship Id="rId1041" Type="http://schemas.openxmlformats.org/officeDocument/2006/relationships/hyperlink" Target="https://www.amazon.in/Havells-Instanio-3-Litre-Instant-Geyser/dp/B078JDNZJ8/ref=sr_1_28?qid=1672923591&amp;s=kitchen&amp;sr=1-28" TargetMode="External"/><Relationship Id="rId1283" Type="http://schemas.openxmlformats.org/officeDocument/2006/relationships/hyperlink" Target="https://www.amazon.in/Candes-Gloster-Silent-Blower-Heater/dp/B09KRHXTLN/ref=sr_1_297?qid=1672923607&amp;s=kitchen&amp;sr=1-297" TargetMode="External"/><Relationship Id="rId691" Type="http://schemas.openxmlformats.org/officeDocument/2006/relationships/hyperlink" Target="https://www.amazon.in/Portronics-Konnect-Delivery-Support-Braided/dp/B085DTN6R2/ref=sr_1_115?qid=1672903000&amp;s=computers&amp;sr=1-115" TargetMode="External"/><Relationship Id="rId1042" Type="http://schemas.openxmlformats.org/officeDocument/2006/relationships/hyperlink" Target="https://www.amazon.in/Morphy-Richards-OFR-09-2000-Watt/dp/B01M5F614J/ref=sr_1_29?qid=1672923591&amp;s=kitchen&amp;sr=1-29" TargetMode="External"/><Relationship Id="rId1284" Type="http://schemas.openxmlformats.org/officeDocument/2006/relationships/hyperlink" Target="https://www.amazon.in/Inalsa-Electric-Heater-Hotty-Certification/dp/B09H34V36W/ref=sr_1_298_mod_primary_new?qid=1672923607&amp;s=kitchen&amp;sbo=RZvfv%2F%2FHxDF%2BO5021pAnSA%3D%3D&amp;sr=1-298" TargetMode="External"/><Relationship Id="rId690" Type="http://schemas.openxmlformats.org/officeDocument/2006/relationships/hyperlink" Target="https://www.amazon.in/Duracell-5000174-Rechargeable-Batteries-Green/dp/B015ZXUDD0/ref=sr_1_114?qid=1672903000&amp;s=computers&amp;sr=1-114" TargetMode="External"/><Relationship Id="rId1043" Type="http://schemas.openxmlformats.org/officeDocument/2006/relationships/hyperlink" Target="https://www.amazon.in/HAVELLS-Kettle-Coffee-Boiler-Stainless/dp/B083GKDRKR/ref=sr_1_30?qid=1672923591&amp;s=kitchen&amp;sr=1-30" TargetMode="External"/><Relationship Id="rId1285" Type="http://schemas.openxmlformats.org/officeDocument/2006/relationships/hyperlink" Target="https://www.amazon.in/Havells-Zella-Immersion-Watts-White/dp/B09J2QCKKM/ref=sr_1_299?qid=1672923607&amp;s=kitchen&amp;sr=1-299" TargetMode="External"/><Relationship Id="rId213" Type="http://schemas.openxmlformats.org/officeDocument/2006/relationships/hyperlink" Target="https://www.amazon.in/Tata-Remote-Control-Compatible-tatasky/dp/B08RHPDNVV/ref=sr_1_232?qid=1672909135&amp;s=electronics&amp;sr=1-232" TargetMode="External"/><Relationship Id="rId455" Type="http://schemas.openxmlformats.org/officeDocument/2006/relationships/hyperlink" Target="https://www.amazon.in/iQOO-Chromatic-Storage-Snapdragon-Processor/dp/B07WHQBZLS/ref=sr_1_123?qid=1672895784&amp;s=electronics&amp;sr=1-123" TargetMode="External"/><Relationship Id="rId697" Type="http://schemas.openxmlformats.org/officeDocument/2006/relationships/hyperlink" Target="https://www.amazon.in/rts-Adapter-Charging-Converter-compatible/dp/B097C564GC/ref=sr_1_121?qid=1672903001&amp;s=computers&amp;sr=1-121" TargetMode="External"/><Relationship Id="rId1044" Type="http://schemas.openxmlformats.org/officeDocument/2006/relationships/hyperlink" Target="https://www.amazon.in/Bajaj-Splendora-Instant-Water-Heater/dp/B097R2V1W8/ref=sr_1_28?qid=1672923592&amp;s=kitchen&amp;sr=1-28" TargetMode="External"/><Relationship Id="rId1286" Type="http://schemas.openxmlformats.org/officeDocument/2006/relationships/hyperlink" Target="https://www.amazon.in/SM1301-Sandwich-Detachable-Plates-Waffle/dp/B09XRBJ94N/ref=sr_1_300?qid=1672923607&amp;s=kitchen&amp;sr=1-300" TargetMode="External"/><Relationship Id="rId212" Type="http://schemas.openxmlformats.org/officeDocument/2006/relationships/hyperlink" Target="https://www.amazon.in/WZATCO-Pixel-Portable-Projector-Compatible/dp/B0BLV1GNLN/ref=sr_1_231?qid=1672909135&amp;s=electronics&amp;sr=1-231" TargetMode="External"/><Relationship Id="rId454" Type="http://schemas.openxmlformats.org/officeDocument/2006/relationships/hyperlink" Target="https://www.amazon.in/Oppo-Mystery-Storage-Additional-Exchange/dp/B08444S68L/ref=sr_1_122?qid=1672895784&amp;s=electronics&amp;sr=1-122" TargetMode="External"/><Relationship Id="rId696" Type="http://schemas.openxmlformats.org/officeDocument/2006/relationships/hyperlink" Target="https://www.amazon.in/Noise-ColorFit-Smartwatch-Monitoring-Waterproof/dp/B097R25DP7/ref=sr_1_120?qid=1672903000&amp;s=computers&amp;sr=1-120" TargetMode="External"/><Relationship Id="rId1045" Type="http://schemas.openxmlformats.org/officeDocument/2006/relationships/hyperlink" Target="https://www.amazon.in/KENT-Elegant-Electric-Kettle-Silver/dp/B07YR26BJ3/ref=sr_1_29?qid=1672923592&amp;s=kitchen&amp;sr=1-29" TargetMode="External"/><Relationship Id="rId1287" Type="http://schemas.openxmlformats.org/officeDocument/2006/relationships/hyperlink" Target="https://www.amazon.in/Inalsa-Micro-WD10-1000W-Multifunction-Resistant/dp/B07SLNG3LW/ref=sr_1_301?qid=1672923607&amp;s=kitchen&amp;sr=1-301" TargetMode="External"/><Relationship Id="rId211" Type="http://schemas.openxmlformats.org/officeDocument/2006/relationships/hyperlink" Target="https://www.amazon.in/Tata-Sky-Universal-Remote-Compatible/dp/B08CKW1KH9/ref=sr_1_230?qid=1672909135&amp;s=electronics&amp;sr=1-230" TargetMode="External"/><Relationship Id="rId453" Type="http://schemas.openxmlformats.org/officeDocument/2006/relationships/hyperlink" Target="https://www.amazon.in/33W-SonicCharge-2-0-Charger-Combo/dp/B08RZ5K9YH/ref=sr_1_121?qid=1672895784&amp;s=electronics&amp;sr=1-121" TargetMode="External"/><Relationship Id="rId695" Type="http://schemas.openxmlformats.org/officeDocument/2006/relationships/hyperlink" Target="https://www.amazon.in/SanDisk-Ultra-Drive-Flash-128GB/dp/B084PJSSQ1/ref=sr_1_119?qid=1672903000&amp;s=computers&amp;sr=1-119" TargetMode="External"/><Relationship Id="rId1046" Type="http://schemas.openxmlformats.org/officeDocument/2006/relationships/hyperlink" Target="https://www.amazon.in/Bajaj-Shakti-Heater-Multiple-Safety/dp/B097R45BH8/ref=sr_1_30?qid=1672923592&amp;s=kitchen&amp;sr=1-30" TargetMode="External"/><Relationship Id="rId1288" Type="http://schemas.openxmlformats.org/officeDocument/2006/relationships/hyperlink" Target="https://www.amazon.in/MR-BRAND-Portable-Electric-Rechargeable/dp/B0BNDGL26T/ref=sr_1_302?qid=1672923607&amp;s=kitchen&amp;sr=1-302" TargetMode="External"/><Relationship Id="rId210" Type="http://schemas.openxmlformats.org/officeDocument/2006/relationships/hyperlink" Target="https://www.amazon.in/MYVN-Fast-Charging-Compatible-iPhone-Devices/dp/B095244Q22/ref=sr_1_229?qid=1672909135&amp;s=electronics&amp;sr=1-229" TargetMode="External"/><Relationship Id="rId452" Type="http://schemas.openxmlformats.org/officeDocument/2006/relationships/hyperlink" Target="https://www.amazon.in/iQOO-Storage-Snapdragon-FlashCharge-Brightness/dp/B07WDK3ZS2/ref=sr_1_126?qid=1672895777&amp;s=electronics&amp;sr=1-126" TargetMode="External"/><Relationship Id="rId694" Type="http://schemas.openxmlformats.org/officeDocument/2006/relationships/hyperlink" Target="https://www.amazon.in/Portronics-Konnect-POR-1401-Charging-Function/dp/B09KLVMZ3B/ref=sr_1_118?qid=1672903000&amp;s=computers&amp;sr=1-118" TargetMode="External"/><Relationship Id="rId1047" Type="http://schemas.openxmlformats.org/officeDocument/2006/relationships/hyperlink" Target="https://www.amazon.in/Lifelong-LLMG23-500-Watt-Liquidizing-Stainless/dp/B09X5C9VLK/ref=sr_1_31?qid=1672923592&amp;s=kitchen&amp;sr=1-31" TargetMode="External"/><Relationship Id="rId1289" Type="http://schemas.openxmlformats.org/officeDocument/2006/relationships/hyperlink" Target="https://www.amazon.in/Crompton-1200mm-Designer-Ceiling-Smoked/dp/B095PWLLY6/ref=sr_1_303?qid=1672923607&amp;s=kitchen&amp;sr=1-303" TargetMode="External"/><Relationship Id="rId491" Type="http://schemas.openxmlformats.org/officeDocument/2006/relationships/hyperlink" Target="https://www.amazon.in/iQOO-Raven-Black-128GB-Storage/dp/B07WGPKMP5/ref=sr_1_175?qid=1672895799&amp;s=electronics&amp;sr=1-175" TargetMode="External"/><Relationship Id="rId490" Type="http://schemas.openxmlformats.org/officeDocument/2006/relationships/hyperlink" Target="https://www.amazon.in/Mobile-Phone-Holder-Phones-Tablets/dp/B0926V9CTV/ref=sr_1_174?qid=1672895799&amp;s=electronics&amp;sr=1-174" TargetMode="External"/><Relationship Id="rId249" Type="http://schemas.openxmlformats.org/officeDocument/2006/relationships/hyperlink" Target="https://www.amazon.in/AmazonBasics-USB-Type-C-2-0-Cable/dp/B01GGKZ4NU/ref=sr_1_288?qid=1672909138&amp;s=electronics&amp;sr=1-288" TargetMode="External"/><Relationship Id="rId248" Type="http://schemas.openxmlformats.org/officeDocument/2006/relationships/hyperlink" Target="https://www.amazon.in/pTron-Charging-480Mbps-Durable-1-Meter/dp/B0B4T6MR8N/ref=sr_1_287?qid=1672909138&amp;s=electronics&amp;sr=1-287" TargetMode="External"/><Relationship Id="rId247" Type="http://schemas.openxmlformats.org/officeDocument/2006/relationships/hyperlink" Target="https://www.amazon.in/Boat-Type-Cable-1-5m-Black/dp/B08NCKT9FG/ref=sr_1_284?qid=1672909138&amp;s=electronics&amp;sr=1-284" TargetMode="External"/><Relationship Id="rId489" Type="http://schemas.openxmlformats.org/officeDocument/2006/relationships/hyperlink" Target="https://www.amazon.in/Noise-ColorFit-Bluetooth-instacharge-Functional/dp/B0BGSV43WY/ref=sr_1_172?qid=1672895799&amp;s=electronics&amp;sr=1-172" TargetMode="External"/><Relationship Id="rId1070" Type="http://schemas.openxmlformats.org/officeDocument/2006/relationships/hyperlink" Target="https://www.amazon.in/Butterfly-Jet-Elite-750-Watt-Grinder/dp/B07DGD4Z4C/ref=sr_1_59?qid=1672923593&amp;s=kitchen&amp;sr=1-59" TargetMode="External"/><Relationship Id="rId1071" Type="http://schemas.openxmlformats.org/officeDocument/2006/relationships/hyperlink" Target="https://www.amazon.in/SOFLIN-Electric-Automatic-Poacher-Steaming/dp/B07GMFY9QM/ref=sr_1_60?qid=1672923593&amp;s=kitchen&amp;sr=1-60" TargetMode="External"/><Relationship Id="rId1072" Type="http://schemas.openxmlformats.org/officeDocument/2006/relationships/hyperlink" Target="https://www.amazon.in/Lifelong-LLQH925-settings-operation-Indicator/dp/B0BGPN4GGH/ref=sr_1_62?qid=1672923593&amp;s=kitchen&amp;sr=1-62" TargetMode="External"/><Relationship Id="rId242" Type="http://schemas.openxmlformats.org/officeDocument/2006/relationships/hyperlink" Target="https://www.amazon.in/Ambrane-Charging-Neckband-Wireless-ACT/dp/B09YLX91QR/ref=sr_1_272?qid=1672909138&amp;s=electronics&amp;sr=1-272" TargetMode="External"/><Relationship Id="rId484" Type="http://schemas.openxmlformats.org/officeDocument/2006/relationships/hyperlink" Target="https://www.amazon.in/Tukzer-Capacitive-Lightweight-Magnetism-Smartphones/dp/B08K4RDQ71/ref=sr_1_163?qid=1672895791&amp;s=electronics&amp;sr=1-163" TargetMode="External"/><Relationship Id="rId1073" Type="http://schemas.openxmlformats.org/officeDocument/2006/relationships/hyperlink" Target="https://www.amazon.in/Amazon-Basics-Electric-Kettle-Stainless/dp/B0B2DZ5S6R/ref=sr_1_63?qid=1672923593&amp;s=kitchen&amp;sr=1-63" TargetMode="External"/><Relationship Id="rId241" Type="http://schemas.openxmlformats.org/officeDocument/2006/relationships/hyperlink" Target="https://www.amazon.in/AmazonBasics-16-Gauge-Speaker-Wire-Feet/dp/B006LW0WDQ/ref=sr_1_263?qid=1672909136&amp;s=electronics&amp;sr=1-263" TargetMode="External"/><Relationship Id="rId483" Type="http://schemas.openxmlformats.org/officeDocument/2006/relationships/hyperlink" Target="https://www.amazon.in/Samsung-Midnight-Storage-5000mAh-Battery/dp/B0B4F1YC3J/ref=sr_1_162?qid=1672895791&amp;s=electronics&amp;sr=1-162" TargetMode="External"/><Relationship Id="rId1074" Type="http://schemas.openxmlformats.org/officeDocument/2006/relationships/hyperlink" Target="https://www.amazon.in/Prestige-Sandwich-Maker-PGMFD-01/dp/B07S851WX5/ref=sr_1_67?qid=1672923593&amp;s=kitchen&amp;sr=1-67" TargetMode="External"/><Relationship Id="rId240" Type="http://schemas.openxmlformats.org/officeDocument/2006/relationships/hyperlink" Target="https://www.amazon.in/Charging-Certified-Lightning-Transfer-Iphone12/dp/B09G5TSGXV/ref=sr_1_260?qid=1672909136&amp;s=electronics&amp;sr=1-260" TargetMode="External"/><Relationship Id="rId482" Type="http://schemas.openxmlformats.org/officeDocument/2006/relationships/hyperlink" Target="https://www.amazon.in/Tukzer-Capacitive-Lightweight-Magnetism-Smartphones/dp/B08K4PSZ3V/ref=sr_1_161?qid=1672895791&amp;s=electronics&amp;sr=1-161" TargetMode="External"/><Relationship Id="rId1075" Type="http://schemas.openxmlformats.org/officeDocument/2006/relationships/hyperlink" Target="https://www.amazon.in/Orient-Electric-Fabrijoy-DIFJ10BP-1000-Watt/dp/B01MY839VW/ref=sr_1_69?qid=1672923593&amp;s=kitchen&amp;sr=1-69" TargetMode="External"/><Relationship Id="rId481" Type="http://schemas.openxmlformats.org/officeDocument/2006/relationships/hyperlink" Target="https://www.amazon.in/JBL-C100SI-Ear-Headphones-Mic/dp/B01DF26V7A/ref=sr_1_159?qid=1672895791&amp;s=electronics&amp;sr=1-159" TargetMode="External"/><Relationship Id="rId1076" Type="http://schemas.openxmlformats.org/officeDocument/2006/relationships/hyperlink" Target="https://www.amazon.in/Lifelong-LLFH921-Overheating-Protection-Certified/dp/B09LV1CMGH/ref=sr_1_70?qid=1672923593&amp;s=kitchen&amp;sr=1-70" TargetMode="External"/><Relationship Id="rId246" Type="http://schemas.openxmlformats.org/officeDocument/2006/relationships/hyperlink" Target="https://www.amazon.in/Electvision-Remote-Control-Compatible-Without/dp/B098TV3L96/ref=sr_1_279?qid=1672909138&amp;s=electronics&amp;sr=1-279" TargetMode="External"/><Relationship Id="rId488" Type="http://schemas.openxmlformats.org/officeDocument/2006/relationships/hyperlink" Target="https://www.amazon.in/Beetel-Smartphone-Charging-480Mbps-Xcd-C12/dp/B09NL4DJ2Z/ref=sr_1_170?qid=1672895799&amp;s=electronics&amp;sr=1-170" TargetMode="External"/><Relationship Id="rId1077" Type="http://schemas.openxmlformats.org/officeDocument/2006/relationships/hyperlink" Target="https://www.amazon.in/Philips-GC181-Heavy-Weight-1000-Watt/dp/B01EY310UM/ref=sr_1_71?qid=1672923593&amp;s=kitchen&amp;sr=1-71" TargetMode="External"/><Relationship Id="rId245" Type="http://schemas.openxmlformats.org/officeDocument/2006/relationships/hyperlink" Target="https://www.amazon.in/Smashtronics%C2%AE-Silicone-Firestick-Control-Shockproof/dp/B09L835C3V/ref=sr_1_276?qid=1672909138&amp;s=electronics&amp;sr=1-276" TargetMode="External"/><Relationship Id="rId487" Type="http://schemas.openxmlformats.org/officeDocument/2006/relationships/hyperlink" Target="https://www.amazon.in/STRIFF-Flexible-Silicone-Protector-Computers/dp/B09Z6WH2N1/ref=sr_1_169?qid=1672895799&amp;s=electronics&amp;sr=1-169" TargetMode="External"/><Relationship Id="rId1078" Type="http://schemas.openxmlformats.org/officeDocument/2006/relationships/hyperlink" Target="https://www.amazon.in/Bulfyss-Rechargeable-Effectively-Cashmere-Warranty/dp/B09NL7LBWT/ref=sr_1_74?qid=1672923593&amp;s=kitchen&amp;sr=1-74" TargetMode="External"/><Relationship Id="rId244" Type="http://schemas.openxmlformats.org/officeDocument/2006/relationships/hyperlink" Target="https://www.amazon.in/Maxicom-B-28-Universal-Bracket-inches/dp/B0758F7KK7/ref=sr_1_274?qid=1672909138&amp;s=electronics&amp;sr=1-274" TargetMode="External"/><Relationship Id="rId486" Type="http://schemas.openxmlformats.org/officeDocument/2006/relationships/hyperlink" Target="https://www.amazon.in/Fire-Boltt-Smartwatch-Bluetooth-Calling-Assistance/dp/B09YV3K34W/ref=sr_1_168?qid=1672895791&amp;s=electronics&amp;sr=1-168" TargetMode="External"/><Relationship Id="rId1079" Type="http://schemas.openxmlformats.org/officeDocument/2006/relationships/hyperlink" Target="https://www.amazon.in/Bajaj-DX-1000-Watt-Dry-Iron/dp/B008YW8M0G/ref=sr_1_75?qid=1672923593&amp;s=kitchen&amp;sr=1-75" TargetMode="External"/><Relationship Id="rId243" Type="http://schemas.openxmlformats.org/officeDocument/2006/relationships/hyperlink" Target="https://www.amazon.in/Wayona-Braided-Charger-Charging-Samsung/dp/B081FJWN52/ref=sr_1_273?qid=1672909138&amp;s=electronics&amp;sr=1-273" TargetMode="External"/><Relationship Id="rId485" Type="http://schemas.openxmlformats.org/officeDocument/2006/relationships/hyperlink" Target="https://www.amazon.in/10W-Charger-Cable-Meter-Black/dp/B085CZ3SR1/ref=sr_1_164?qid=1672895791&amp;s=electronics&amp;sr=1-164" TargetMode="External"/><Relationship Id="rId480" Type="http://schemas.openxmlformats.org/officeDocument/2006/relationships/hyperlink" Target="https://www.amazon.in/Flix-Micro-Cable-Smartphone-Black/dp/B09NHVCHS9/ref=sr_1_158?qid=1672895791&amp;s=electronics&amp;sr=1-158" TargetMode="External"/><Relationship Id="rId239" Type="http://schemas.openxmlformats.org/officeDocument/2006/relationships/hyperlink" Target="https://www.amazon.in/Wayona-Braided-Charging-Lightening-Compatible/dp/B0B5F3YZY4/ref=sr_1_259?qid=1672909136&amp;s=electronics&amp;sr=1-259" TargetMode="External"/><Relationship Id="rId238" Type="http://schemas.openxmlformats.org/officeDocument/2006/relationships/hyperlink" Target="https://www.amazon.in/RC802V-Compatible-43S6500FS-49S6800FS-Non-Bluetooth/dp/B097ZQTDVZ/ref=sr_1_258?qid=1672909136&amp;s=electronics&amp;sr=1-258" TargetMode="External"/><Relationship Id="rId237" Type="http://schemas.openxmlformats.org/officeDocument/2006/relationships/hyperlink" Target="https://www.amazon.in/Belkin-USB-C-Charging-USB-IF-Certified/dp/B084MZYBTV/ref=sr_1_257?qid=1672909136&amp;s=electronics&amp;sr=1-257" TargetMode="External"/><Relationship Id="rId479" Type="http://schemas.openxmlformats.org/officeDocument/2006/relationships/hyperlink" Target="https://www.amazon.in/Tecno-Spark-Storage-Expandable-Processor/dp/B0B56YRBNT/ref=sr_1_153?qid=1672895791&amp;s=electronics&amp;sr=1-153" TargetMode="External"/><Relationship Id="rId236" Type="http://schemas.openxmlformats.org/officeDocument/2006/relationships/hyperlink" Target="https://www.amazon.in/Zebronics-charging-capacity-durability-Black/dp/B0B65P827P/ref=sr_1_256?qid=1672909136&amp;s=electronics&amp;sr=1-256" TargetMode="External"/><Relationship Id="rId478" Type="http://schemas.openxmlformats.org/officeDocument/2006/relationships/hyperlink" Target="https://www.amazon.in/Aluminum-Adjustable-Mobile-Foldable-Smartphones/dp/B07Q4QV1DL/ref=sr_1_149?qid=1672895791&amp;s=electronics&amp;sr=1-149" TargetMode="External"/><Relationship Id="rId1060" Type="http://schemas.openxmlformats.org/officeDocument/2006/relationships/hyperlink" Target="https://www.amazon.in/AGARO-Rechargeable-Sweaters-Blankets-Curtains/dp/B0BK1K598K/ref=sr_1_49_mod_primary_new?qid=1672923592&amp;s=kitchen&amp;sbo=RZvfv%2F%2FHxDF%2BO5021pAnSA%3D%3D&amp;sr=1-49" TargetMode="External"/><Relationship Id="rId1061" Type="http://schemas.openxmlformats.org/officeDocument/2006/relationships/hyperlink" Target="https://www.amazon.in/Pigeon-Stainless-boiling-Instant-Noodles/dp/B09Y5FZK9N/ref=sr_1_50?qid=1672923592&amp;s=kitchen&amp;sr=1-50" TargetMode="External"/><Relationship Id="rId231" Type="http://schemas.openxmlformats.org/officeDocument/2006/relationships/hyperlink" Target="https://www.amazon.in/AGARO-Type-C-Charging-Braided-1-2Meters/dp/B07PFJ5VQD/ref=sr_1_251?qid=1672909136&amp;s=electronics&amp;sr=1-251" TargetMode="External"/><Relationship Id="rId473" Type="http://schemas.openxmlformats.org/officeDocument/2006/relationships/hyperlink" Target="https://www.amazon.in/SWAPKART-Flexible-Desktop-Foldable-Smartphones/dp/B092JHPL72/ref=sr_1_142?qid=1672895784&amp;s=electronics&amp;sr=1-142" TargetMode="External"/><Relationship Id="rId1062" Type="http://schemas.openxmlformats.org/officeDocument/2006/relationships/hyperlink" Target="https://www.amazon.in/NutriPro-Bullet-Juicer-Grinder-Blades/dp/B09J2SCVQT/ref=sr_1_52?qid=1672923592&amp;s=kitchen&amp;sr=1-52" TargetMode="External"/><Relationship Id="rId230" Type="http://schemas.openxmlformats.org/officeDocument/2006/relationships/hyperlink" Target="https://www.amazon.in/LTG-500-2Mtr-Cable-Metallic-Silver/dp/B0162LYSFS/ref=sr_1_250?qid=1672909136&amp;s=electronics&amp;sr=1-250" TargetMode="External"/><Relationship Id="rId472" Type="http://schemas.openxmlformats.org/officeDocument/2006/relationships/hyperlink" Target="https://www.amazon.in/Ambrane-Unbreakable-Charging-Braided-Cable/dp/B082LSVT4B/ref=sr_1_141?qid=1672895784&amp;s=electronics&amp;sr=1-141" TargetMode="External"/><Relationship Id="rId1063" Type="http://schemas.openxmlformats.org/officeDocument/2006/relationships/hyperlink" Target="https://www.amazon.in/Philips-GC026-30-Fabric-Shaver/dp/B00TDD0YM4/ref=sr_1_54?qid=1672923592&amp;s=kitchen&amp;sr=1-54" TargetMode="External"/><Relationship Id="rId471" Type="http://schemas.openxmlformats.org/officeDocument/2006/relationships/hyperlink" Target="https://www.amazon.in/Samsung-Galaxy-Storage-MediaTek-Battery/dp/B0BMGG6NKT/ref=sr_1_140?qid=1672895784&amp;s=electronics&amp;sr=1-140" TargetMode="External"/><Relationship Id="rId1064" Type="http://schemas.openxmlformats.org/officeDocument/2006/relationships/hyperlink" Target="https://www.amazon.in/Havells-Cista-room-Heater/dp/B078KRFWQB/ref=sr_1_52?qid=1672923593&amp;s=kitchen&amp;sr=1-52" TargetMode="External"/><Relationship Id="rId470" Type="http://schemas.openxmlformats.org/officeDocument/2006/relationships/hyperlink" Target="https://www.amazon.in/Spigen-Tempered-Screen-Protector-iPhone/dp/B0B244R4KB/ref=sr_1_139?qid=1672895784&amp;s=electronics&amp;sr=1-139" TargetMode="External"/><Relationship Id="rId1065" Type="http://schemas.openxmlformats.org/officeDocument/2006/relationships/hyperlink" Target="https://www.amazon.in/AGARO-800-Watt-Handheld-Cleaner-Durable/dp/B07SRM58TP/ref=sr_1_53?qid=1672923593&amp;s=kitchen&amp;sr=1-53" TargetMode="External"/><Relationship Id="rId235" Type="http://schemas.openxmlformats.org/officeDocument/2006/relationships/hyperlink" Target="https://www.amazon.in/LOHAYA-Remote-Compatible-Smart-Control/dp/B07V5YF4ND/ref=sr_1_255?qid=1672909136&amp;s=electronics&amp;sr=1-255" TargetMode="External"/><Relationship Id="rId477" Type="http://schemas.openxmlformats.org/officeDocument/2006/relationships/hyperlink" Target="https://www.amazon.in/Amozo-Cover-iPhone-Polycarbonate-Transparent/dp/B09J2MM5C6/ref=sr_1_148?qid=1672895791&amp;s=electronics&amp;sr=1-148" TargetMode="External"/><Relationship Id="rId1066" Type="http://schemas.openxmlformats.org/officeDocument/2006/relationships/hyperlink" Target="https://www.amazon.in/Philips-Collection-HD4928-01-2100-Watt/dp/B00EDJJ7FS/ref=sr_1_54?qid=1672923593&amp;s=kitchen&amp;sr=1-54" TargetMode="External"/><Relationship Id="rId234" Type="http://schemas.openxmlformats.org/officeDocument/2006/relationships/hyperlink" Target="https://www.amazon.in/Sansui-Certified-Android-JSW55ASUHD-Mystique/dp/B09NNGHG22/ref=sr_1_254?qid=1672909136&amp;s=electronics&amp;sr=1-254" TargetMode="External"/><Relationship Id="rId476" Type="http://schemas.openxmlformats.org/officeDocument/2006/relationships/hyperlink" Target="https://www.amazon.in/Fire-Boltt-Bluetooth-Assistance-Calculator-Monitoring/dp/B0B3MWYCHQ/ref=sr_1_145?qid=1672895791&amp;s=electronics&amp;sr=1-145" TargetMode="External"/><Relationship Id="rId1067" Type="http://schemas.openxmlformats.org/officeDocument/2006/relationships/hyperlink" Target="https://www.amazon.in/Pigeon-Stovekraft-Acer-Plus-Induction/dp/B0832W3B7Q/ref=sr_1_55?qid=1672923593&amp;s=kitchen&amp;sr=1-55" TargetMode="External"/><Relationship Id="rId233" Type="http://schemas.openxmlformats.org/officeDocument/2006/relationships/hyperlink" Target="https://www.amazon.in/Inches-Ultra-Smart-Android-L43M6-ES/dp/B09MJ77786/ref=sr_1_253?qid=1672909136&amp;s=electronics&amp;sr=1-253" TargetMode="External"/><Relationship Id="rId475" Type="http://schemas.openxmlformats.org/officeDocument/2006/relationships/hyperlink" Target="https://www.amazon.in/Redmi-9A-Sport-Octa-core-Processor/dp/B09GFM8CGS/ref=sr_1_144?qid=1672895784&amp;s=electronics&amp;sr=1-144" TargetMode="External"/><Relationship Id="rId1068" Type="http://schemas.openxmlformats.org/officeDocument/2006/relationships/hyperlink" Target="https://www.amazon.in/Agaro-Esteem-Multi-Kettle-1-2/dp/B07WNK1FFN/ref=sr_1_56?qid=1672923593&amp;s=kitchen&amp;sr=1-56" TargetMode="External"/><Relationship Id="rId232" Type="http://schemas.openxmlformats.org/officeDocument/2006/relationships/hyperlink" Target="https://www.amazon.in/AmazonBasics-Feet-DisplayPort-Cable/dp/B01J8S6X2I/ref=sr_1_252?qid=1672909136&amp;s=electronics&amp;sr=1-252" TargetMode="External"/><Relationship Id="rId474" Type="http://schemas.openxmlformats.org/officeDocument/2006/relationships/hyperlink" Target="https://www.amazon.in/boAt-A325-Tangle-Free-Charging-Transmission/dp/B08WRBG3XW/ref=sr_1_143?qid=1672895784&amp;s=electronics&amp;sr=1-143" TargetMode="External"/><Relationship Id="rId1069" Type="http://schemas.openxmlformats.org/officeDocument/2006/relationships/hyperlink" Target="https://www.amazon.in/Bajaj-Minor-1000-Watt-Room-Heater/dp/B009P2LK08/ref=sr_1_57?qid=1672923593&amp;s=kitchen&amp;sr=1-57" TargetMode="External"/><Relationship Id="rId1015" Type="http://schemas.openxmlformats.org/officeDocument/2006/relationships/hyperlink" Target="https://www.amazon.in/Bestor-Portable-Paperless-Digital-Writing/dp/B08CZHGHKH/ref=sr_1_491?qid=1672903019&amp;s=computers&amp;sr=1-491" TargetMode="External"/><Relationship Id="rId1257" Type="http://schemas.openxmlformats.org/officeDocument/2006/relationships/hyperlink" Target="https://www.amazon.in/Wipro-Sandwich-function-SW-warranty-Standard/dp/B0B2DD8BQ8/ref=sr_1_271?qid=1672923606&amp;s=kitchen&amp;sr=1-271" TargetMode="External"/><Relationship Id="rId1016" Type="http://schemas.openxmlformats.org/officeDocument/2006/relationships/hyperlink" Target="https://www.amazon.in/Lenovo-IdeaPad-Warranty-Platinum-81X800LGIN/dp/B0B2RBP83P/ref=sr_1_492?qid=1672903019&amp;s=computers&amp;sr=1-492" TargetMode="External"/><Relationship Id="rId1258" Type="http://schemas.openxmlformats.org/officeDocument/2006/relationships/hyperlink" Target="https://www.amazon.in/Rico-1500-W-immersion-water-heater/dp/B0123P3PWE/ref=sr_1_272?qid=1672923606&amp;s=kitchen&amp;sr=1-272" TargetMode="External"/><Relationship Id="rId1017" Type="http://schemas.openxmlformats.org/officeDocument/2006/relationships/hyperlink" Target="https://www.amazon.in/Heads-900-Wired-Headphones-White/dp/B078W65FJ7/ref=sr_1_493?qid=1672903019&amp;s=computers&amp;sr=1-493" TargetMode="External"/><Relationship Id="rId1259" Type="http://schemas.openxmlformats.org/officeDocument/2006/relationships/hyperlink" Target="https://www.amazon.in/Eureka-Forbes-Active-Cleaner-washable/dp/B08HDCWDXD/ref=sr_1_273?qid=1672923606&amp;s=kitchen&amp;sr=1-273" TargetMode="External"/><Relationship Id="rId1018" Type="http://schemas.openxmlformats.org/officeDocument/2006/relationships/hyperlink" Target="https://www.amazon.in/ZEBRONICS-Zeb-Astra-Wireless-Portable-Function/dp/B08S74GTBT/ref=sr_1_495?qid=1672903019&amp;s=computers&amp;sr=1-495" TargetMode="External"/><Relationship Id="rId1019" Type="http://schemas.openxmlformats.org/officeDocument/2006/relationships/hyperlink" Target="https://www.amazon.in/Wireless-Generation-Sensitive-Rejection-Compatible/dp/B0B9BD2YL4/ref=sr_1_496?qid=1672903019&amp;s=computers&amp;sr=1-496" TargetMode="External"/><Relationship Id="rId426" Type="http://schemas.openxmlformats.org/officeDocument/2006/relationships/hyperlink" Target="https://www.amazon.in/Xiaomi-22-5W-Fast-Charger-Cable/dp/B09XBJ1CTN/ref=sr_1_93?qid=1672895770&amp;s=electronics&amp;sr=1-93" TargetMode="External"/><Relationship Id="rId668" Type="http://schemas.openxmlformats.org/officeDocument/2006/relationships/hyperlink" Target="https://www.amazon.in/ZODO-Writer-Electronic-Writing-Paperless/dp/B07PLHTTB4/ref=sr_1_88_mod_primary_new?qid=1672902998&amp;s=computers&amp;sbo=RZvfv%2F%2FHxDF%2BO5021pAnSA%3D%3D&amp;sr=1-88" TargetMode="External"/><Relationship Id="rId425" Type="http://schemas.openxmlformats.org/officeDocument/2006/relationships/hyperlink" Target="https://www.amazon.in/Ambrane-Unbreakable-Charging-Braided-Android/dp/B082LZGK39/ref=sr_1_92?qid=1672895770&amp;s=electronics&amp;sr=1-92" TargetMode="External"/><Relationship Id="rId667" Type="http://schemas.openxmlformats.org/officeDocument/2006/relationships/hyperlink" Target="https://www.amazon.in/Mi-Earphones-Basic-Mic-Black/dp/B07CD2BN46/ref=sr_1_87?qid=1672902998&amp;s=computers&amp;sr=1-87" TargetMode="External"/><Relationship Id="rId424" Type="http://schemas.openxmlformats.org/officeDocument/2006/relationships/hyperlink" Target="https://www.amazon.in/MI-MTCY001IN-USB-Type-C-Cable/dp/B08DDRGWTJ/ref=sr_1_91?qid=1672895770&amp;s=electronics&amp;sr=1-91" TargetMode="External"/><Relationship Id="rId666" Type="http://schemas.openxmlformats.org/officeDocument/2006/relationships/hyperlink" Target="https://www.amazon.in/Boat-Rockerz-550-Headphone-Aesthetics/dp/B0856HY85J/ref=sr_1_85?qid=1672902998&amp;s=computers&amp;sr=1-85" TargetMode="External"/><Relationship Id="rId423" Type="http://schemas.openxmlformats.org/officeDocument/2006/relationships/hyperlink" Target="https://www.amazon.in/boAt-Wave-Call-Dedicated-Multi-Sport/dp/B0B5D39BCD/ref=sr_1_90?qid=1672895770&amp;s=electronics&amp;sr=1-90" TargetMode="External"/><Relationship Id="rId665" Type="http://schemas.openxmlformats.org/officeDocument/2006/relationships/hyperlink" Target="https://www.amazon.in/TP-Link-Archer-C6-Wireless-MU-MIMO/dp/B07GVR9TG7/ref=sr_1_84?qid=1672902998&amp;s=computers&amp;sr=1-84" TargetMode="External"/><Relationship Id="rId429" Type="http://schemas.openxmlformats.org/officeDocument/2006/relationships/hyperlink" Target="https://www.amazon.in/Redmi-Storage-Qualcomm%C2%AE-SnapdragonTM-Included/dp/B09QS8V5N8/ref=sr_1_96?qid=1672895770&amp;s=electronics&amp;sr=1-96" TargetMode="External"/><Relationship Id="rId428" Type="http://schemas.openxmlformats.org/officeDocument/2006/relationships/hyperlink" Target="https://www.amazon.in/GIZGA-Protector-Charging-Protective-G55/dp/B08MTCKDYN/ref=sr_1_95?qid=1672895770&amp;s=electronics&amp;sr=1-95" TargetMode="External"/><Relationship Id="rId427" Type="http://schemas.openxmlformats.org/officeDocument/2006/relationships/hyperlink" Target="https://www.amazon.in/Samsung-Midnight-Storage-5000mAh-Battery/dp/B0B4F5L738/ref=sr_1_94?qid=1672895770&amp;s=electronics&amp;sr=1-94" TargetMode="External"/><Relationship Id="rId669" Type="http://schemas.openxmlformats.org/officeDocument/2006/relationships/hyperlink" Target="https://www.amazon.in/Zebronics-Km2100-Multimedia-USB-Keyboard/dp/B077T3BG5L/ref=sr_1_89?qid=1672902998&amp;s=computers&amp;sr=1-89" TargetMode="External"/><Relationship Id="rId660" Type="http://schemas.openxmlformats.org/officeDocument/2006/relationships/hyperlink" Target="https://www.amazon.in/boAt-Micro-USB-Tangle-Free-Transmission/dp/B08WRWPM22/ref=sr_1_78?qid=1672902998&amp;s=computers&amp;sr=1-78" TargetMode="External"/><Relationship Id="rId1250" Type="http://schemas.openxmlformats.org/officeDocument/2006/relationships/hyperlink" Target="https://www.amazon.in/Tesora-Electric-Stainless-Protection-White/dp/B09VGS66FV/ref=sr_1_266?qid=1672923605&amp;s=kitchen&amp;sr=1-266" TargetMode="External"/><Relationship Id="rId1251" Type="http://schemas.openxmlformats.org/officeDocument/2006/relationships/hyperlink" Target="https://www.amazon.in/Ace-1600-Watt-21-Litre-Stainless-Function/dp/B07RCGTZ4M/ref=sr_1_268?qid=1672923605&amp;s=kitchen&amp;sr=1-268" TargetMode="External"/><Relationship Id="rId1010" Type="http://schemas.openxmlformats.org/officeDocument/2006/relationships/hyperlink" Target="https://www.amazon.in/Canon-E4570-Efficient-Printing-Compatible/dp/B09F5Z694W/ref=sr_1_485?qid=1672903019&amp;s=computers&amp;sr=1-485" TargetMode="External"/><Relationship Id="rId1252" Type="http://schemas.openxmlformats.org/officeDocument/2006/relationships/hyperlink" Target="https://www.amazon.in/Inalsa-Robot-1000-800-Watt-Blender/dp/B0747VDH9L/ref=sr_1_269?qid=1672923605&amp;s=kitchen&amp;sr=1-269" TargetMode="External"/><Relationship Id="rId422" Type="http://schemas.openxmlformats.org/officeDocument/2006/relationships/hyperlink" Target="https://www.amazon.in/boAt-Smartwatch-Multiple-Monitoring-Resistance/dp/B096VF5YYF/ref=sr_1_89?qid=1672895770&amp;s=electronics&amp;sr=1-89" TargetMode="External"/><Relationship Id="rId664" Type="http://schemas.openxmlformats.org/officeDocument/2006/relationships/hyperlink" Target="https://www.amazon.in/Mini-UPS-Router-WiFi-12V/dp/B08HLZ28QC/ref=sr_1_83?qid=1672902998&amp;s=computers&amp;sr=1-83" TargetMode="External"/><Relationship Id="rId1011" Type="http://schemas.openxmlformats.org/officeDocument/2006/relationships/hyperlink" Target="https://www.amazon.in/Crucial-500GB-PCIe-NAND-3500MB/dp/B0B25LQQPC/ref=sr_1_486?qid=1672903019&amp;s=computers&amp;sr=1-486" TargetMode="External"/><Relationship Id="rId1253" Type="http://schemas.openxmlformats.org/officeDocument/2006/relationships/hyperlink" Target="https://www.amazon.in/Akiara-Electric-Handheld-Cordless-Tailoring/dp/B08XLR6DSB/ref=sr_1_270?qid=1672923605&amp;s=kitchen&amp;sr=1-270" TargetMode="External"/><Relationship Id="rId421" Type="http://schemas.openxmlformats.org/officeDocument/2006/relationships/hyperlink" Target="https://www.amazon.in/Samsung-Midnight-Storage-6000mAh-Battery/dp/B0B4F52B5X/ref=sr_1_88?qid=1672895770&amp;s=electronics&amp;sr=1-88" TargetMode="External"/><Relationship Id="rId663" Type="http://schemas.openxmlformats.org/officeDocument/2006/relationships/hyperlink" Target="https://www.amazon.in/HP-Wireless-Mouse-X200-6VY95AA/dp/B083RCTXLL/ref=sr_1_82?qid=1672902998&amp;s=computers&amp;sr=1-82" TargetMode="External"/><Relationship Id="rId1012" Type="http://schemas.openxmlformats.org/officeDocument/2006/relationships/hyperlink" Target="https://www.amazon.in/Wayona-Cable-Braided-Charger-Smartphones/dp/B07GVGTSLN/ref=sr_1_487?qid=1672903019&amp;s=computers&amp;sr=1-487" TargetMode="External"/><Relationship Id="rId1254" Type="http://schemas.openxmlformats.org/officeDocument/2006/relationships/hyperlink" Target="https://www.amazon.in/EasySpeed-GC2145-Resistant-Soleplate-Drip-Stop/dp/B08H6CZSHT/ref=sr_1_268?qid=1672923606&amp;s=kitchen&amp;sr=1-268" TargetMode="External"/><Relationship Id="rId420" Type="http://schemas.openxmlformats.org/officeDocument/2006/relationships/hyperlink" Target="https://www.amazon.in/boAt-Micro-USB-Tangle-Free-Transmission/dp/B08WRWPM22/ref=sr_1_87?qid=1672895770&amp;s=electronics&amp;sr=1-87" TargetMode="External"/><Relationship Id="rId662" Type="http://schemas.openxmlformats.org/officeDocument/2006/relationships/hyperlink" Target="https://www.amazon.in/Tygot-YouTube-Shooting-Foldable-Lightweight/dp/B08MCD9JFY/ref=sr_1_80?qid=1672902998&amp;s=computers&amp;sr=1-80" TargetMode="External"/><Relationship Id="rId1013" Type="http://schemas.openxmlformats.org/officeDocument/2006/relationships/hyperlink" Target="https://www.amazon.in/HP-v222w-Flash-Drive-64GB/dp/B01LYLJ99X/ref=sr_1_488?qid=1672903019&amp;s=computers&amp;sr=1-488" TargetMode="External"/><Relationship Id="rId1255" Type="http://schemas.openxmlformats.org/officeDocument/2006/relationships/hyperlink" Target="https://www.amazon.in/Inalsa-Bullet-400-Watt-Technology-Chopper/dp/B07CVR2L5K/ref=sr_1_269?qid=1672923606&amp;s=kitchen&amp;sr=1-269" TargetMode="External"/><Relationship Id="rId661" Type="http://schemas.openxmlformats.org/officeDocument/2006/relationships/hyperlink" Target="https://www.amazon.in/Casio-Non-Programmable-Scientific-Calculator-Functions/dp/B00AXHBBXU/ref=sr_1_79?qid=1672902998&amp;s=computers&amp;sr=1-79" TargetMode="External"/><Relationship Id="rId1014" Type="http://schemas.openxmlformats.org/officeDocument/2006/relationships/hyperlink" Target="https://www.amazon.in/Duracell-Alkaline-Battery-Duralock-Technology/dp/B014SZPBM4/ref=sr_1_490?qid=1672903019&amp;s=computers&amp;sr=1-490" TargetMode="External"/><Relationship Id="rId1256" Type="http://schemas.openxmlformats.org/officeDocument/2006/relationships/hyperlink" Target="https://www.amazon.in/Borosil-Electric-Vegetables-Transparent-Stainless/dp/B09J4YQYX3/ref=sr_1_270?qid=1672923606&amp;s=kitchen&amp;sr=1-270" TargetMode="External"/><Relationship Id="rId1004" Type="http://schemas.openxmlformats.org/officeDocument/2006/relationships/hyperlink" Target="https://www.amazon.in/Classmate-Drawing-Book-Unruled-Pages/dp/B086Q3QMFS/ref=sr_1_468?qid=1672903018&amp;s=computers&amp;sr=1-468" TargetMode="External"/><Relationship Id="rId1246" Type="http://schemas.openxmlformats.org/officeDocument/2006/relationships/hyperlink" Target="https://www.amazon.in/Sujata-Powermatic-Watts-Juicer-Grinder/dp/B071113J7M/ref=sr_1_262?qid=1672923605&amp;s=kitchen&amp;sr=1-262" TargetMode="External"/><Relationship Id="rId1005" Type="http://schemas.openxmlformats.org/officeDocument/2006/relationships/hyperlink" Target="https://www.amazon.in/HP-GK320-Gaming-Keyboard-4QN01AA/dp/B08498H13H/ref=sr_1_469?qid=1672903018&amp;s=computers&amp;sr=1-469" TargetMode="External"/><Relationship Id="rId1247" Type="http://schemas.openxmlformats.org/officeDocument/2006/relationships/hyperlink" Target="https://www.amazon.in/Aquaguard-purification-municipal-Eureka-Forbes/dp/B09YLWT89W/ref=sr_1_263?qid=1672923605&amp;s=kitchen&amp;sr=1-263" TargetMode="External"/><Relationship Id="rId1006" Type="http://schemas.openxmlformats.org/officeDocument/2006/relationships/hyperlink" Target="https://www.amazon.in/Parker-Moments-Vector-Timecheck-Roller/dp/B07LFQLKFZ/ref=sr_1_470?qid=1672903018&amp;s=computers&amp;sr=1-470" TargetMode="External"/><Relationship Id="rId1248" Type="http://schemas.openxmlformats.org/officeDocument/2006/relationships/hyperlink" Target="https://www.amazon.in/PrettyKrafts-Laundry-Basket-Clothes-Handles/dp/B0814LP6S9/ref=sr_1_264?qid=1672923605&amp;s=kitchen&amp;sr=1-264" TargetMode="External"/><Relationship Id="rId1007" Type="http://schemas.openxmlformats.org/officeDocument/2006/relationships/hyperlink" Target="https://www.amazon.in/Camlin-Elegante-Fountain-Pen-Black/dp/B00LY17RHI/ref=sr_1_476?qid=1672903018&amp;s=computers&amp;sr=1-476" TargetMode="External"/><Relationship Id="rId1249" Type="http://schemas.openxmlformats.org/officeDocument/2006/relationships/hyperlink" Target="https://www.amazon.in/Dr-Trust-Electronic-Kitchen-Weighing/dp/B07BKSSDR2/ref=sr_1_265?qid=1672923605&amp;s=kitchen&amp;sr=1-265" TargetMode="External"/><Relationship Id="rId1008" Type="http://schemas.openxmlformats.org/officeDocument/2006/relationships/hyperlink" Target="https://www.amazon.in/Optical-Drive-Caddy-Universal-9-5mm/dp/B07W14CHV8/ref=sr_1_483?qid=1672903019&amp;s=computers&amp;sr=1-483" TargetMode="External"/><Relationship Id="rId1009" Type="http://schemas.openxmlformats.org/officeDocument/2006/relationships/hyperlink" Target="https://www.amazon.in/WeCool-Reinforced-Function-Bluetooth-Compatible/dp/B0B9BXKBC7/ref=sr_1_484?qid=1672903019&amp;s=computers&amp;sr=1-484" TargetMode="External"/><Relationship Id="rId415" Type="http://schemas.openxmlformats.org/officeDocument/2006/relationships/hyperlink" Target="https://www.amazon.in/Ambrane-Multi-Layer-Protection-Li-Polymer-Stylo-10k/dp/B0993BB11X/ref=sr_1_82?qid=1672895770&amp;s=electronics&amp;sr=1-82" TargetMode="External"/><Relationship Id="rId657" Type="http://schemas.openxmlformats.org/officeDocument/2006/relationships/hyperlink" Target="https://www.amazon.in/Boult-Audio-Environmental-Cancellation-Bluetooth/dp/B0B1F6GQPS/ref=sr_1_75?qid=1672902998&amp;s=computers&amp;sr=1-75" TargetMode="External"/><Relationship Id="rId899" Type="http://schemas.openxmlformats.org/officeDocument/2006/relationships/hyperlink" Target="https://www.amazon.in/Logitech-G102-Customizable-Lighting-Programmable/dp/B08LT9BMPP/ref=sr_1_347?qid=1672903012&amp;s=computers&amp;sr=1-347" TargetMode="External"/><Relationship Id="rId414" Type="http://schemas.openxmlformats.org/officeDocument/2006/relationships/hyperlink" Target="https://www.amazon.in/Ambrane-Adjustment-Compatibility-Multipurpose-Anti-Skid/dp/B09ZPL5VYM/ref=sr_1_81?qid=1672895770&amp;s=electronics&amp;sr=1-81" TargetMode="External"/><Relationship Id="rId656" Type="http://schemas.openxmlformats.org/officeDocument/2006/relationships/hyperlink" Target="https://www.amazon.in/GIZGA-inch-Hard-Drive-Black/dp/B0765B3TH7/ref=sr_1_74?qid=1672902998&amp;s=computers&amp;sr=1-74" TargetMode="External"/><Relationship Id="rId898" Type="http://schemas.openxmlformats.org/officeDocument/2006/relationships/hyperlink" Target="https://www.amazon.in/Tukzer-Rejection-Compatible-2018-2020-Precise/dp/B08KRMK9LZ/ref=sr_1_346?qid=1672903012&amp;s=computers&amp;sr=1-346" TargetMode="External"/><Relationship Id="rId413" Type="http://schemas.openxmlformats.org/officeDocument/2006/relationships/hyperlink" Target="https://www.amazon.in/Samsung-Emerald-Storage-Purchased-Separately/dp/B0B14MR9L1/ref=sr_1_80?qid=1672895770&amp;s=electronics&amp;sr=1-80" TargetMode="External"/><Relationship Id="rId655" Type="http://schemas.openxmlformats.org/officeDocument/2006/relationships/hyperlink" Target="https://www.amazon.in/STRIFF-230X190X3mm-Waterproof-Premium-Textured-Compatible/dp/B0B9LDCX89/ref=sr_1_73?qid=1672902998&amp;s=computers&amp;sr=1-73" TargetMode="External"/><Relationship Id="rId897" Type="http://schemas.openxmlformats.org/officeDocument/2006/relationships/hyperlink" Target="https://www.amazon.in/Classmate-ITC-Octane-Colourburst-Pen/dp/B07JB2Y4SR/ref=sr_1_343?qid=1672903012&amp;s=computers&amp;sr=1-343" TargetMode="External"/><Relationship Id="rId412" Type="http://schemas.openxmlformats.org/officeDocument/2006/relationships/hyperlink" Target="https://www.amazon.in/OnePlus-Forest-Green-Storage-SuperVOOC/dp/B09WRMNJ9G/ref=sr_1_79?qid=1672895770&amp;s=electronics&amp;sr=1-79" TargetMode="External"/><Relationship Id="rId654" Type="http://schemas.openxmlformats.org/officeDocument/2006/relationships/hyperlink" Target="https://www.amazon.in/Fevicryl-Acrylic-colors-Sunflower-Shades/dp/B00LXTFMRS/ref=sr_1_72?qid=1672902997&amp;s=computers&amp;sr=1-72" TargetMode="External"/><Relationship Id="rId896" Type="http://schemas.openxmlformats.org/officeDocument/2006/relationships/hyperlink" Target="https://www.amazon.in/TP-Link-Wireless-Adapter-Archer-T2U/dp/B07P681N66/ref=sr_1_341?qid=1672903012&amp;s=computers&amp;sr=1-341" TargetMode="External"/><Relationship Id="rId419" Type="http://schemas.openxmlformats.org/officeDocument/2006/relationships/hyperlink" Target="https://www.amazon.in/Ambrane-20000mAh-Lithium-Polymer-Stylo-20K/dp/B07RD611Z8/ref=sr_1_86?qid=1672895770&amp;s=electronics&amp;sr=1-86" TargetMode="External"/><Relationship Id="rId418" Type="http://schemas.openxmlformats.org/officeDocument/2006/relationships/hyperlink" Target="https://www.amazon.in/Samsung-microSDXC-Memory-Adapter-MB-MC64KA/dp/B09MT6XSFW/ref=sr_1_85?qid=1672895770&amp;s=electronics&amp;sr=1-85" TargetMode="External"/><Relationship Id="rId417" Type="http://schemas.openxmlformats.org/officeDocument/2006/relationships/hyperlink" Target="https://www.amazon.in/Tangent-Lite-Magnetic-Bluetooth-Headphones/dp/B085W8CFLH/ref=sr_1_84?qid=1672895770&amp;s=electronics&amp;sr=1-84" TargetMode="External"/><Relationship Id="rId659" Type="http://schemas.openxmlformats.org/officeDocument/2006/relationships/hyperlink" Target="https://www.amazon.in/Ambrane-20000mAh-Lithium-Polymer-Stylo-20K/dp/B07RD611Z8/ref=sr_1_77?qid=1672902998&amp;s=computers&amp;sr=1-77" TargetMode="External"/><Relationship Id="rId416" Type="http://schemas.openxmlformats.org/officeDocument/2006/relationships/hyperlink" Target="https://www.amazon.in/Nokia-105-Single-Keypad-Wireless/dp/B09V2PZDX8/ref=sr_1_83?qid=1672895770&amp;s=electronics&amp;sr=1-83" TargetMode="External"/><Relationship Id="rId658" Type="http://schemas.openxmlformats.org/officeDocument/2006/relationships/hyperlink" Target="https://www.amazon.in/Boult-Audio-Curve-Sweatproof-Headphones/dp/B07LG59NPV/ref=sr_1_76?qid=1672902998&amp;s=computers&amp;sr=1-76" TargetMode="External"/><Relationship Id="rId891" Type="http://schemas.openxmlformats.org/officeDocument/2006/relationships/hyperlink" Target="https://www.amazon.in/Portronics-Multimedia-Wireless-Keyboard-Technology/dp/B0BHYJ8CVF/ref=sr_1_336?qid=1672903011&amp;s=computers&amp;sr=1-336" TargetMode="External"/><Relationship Id="rId890" Type="http://schemas.openxmlformats.org/officeDocument/2006/relationships/hyperlink" Target="https://www.amazon.in/LIRAMARK-Webcam-Blocker-Computer-MacBook/dp/B08BQ947H3/ref=sr_1_335?qid=1672903011&amp;s=computers&amp;sr=1-335" TargetMode="External"/><Relationship Id="rId1240" Type="http://schemas.openxmlformats.org/officeDocument/2006/relationships/hyperlink" Target="https://www.amazon.in/Philips-Garment-Steamer-GC523-60/dp/B07DZ986Q2/ref=sr_1_253?qid=1672923605&amp;s=kitchen&amp;sr=1-253" TargetMode="External"/><Relationship Id="rId1241" Type="http://schemas.openxmlformats.org/officeDocument/2006/relationships/hyperlink" Target="https://www.amazon.in/Brayden-Plastic-Express-Bi-Level-Stainless/dp/B07KKJPTWB/ref=sr_1_254?qid=1672923605&amp;s=kitchen&amp;sr=1-254" TargetMode="External"/><Relationship Id="rId411" Type="http://schemas.openxmlformats.org/officeDocument/2006/relationships/hyperlink" Target="https://www.amazon.in/Samsung-Galaxy-Storage-6000mAh-Battery/dp/B0B4F2TTTS/ref=sr_1_78?qid=1672895770&amp;s=electronics&amp;sr=1-78" TargetMode="External"/><Relationship Id="rId653" Type="http://schemas.openxmlformats.org/officeDocument/2006/relationships/hyperlink" Target="https://www.amazon.in/Zebronics-Zeb-Transformer-M-Optical-Gaming-Effect/dp/B0819HZPXL/ref=sr_1_71?qid=1672902997&amp;s=computers&amp;sr=1-71" TargetMode="External"/><Relationship Id="rId895" Type="http://schemas.openxmlformats.org/officeDocument/2006/relationships/hyperlink" Target="https://www.amazon.in/Classmate-Octane-Pen-Neon-Refills/dp/B07VV37FT4/ref=sr_1_340?qid=1672903012&amp;s=computers&amp;sr=1-340" TargetMode="External"/><Relationship Id="rId1000" Type="http://schemas.openxmlformats.org/officeDocument/2006/relationships/hyperlink" Target="https://www.amazon.in/TP-Link-TL-WA855RE-Wi-Fi-Range-Extender/dp/B00EYW1U68/ref=sr_1_462?qid=1672903018&amp;s=computers&amp;sr=1-462" TargetMode="External"/><Relationship Id="rId1242" Type="http://schemas.openxmlformats.org/officeDocument/2006/relationships/hyperlink" Target="https://www.amazon.in/Wonderchef-Nutri-Blend-63152293-400-Watt-Grinder/dp/B071R3LHFM/ref=sr_1_255?qid=1672923605&amp;s=kitchen&amp;sr=1-255" TargetMode="External"/><Relationship Id="rId410" Type="http://schemas.openxmlformats.org/officeDocument/2006/relationships/hyperlink" Target="https://www.amazon.in/Boom-Ultima-Headphones-Cancelling-Earphones/dp/B08D75R3Z1/ref=sr_1_77?qid=1672895770&amp;s=electronics&amp;sr=1-77" TargetMode="External"/><Relationship Id="rId652" Type="http://schemas.openxmlformats.org/officeDocument/2006/relationships/hyperlink" Target="https://www.amazon.in/Eveready-1015-Carbon-Zinc-Battery/dp/B07Q7561HD/ref=sr_1_70?qid=1672902997&amp;s=computers&amp;sr=1-70" TargetMode="External"/><Relationship Id="rId894" Type="http://schemas.openxmlformats.org/officeDocument/2006/relationships/hyperlink" Target="https://www.amazon.in/Western-Digital-Green-240GB-Internal/dp/B09TMZ1MF8/ref=sr_1_339?qid=1672903012&amp;s=computers&amp;sr=1-339" TargetMode="External"/><Relationship Id="rId1001" Type="http://schemas.openxmlformats.org/officeDocument/2006/relationships/hyperlink" Target="https://www.amazon.in/boAt-Stone-250-Playback-Hours/dp/B08SMJT55F/ref=sr_1_464?qid=1672903018&amp;s=computers&amp;sr=1-464" TargetMode="External"/><Relationship Id="rId1243" Type="http://schemas.openxmlformats.org/officeDocument/2006/relationships/hyperlink" Target="https://www.amazon.in/Usha-Janome-Dream-Stitch-Automatic/dp/B086X18Q71/ref=sr_1_259?qid=1672923605&amp;s=kitchen&amp;sr=1-259" TargetMode="External"/><Relationship Id="rId651" Type="http://schemas.openxmlformats.org/officeDocument/2006/relationships/hyperlink" Target="https://www.amazon.in/Boult-Audio-PowerBuds-Wireless-Waterproof/dp/B08D11DZ2W/ref=sr_1_69?qid=1672902997&amp;s=computers&amp;sr=1-69" TargetMode="External"/><Relationship Id="rId893" Type="http://schemas.openxmlformats.org/officeDocument/2006/relationships/hyperlink" Target="https://www.amazon.in/Zebronics-Zeb-Sound-N1-Bluetooth-Assistant/dp/B0B2931FCV/ref=sr_1_338?qid=1672903012&amp;s=computers&amp;sr=1-338" TargetMode="External"/><Relationship Id="rId1002" Type="http://schemas.openxmlformats.org/officeDocument/2006/relationships/hyperlink" Target="https://www.amazon.in/SWAPKART-Charging-Compatible-iPhone-Devices/dp/B0B2DJDCPX/ref=sr_1_465?qid=1672903018&amp;s=computers&amp;sr=1-465" TargetMode="External"/><Relationship Id="rId1244" Type="http://schemas.openxmlformats.org/officeDocument/2006/relationships/hyperlink" Target="https://www.amazon.in/BXGS1501IN-Handheld-Portable-Garment-Steamer/dp/B07WVQG8WZ/ref=sr_1_260?qid=1672923605&amp;s=kitchen&amp;sr=1-260" TargetMode="External"/><Relationship Id="rId650" Type="http://schemas.openxmlformats.org/officeDocument/2006/relationships/hyperlink" Target="https://www.amazon.in/DELL-WM118-Wireless-Optical-Mouse/dp/B07JPX9CR7/ref=sr_1_68?qid=1672902997&amp;s=computers&amp;sr=1-68" TargetMode="External"/><Relationship Id="rId892" Type="http://schemas.openxmlformats.org/officeDocument/2006/relationships/hyperlink" Target="https://www.amazon.in/SupCares-Adjustable-Aluminium-Ventilated-Foldable/dp/B0BCVJ3PVP/ref=sr_1_337?qid=1672903012&amp;s=computers&amp;sr=1-337" TargetMode="External"/><Relationship Id="rId1003" Type="http://schemas.openxmlformats.org/officeDocument/2006/relationships/hyperlink" Target="https://www.amazon.in/Offbeat-Wireless-Bluetooth-Rechargeable-Adjustable/dp/B08Y7MXFMK/ref=sr_1_466?qid=1672903018&amp;s=computers&amp;sr=1-466" TargetMode="External"/><Relationship Id="rId1245" Type="http://schemas.openxmlformats.org/officeDocument/2006/relationships/hyperlink" Target="https://www.amazon.in/Personal-Blender-Portable-Battery-Smoothies/dp/B0BFBNXS94/ref=sr_1_261_mod_primary_new?qid=1672923605&amp;s=kitchen&amp;sbo=RZvfv%2F%2FHxDF%2BO5021pAnSA%3D%3D&amp;sr=1-261" TargetMode="External"/><Relationship Id="rId1037" Type="http://schemas.openxmlformats.org/officeDocument/2006/relationships/hyperlink" Target="https://www.amazon.in/Orpat-OEH-1260-2000-Watt-Heater-Grey/dp/B00O24PUO6/ref=sr_1_24?qid=1672923591&amp;s=kitchen&amp;sr=1-24" TargetMode="External"/><Relationship Id="rId1279" Type="http://schemas.openxmlformats.org/officeDocument/2006/relationships/hyperlink" Target="https://www.amazon.in/KENT-Chopper-B-Stainless-Transparent-Anti-Skid/dp/B0B935YNR7/ref=sr_1_293?qid=1672923607&amp;s=kitchen&amp;sr=1-293" TargetMode="External"/><Relationship Id="rId1038" Type="http://schemas.openxmlformats.org/officeDocument/2006/relationships/hyperlink" Target="https://www.amazon.in/PRO365-Electric-Coffee-Stirrer-Frother/dp/B07GXPDLYQ/ref=sr_1_25?qid=1672923591&amp;s=kitchen&amp;sr=1-25" TargetMode="External"/><Relationship Id="rId1039" Type="http://schemas.openxmlformats.org/officeDocument/2006/relationships/hyperlink" Target="https://www.amazon.in/Bajaj-Majesty-1000-Watt-Iron-White/dp/B01C8P29N0/ref=sr_1_26?qid=1672923591&amp;s=kitchen&amp;sr=1-26" TargetMode="External"/><Relationship Id="rId206" Type="http://schemas.openxmlformats.org/officeDocument/2006/relationships/hyperlink" Target="https://www.amazon.in/BlueRigger-High-Speed-Cable-Ethernet/dp/B00GG59HU2/ref=sr_1_225?qid=1672909135&amp;s=electronics&amp;sr=1-225" TargetMode="External"/><Relationship Id="rId448" Type="http://schemas.openxmlformats.org/officeDocument/2006/relationships/hyperlink" Target="https://www.amazon.in/OPPO-Fluid-Black-128GB-Storage/dp/B08VB2CMR3/ref=sr_1_122?qid=1672895777&amp;s=electronics&amp;sr=1-122" TargetMode="External"/><Relationship Id="rId205" Type="http://schemas.openxmlformats.org/officeDocument/2006/relationships/hyperlink" Target="https://www.amazon.in/Cotbolt-Compatible-BN59-01312A-Shockproof-Protective/dp/B09C635BMM/ref=sr_1_224?qid=1672909135&amp;s=electronics&amp;sr=1-224" TargetMode="External"/><Relationship Id="rId447" Type="http://schemas.openxmlformats.org/officeDocument/2006/relationships/hyperlink" Target="https://www.amazon.in/Samsung-Stardust-Storage-6000mAh-Battery/dp/B0B4F2ZWL3/ref=sr_1_121?qid=1672895777&amp;s=electronics&amp;sr=1-121" TargetMode="External"/><Relationship Id="rId689" Type="http://schemas.openxmlformats.org/officeDocument/2006/relationships/hyperlink" Target="https://www.amazon.in/HP-150-Ambidextrous-Wireless-Mouse/dp/B09GB5B4BK/ref=sr_1_113?qid=1672903000&amp;s=computers&amp;sr=1-113" TargetMode="External"/><Relationship Id="rId204" Type="http://schemas.openxmlformats.org/officeDocument/2006/relationships/hyperlink" Target="https://www.amazon.in/Universal-Remote-Control-Sony-Bravia/dp/B07ZR4S1G4/ref=sr_1_223_mod_primary_new?qid=1672909135&amp;s=electronics&amp;sbo=RZvfv%2F%2FHxDF%2BO5021pAnSA%3D%3D&amp;sr=1-223" TargetMode="External"/><Relationship Id="rId446" Type="http://schemas.openxmlformats.org/officeDocument/2006/relationships/hyperlink" Target="https://www.amazon.in/Ambrane-Multi-Layer-Protection-Li-Polymer-Stylo-10k/dp/B09MZCQYHZ/ref=sr_1_120?qid=1672895777&amp;s=electronics&amp;sr=1-120" TargetMode="External"/><Relationship Id="rId688" Type="http://schemas.openxmlformats.org/officeDocument/2006/relationships/hyperlink" Target="https://www.amazon.in/HP-MicroSD-U1-TF-Card-32GB/dp/B07DJLFMPS/ref=sr_1_110?qid=1672903000&amp;s=computers&amp;sr=1-110" TargetMode="External"/><Relationship Id="rId203" Type="http://schemas.openxmlformats.org/officeDocument/2006/relationships/hyperlink" Target="https://www.amazon.in/Storite%C2%AE-USB-2-0-Mini-0-88feet/dp/B00GGGOYEK/ref=sr_1_222?qid=1672909135&amp;s=electronics&amp;sr=1-222" TargetMode="External"/><Relationship Id="rId445" Type="http://schemas.openxmlformats.org/officeDocument/2006/relationships/hyperlink" Target="https://www.amazon.in/Rugged-Extra-Tough-Unbreakable-Braided/dp/B0789LZTCJ/ref=sr_1_119?qid=1672895777&amp;s=electronics&amp;sr=1-119" TargetMode="External"/><Relationship Id="rId687" Type="http://schemas.openxmlformats.org/officeDocument/2006/relationships/hyperlink" Target="https://www.amazon.in/Classmate-Premium-Subject-Notebook-Single/dp/B00LZLQ624/ref=sr_1_108?qid=1672903000&amp;s=computers&amp;sr=1-108" TargetMode="External"/><Relationship Id="rId209" Type="http://schemas.openxmlformats.org/officeDocument/2006/relationships/hyperlink" Target="https://www.amazon.in/POPIO-Charging-Cable-OnePlus-Devices/dp/B07HZ2QCGR/ref=sr_1_228?qid=1672909135&amp;s=electronics&amp;sr=1-228" TargetMode="External"/><Relationship Id="rId208" Type="http://schemas.openxmlformats.org/officeDocument/2006/relationships/hyperlink" Target="https://www.amazon.in/TCL-inches-Certified-Android-32S615/dp/B09ZPJT8B2/ref=sr_1_227?qid=1672909135&amp;s=electronics&amp;sr=1-227" TargetMode="External"/><Relationship Id="rId207" Type="http://schemas.openxmlformats.org/officeDocument/2006/relationships/hyperlink" Target="https://www.amazon.in/Amkette-Charging-Cable-iPhone-Touch/dp/B00RGLI0ZS/ref=sr_1_226?qid=1672909135&amp;s=electronics&amp;sr=1-226" TargetMode="External"/><Relationship Id="rId449" Type="http://schemas.openxmlformats.org/officeDocument/2006/relationships/hyperlink" Target="https://www.amazon.in/Spigen-Tempered-Screen-Protector-iPhone/dp/B095RTJH1M/ref=sr_1_123?qid=1672895777&amp;s=electronics&amp;sr=1-123" TargetMode="External"/><Relationship Id="rId1270" Type="http://schemas.openxmlformats.org/officeDocument/2006/relationships/hyperlink" Target="https://www.amazon.in/HUL-Pureit-Germkill-Advanced-Purifier/dp/B00B3VFJY2/ref=sr_1_287?qid=1672923606&amp;s=kitchen&amp;sr=1-287" TargetMode="External"/><Relationship Id="rId440" Type="http://schemas.openxmlformats.org/officeDocument/2006/relationships/hyperlink" Target="https://www.amazon.in/Portronics-POR-122-MODESK-Universal-Mobile/dp/B07N8RQ6W7/ref=sr_1_111?qid=1672895777&amp;s=electronics&amp;sr=1-111" TargetMode="External"/><Relationship Id="rId682" Type="http://schemas.openxmlformats.org/officeDocument/2006/relationships/hyperlink" Target="https://www.amazon.in/Zebronics-Zeb-Thunder-Bluetooth-Headphone-Input/dp/B07L8KNP5F/ref=sr_1_103?qid=1672903000&amp;s=computers&amp;sr=1-103" TargetMode="External"/><Relationship Id="rId1271" Type="http://schemas.openxmlformats.org/officeDocument/2006/relationships/hyperlink" Target="https://www.amazon.in/PrettyKrafts-Folding-Laundry-Clothes-Organiser/dp/B08W9BK4MD/ref=sr_1_288?qid=1672923606&amp;s=kitchen&amp;sr=1-288" TargetMode="External"/><Relationship Id="rId681" Type="http://schemas.openxmlformats.org/officeDocument/2006/relationships/hyperlink" Target="https://www.amazon.in/Epson-003-Black-Ink-Bottle/dp/B07L5L4GTB/ref=sr_1_102?qid=1672903000&amp;s=computers&amp;sr=1-102" TargetMode="External"/><Relationship Id="rId1030" Type="http://schemas.openxmlformats.org/officeDocument/2006/relationships/hyperlink" Target="https://www.amazon.in/Pigeon-Stovekraft-Plastic-Chopper-Blades/dp/B01LWYDEQ7/ref=sr_1_12?qid=1672923591&amp;s=kitchen&amp;sr=1-12" TargetMode="External"/><Relationship Id="rId1272" Type="http://schemas.openxmlformats.org/officeDocument/2006/relationships/hyperlink" Target="https://www.amazon.in/Ikea-PRODUKT-Milk-frother-Frother-Handheld/dp/B09X5HD5T1/ref=sr_1_289_mod_primary_new?qid=1672923606&amp;s=kitchen&amp;sbo=RZvfv%2F%2FHxDF%2BO5021pAnSA%3D%3D&amp;sr=1-289" TargetMode="External"/><Relationship Id="rId680" Type="http://schemas.openxmlformats.org/officeDocument/2006/relationships/hyperlink" Target="https://www.amazon.in/Notebook-MacBook-Computer-Anti-Skid-Mousepad/dp/B08QJJCY2Q/ref=sr_1_101?qid=1672903000&amp;s=computers&amp;sr=1-101" TargetMode="External"/><Relationship Id="rId1031" Type="http://schemas.openxmlformats.org/officeDocument/2006/relationships/hyperlink" Target="https://www.amazon.in/Prestige-1-5-Kettle-1500-watts-Red/dp/B07VNFP3C2/ref=sr_1_16?qid=1672923591&amp;s=kitchen&amp;sr=1-16" TargetMode="External"/><Relationship Id="rId1273" Type="http://schemas.openxmlformats.org/officeDocument/2006/relationships/hyperlink" Target="https://www.amazon.in/EasySpeed-GC2147-30-Resistant-Soleplate/dp/B08H6B3G96/ref=sr_1_290?qid=1672923606&amp;s=kitchen&amp;sr=1-290" TargetMode="External"/><Relationship Id="rId1032" Type="http://schemas.openxmlformats.org/officeDocument/2006/relationships/hyperlink" Target="https://www.amazon.in/Bajaj-RHX-2-800-Watt-Room-Heater/dp/B00LUGTJGO/ref=sr_1_17?qid=1672923591&amp;s=kitchen&amp;sr=1-17" TargetMode="External"/><Relationship Id="rId1274" Type="http://schemas.openxmlformats.org/officeDocument/2006/relationships/hyperlink" Target="https://www.amazon.in/Bajaj-New-Shakti-Neo-Storage/dp/B09N3BFP4M/ref=sr_1_291?qid=1672923606&amp;s=kitchen&amp;sr=1-291" TargetMode="External"/><Relationship Id="rId202" Type="http://schemas.openxmlformats.org/officeDocument/2006/relationships/hyperlink" Target="https://www.amazon.in/Caldipree-Silicone-Compatible-BN68-13897A-2022-BLACK/dp/B0BCKWZ884/ref=sr_1_221?qid=1672909135&amp;s=electronics&amp;sr=1-221" TargetMode="External"/><Relationship Id="rId444" Type="http://schemas.openxmlformats.org/officeDocument/2006/relationships/hyperlink" Target="https://www.amazon.in/iQOO-Raven-Black-128GB-Storage/dp/B07WGPKTS4/ref=sr_1_118?qid=1672895777&amp;s=electronics&amp;sr=1-118" TargetMode="External"/><Relationship Id="rId686" Type="http://schemas.openxmlformats.org/officeDocument/2006/relationships/hyperlink" Target="https://www.amazon.in/AmazonBasics-Flexible-HDMI-Cable-3-Foot/dp/B07KSMBL2H/ref=sr_1_107?qid=1672903000&amp;s=computers&amp;sr=1-107" TargetMode="External"/><Relationship Id="rId1033" Type="http://schemas.openxmlformats.org/officeDocument/2006/relationships/hyperlink" Target="https://www.amazon.in/Prestige-Electric-Kettle-PKOSS-1500watts/dp/B01MQZ7J8K/ref=sr_1_18?qid=1672923591&amp;s=kitchen&amp;sr=1-18" TargetMode="External"/><Relationship Id="rId1275" Type="http://schemas.openxmlformats.org/officeDocument/2006/relationships/hyperlink" Target="https://www.amazon.in/House-Quirk-Reusable-Easy-Tear-Multicolour/dp/B09DSQXCM8/ref=sr_1_292?qid=1672923606&amp;s=kitchen&amp;sr=1-292" TargetMode="External"/><Relationship Id="rId201" Type="http://schemas.openxmlformats.org/officeDocument/2006/relationships/hyperlink" Target="https://www.amazon.in/Time-Office-Replacement-Startek-FM220U/dp/B08XMG618K/ref=sr_1_220?qid=1672909135&amp;s=electronics&amp;sr=1-220" TargetMode="External"/><Relationship Id="rId443" Type="http://schemas.openxmlformats.org/officeDocument/2006/relationships/hyperlink" Target="https://www.amazon.in/Nokia-105-Single-Keypad-Wireless/dp/B09YDFDVNS/ref=sr_1_117?qid=1672895777&amp;s=electronics&amp;sr=1-117" TargetMode="External"/><Relationship Id="rId685" Type="http://schemas.openxmlformats.org/officeDocument/2006/relationships/hyperlink" Target="https://www.amazon.in/Logitech-Silent-Wireless-Mouse-Charcoal/dp/B01M72LILF/ref=sr_1_106?qid=1672903000&amp;s=computers&amp;sr=1-106" TargetMode="External"/><Relationship Id="rId1034" Type="http://schemas.openxmlformats.org/officeDocument/2006/relationships/hyperlink" Target="https://www.amazon.in/Pigeon-Stovekraft-Cruise-1800-Watt-Induction/dp/B01GFTEV5Y/ref=sr_1_20?qid=1672923591&amp;s=kitchen&amp;sr=1-20" TargetMode="External"/><Relationship Id="rId1276" Type="http://schemas.openxmlformats.org/officeDocument/2006/relationships/hyperlink" Target="https://www.amazon.in/Allin-Exporters-Ultrasonic-Humidifier-Purifier/dp/B01M69WCZ6/ref=sr_1_293?qid=1672923606&amp;s=kitchen&amp;sr=1-293" TargetMode="External"/><Relationship Id="rId200" Type="http://schemas.openxmlformats.org/officeDocument/2006/relationships/hyperlink" Target="https://www.amazon.in/Belkin-Lightning-AirPods-MFi-Certified-Charging/dp/B084MZXJN6/ref=sr_1_218?qid=1672909135&amp;s=electronics&amp;sr=1-218" TargetMode="External"/><Relationship Id="rId442" Type="http://schemas.openxmlformats.org/officeDocument/2006/relationships/hyperlink" Target="https://www.amazon.in/Power-10000mAh-Metallic-Output-Charging/dp/B08HVJCW95/ref=sr_1_116?qid=1672895777&amp;s=electronics&amp;sr=1-116" TargetMode="External"/><Relationship Id="rId684" Type="http://schemas.openxmlformats.org/officeDocument/2006/relationships/hyperlink" Target="https://www.amazon.in/STRIFF-Adjustable-Ventilated-Ergonomic-Compatibility/dp/B09XX51X2G/ref=sr_1_105?qid=1672903000&amp;s=computers&amp;sr=1-105" TargetMode="External"/><Relationship Id="rId1035" Type="http://schemas.openxmlformats.org/officeDocument/2006/relationships/hyperlink" Target="https://www.amazon.in/Prestige-PKGSS-Electric-Kettle-Stainless/dp/B00NW4UWN6/ref=sr_1_22?qid=1672923591&amp;s=kitchen&amp;sr=1-22" TargetMode="External"/><Relationship Id="rId1277" Type="http://schemas.openxmlformats.org/officeDocument/2006/relationships/hyperlink" Target="https://www.amazon.in/Multifunctional-Electric-Automatic-Non-Stick-Pan-Tiger/dp/B0BM9H2NY9/ref=sr_1_294?qid=1672923606&amp;s=kitchen&amp;sr=1-294" TargetMode="External"/><Relationship Id="rId441" Type="http://schemas.openxmlformats.org/officeDocument/2006/relationships/hyperlink" Target="https://www.amazon.in/realme-narzo-Mint-Green-Storage/dp/B09FKDH6FS/ref=sr_1_115?qid=1672895777&amp;s=electronics&amp;sr=1-115" TargetMode="External"/><Relationship Id="rId683" Type="http://schemas.openxmlformats.org/officeDocument/2006/relationships/hyperlink" Target="https://www.amazon.in/Quantum-QHM-7406-Spill-Resistant-Wired-Keyboard/dp/B08CF4SCNP/ref=sr_1_104?qid=1672903000&amp;s=computers&amp;sr=1-104" TargetMode="External"/><Relationship Id="rId1036" Type="http://schemas.openxmlformats.org/officeDocument/2006/relationships/hyperlink" Target="https://www.amazon.in/SHOP-Plastic-Sweaters-Blankets-Multicolour/dp/B01NCVJMKX/ref=sr_1_23?qid=1672923591&amp;s=kitchen&amp;sr=1-23" TargetMode="External"/><Relationship Id="rId1278" Type="http://schemas.openxmlformats.org/officeDocument/2006/relationships/hyperlink" Target="https://www.amazon.in/Maharaja-Whiteline-Carbon-Standard-5200100986/dp/B099FDW2ZF/ref=sr_1_292?qid=1672923607&amp;s=kitchen&amp;sr=1-292" TargetMode="External"/><Relationship Id="rId1026" Type="http://schemas.openxmlformats.org/officeDocument/2006/relationships/hyperlink" Target="https://www.amazon.in/Amazon-Brand-Solimo-2000-Watt-certified/dp/B07VX71FZP/ref=sr_1_7?qid=1672923591&amp;s=kitchen&amp;sr=1-7" TargetMode="External"/><Relationship Id="rId1268" Type="http://schemas.openxmlformats.org/officeDocument/2006/relationships/hyperlink" Target="https://www.amazon.in/Morphy-Richards-Aristo-PTC-Heater/dp/B01M265AAK/ref=sr_1_285?qid=1672923606&amp;s=kitchen&amp;sr=1-285" TargetMode="External"/><Relationship Id="rId1027" Type="http://schemas.openxmlformats.org/officeDocument/2006/relationships/hyperlink" Target="https://www.amazon.in/StyleHouse-Remover-Woolen-Clothes-Electric/dp/B07NCKMXVZ/ref=sr_1_8?qid=1672923591&amp;s=kitchen&amp;sr=1-8" TargetMode="External"/><Relationship Id="rId1269" Type="http://schemas.openxmlformats.org/officeDocument/2006/relationships/hyperlink" Target="https://www.amazon.in/Gadgetronics-Weighing-Warranty-Batteries-Included/dp/B0B694PXQJ/ref=sr_1_286?qid=1672923606&amp;s=kitchen&amp;sr=1-286" TargetMode="External"/><Relationship Id="rId1028" Type="http://schemas.openxmlformats.org/officeDocument/2006/relationships/hyperlink" Target="https://www.amazon.in/beatXP-Multipurpose-Portable-Electronic-Weighing/dp/B0B61DSF17/ref=sr_1_10?qid=1672923591&amp;s=kitchen&amp;sr=1-10" TargetMode="External"/><Relationship Id="rId1029" Type="http://schemas.openxmlformats.org/officeDocument/2006/relationships/hyperlink" Target="https://www.amazon.in/Multipurpose-Portable-Electronic-Digital-Weighing/dp/B07VQGVL68/ref=sr_1_11?qid=1672923591&amp;s=kitchen&amp;sr=1-11" TargetMode="External"/><Relationship Id="rId437" Type="http://schemas.openxmlformats.org/officeDocument/2006/relationships/hyperlink" Target="https://www.amazon.in/iQOO-Storage-Snapdragon-Purchased-Separately/dp/B07WDK3ZS6/ref=sr_1_108?qid=1672895777&amp;s=electronics&amp;sr=1-108" TargetMode="External"/><Relationship Id="rId679" Type="http://schemas.openxmlformats.org/officeDocument/2006/relationships/hyperlink" Target="https://www.amazon.in/boAt-Smartwatch-Multiple-Monitoring-Resistance/dp/B096VF5YYF/ref=sr_1_100?qid=1672903000&amp;s=computers&amp;sr=1-100" TargetMode="External"/><Relationship Id="rId436" Type="http://schemas.openxmlformats.org/officeDocument/2006/relationships/hyperlink" Target="https://www.amazon.in/iQOO-Lumina-Blue-128GB-Storage/dp/B07WHQWXL7/ref=sr_1_107?qid=1672895777&amp;s=electronics&amp;sr=1-107" TargetMode="External"/><Relationship Id="rId678" Type="http://schemas.openxmlformats.org/officeDocument/2006/relationships/hyperlink" Target="https://www.amazon.in/SanDisk-Ultra-Drive-Pendrive-Mobile/dp/B0819ZZK5K/ref=sr_1_99?qid=1672903000&amp;s=computers&amp;sr=1-99" TargetMode="External"/><Relationship Id="rId435" Type="http://schemas.openxmlformats.org/officeDocument/2006/relationships/hyperlink" Target="https://www.amazon.in/HP-MicroSD-U1-TF-Card-32GB/dp/B07DJLFMPS/ref=sr_1_106?qid=1672895777&amp;s=electronics&amp;sr=1-106" TargetMode="External"/><Relationship Id="rId677" Type="http://schemas.openxmlformats.org/officeDocument/2006/relationships/hyperlink" Target="https://www.amazon.in/Multi-Purpose-Foldable-Portable-Ergonomic-Non-Slip/dp/B07TR5HSR9/ref=sr_1_98?qid=1672903000&amp;s=computers&amp;sr=1-98" TargetMode="External"/><Relationship Id="rId434" Type="http://schemas.openxmlformats.org/officeDocument/2006/relationships/hyperlink" Target="https://www.amazon.in/WeCool-C1-Technology-Windshield-Extendable/dp/B09P858DK8/ref=sr_1_104?qid=1672895777&amp;s=electronics&amp;sr=1-104" TargetMode="External"/><Relationship Id="rId676" Type="http://schemas.openxmlformats.org/officeDocument/2006/relationships/hyperlink" Target="https://www.amazon.in/Panasonic-Lithium-CR2032-5BE-Battery/dp/B00LVMTA2A/ref=sr_1_97?qid=1672903000&amp;s=computers&amp;sr=1-97" TargetMode="External"/><Relationship Id="rId439" Type="http://schemas.openxmlformats.org/officeDocument/2006/relationships/hyperlink" Target="https://www.amazon.in/Boat-Bassheads-242-Earphones-Resistance/dp/B07S9S86BF/ref=sr_1_110?qid=1672895777&amp;s=electronics&amp;sr=1-110" TargetMode="External"/><Relationship Id="rId438" Type="http://schemas.openxmlformats.org/officeDocument/2006/relationships/hyperlink" Target="https://www.amazon.in/Redmi-Stealth-Additional-Exchange-Included/dp/B09T2S8X9C/ref=sr_1_109?qid=1672895777&amp;s=electronics&amp;sr=1-109" TargetMode="External"/><Relationship Id="rId671" Type="http://schemas.openxmlformats.org/officeDocument/2006/relationships/hyperlink" Target="https://www.amazon.in/Zebronics-Wired-Optical-Mouse-Black/dp/B079Y6JZC8/ref=sr_1_91?qid=1672902998&amp;s=computers&amp;sr=1-91" TargetMode="External"/><Relationship Id="rId1260" Type="http://schemas.openxmlformats.org/officeDocument/2006/relationships/hyperlink" Target="https://www.amazon.in/CSI-INTERNATIONAL%C2%AE-Instant-portable-Plastic/dp/B0836JGZ74/ref=sr_1_274?qid=1672923606&amp;s=kitchen&amp;sr=1-274" TargetMode="External"/><Relationship Id="rId670" Type="http://schemas.openxmlformats.org/officeDocument/2006/relationships/hyperlink" Target="https://www.amazon.in/MI-MTCY001IN-USB-Type-C-Cable/dp/B08DDRGWTJ/ref=sr_1_90?qid=1672902998&amp;s=computers&amp;sr=1-90" TargetMode="External"/><Relationship Id="rId1261" Type="http://schemas.openxmlformats.org/officeDocument/2006/relationships/hyperlink" Target="https://www.amazon.in/Hindware-Atlantic-Instant-Heating-Stainless/dp/B0BCKJJN8R/ref=sr_1_275?qid=1672923606&amp;s=kitchen&amp;sr=1-275" TargetMode="External"/><Relationship Id="rId1020" Type="http://schemas.openxmlformats.org/officeDocument/2006/relationships/hyperlink" Target="https://www.amazon.in/Lapster-compatible-OnePlus-charging-Compatible/dp/B0BMXMLSMM/ref=sr_1_497?qid=1672903019&amp;s=computers&amp;sr=1-497" TargetMode="External"/><Relationship Id="rId1262" Type="http://schemas.openxmlformats.org/officeDocument/2006/relationships/hyperlink" Target="https://www.amazon.in/Morphy-Richards-Europa-Espresso-Cappuccino/dp/B008P7IF02/ref=sr_1_276?qid=1672923606&amp;s=kitchen&amp;sr=1-276" TargetMode="External"/><Relationship Id="rId1021" Type="http://schemas.openxmlformats.org/officeDocument/2006/relationships/hyperlink" Target="https://www.amazon.in/Receiver-300Mbps-802-11b-Wireless-Network/dp/B0141EZMAI/ref=sr_1_498?qid=1672903019&amp;s=computers&amp;sr=1-498" TargetMode="External"/><Relationship Id="rId1263" Type="http://schemas.openxmlformats.org/officeDocument/2006/relationships/hyperlink" Target="https://www.amazon.in/Lifelong-PowerPro-Mixer-Grinder-Super/dp/B08CNLYKW5/ref=sr_1_277?qid=1672923606&amp;s=kitchen&amp;sr=1-277" TargetMode="External"/><Relationship Id="rId433" Type="http://schemas.openxmlformats.org/officeDocument/2006/relationships/hyperlink" Target="https://www.amazon.in/Goldmedal-202042-Plastic-Universal-Adaptor/dp/B0116MIKKC/ref=sr_1_103?qid=1672895777&amp;s=electronics&amp;sr=1-103" TargetMode="External"/><Relationship Id="rId675" Type="http://schemas.openxmlformats.org/officeDocument/2006/relationships/hyperlink" Target="https://www.amazon.in/Portronics-POR-1081-Charging-1-2Meter-Function/dp/B08CF3D7QR/ref=sr_1_95?qid=1672902998&amp;s=computers&amp;sr=1-95" TargetMode="External"/><Relationship Id="rId1022" Type="http://schemas.openxmlformats.org/officeDocument/2006/relationships/hyperlink" Target="https://www.amazon.in/SWAPKART-Portable-Reading-Working-Bedroom/dp/B07QMRHWJD/ref=sr_1_499?qid=1672903019&amp;s=computers&amp;sr=1-499" TargetMode="External"/><Relationship Id="rId1264" Type="http://schemas.openxmlformats.org/officeDocument/2006/relationships/hyperlink" Target="https://www.amazon.in/CTEK15L-Premium-Stainless-Electric-Cut-Off/dp/B08C7TYHPB/ref=sr_1_278?qid=1672923606&amp;s=kitchen&amp;sr=1-278" TargetMode="External"/><Relationship Id="rId432" Type="http://schemas.openxmlformats.org/officeDocument/2006/relationships/hyperlink" Target="https://www.amazon.in/oraimo-firefly-2s-charger-micro-usb-multi-protection/dp/B089WB69Y1/ref=sr_1_102?qid=1672895777&amp;s=electronics&amp;sr=1-102" TargetMode="External"/><Relationship Id="rId674" Type="http://schemas.openxmlformats.org/officeDocument/2006/relationships/hyperlink" Target="https://www.amazon.in/GIZGA-Protector-Charging-Protective-G55/dp/B08MTCKDYN/ref=sr_1_94?qid=1672902998&amp;s=computers&amp;sr=1-94" TargetMode="External"/><Relationship Id="rId1023" Type="http://schemas.openxmlformats.org/officeDocument/2006/relationships/hyperlink" Target="https://www.amazon.in/Infinity-Fuze-100-Waterproof-Portable/dp/B07W7Z6DVL/ref=sr_1_500?qid=1672903019&amp;s=computers&amp;sr=1-500" TargetMode="External"/><Relationship Id="rId1265" Type="http://schemas.openxmlformats.org/officeDocument/2006/relationships/hyperlink" Target="https://www.amazon.in/OPERATION-CHARGING-MULTI-CLIP-FUNCTION-PERSONAL/dp/B08VJFYH6N/ref=sr_1_279?qid=1672923606&amp;s=kitchen&amp;sr=1-279" TargetMode="External"/><Relationship Id="rId431" Type="http://schemas.openxmlformats.org/officeDocument/2006/relationships/hyperlink" Target="https://www.amazon.in/Redmi-Phantom-Additional-Exchange-Included/dp/B09T2WRLJJ/ref=sr_1_101?qid=1672895777&amp;s=electronics&amp;sr=1-101" TargetMode="External"/><Relationship Id="rId673" Type="http://schemas.openxmlformats.org/officeDocument/2006/relationships/hyperlink" Target="https://www.amazon.in/ZEBRONICS-Zeb-Astra-20-Wireless-Rechargeable/dp/B0B12K5BPM/ref=sr_1_93?qid=1672902998&amp;s=computers&amp;sr=1-93" TargetMode="External"/><Relationship Id="rId1024" Type="http://schemas.openxmlformats.org/officeDocument/2006/relationships/hyperlink" Target="https://www.amazon.in/Pigeon-Amaze-Plus-1-5-Ltr/dp/B07WMS7TWB/ref=sr_1_5?qid=1672923591&amp;s=kitchen&amp;sr=1-5" TargetMode="External"/><Relationship Id="rId1266" Type="http://schemas.openxmlformats.org/officeDocument/2006/relationships/hyperlink" Target="https://www.amazon.in/Crompton-InstaGlide-Certified-Dry-Iron/dp/B08235JZFB/ref=sr_1_283?qid=1672923606&amp;s=kitchen&amp;sr=1-283" TargetMode="External"/><Relationship Id="rId430" Type="http://schemas.openxmlformats.org/officeDocument/2006/relationships/hyperlink" Target="https://www.amazon.in/Portronics-POR-1081-Charging-1-2Meter-Function/dp/B08CF3D7QR/ref=sr_1_100?qid=1672895777&amp;s=electronics&amp;sr=1-100" TargetMode="External"/><Relationship Id="rId672" Type="http://schemas.openxmlformats.org/officeDocument/2006/relationships/hyperlink" Target="https://www.amazon.in/Rockerz-370-Headphone-Bluetooth-Lightweight/dp/B0856HNMR7/ref=sr_1_92?qid=1672902998&amp;s=computers&amp;sr=1-92" TargetMode="External"/><Relationship Id="rId1025" Type="http://schemas.openxmlformats.org/officeDocument/2006/relationships/hyperlink" Target="https://www.amazon.in/Usha-Quartz-800-Watt-Overheating-Protection/dp/B00H47GVGY/ref=sr_1_6?qid=1672923591&amp;s=kitchen&amp;sr=1-6" TargetMode="External"/><Relationship Id="rId1267" Type="http://schemas.openxmlformats.org/officeDocument/2006/relationships/hyperlink" Target="https://www.amazon.in/Prestige-PSWP-2-0-Purifier-Cartridge/dp/B078XFKBZL/ref=sr_1_284_mod_primary_new?qid=1672923606&amp;s=kitchen&amp;sbo=RZvfv%2F%2FHxDF%2BO5021pAnSA%3D%3D&amp;sr=1-284"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41.13"/>
  </cols>
  <sheetData>
    <row r="1">
      <c r="A1" s="1" t="s">
        <v>0</v>
      </c>
      <c r="B1" s="1" t="s">
        <v>1</v>
      </c>
      <c r="C1" s="1" t="s">
        <v>2</v>
      </c>
      <c r="D1" s="2" t="s">
        <v>3</v>
      </c>
      <c r="E1" s="2" t="s">
        <v>4</v>
      </c>
      <c r="F1" s="3" t="s">
        <v>5</v>
      </c>
      <c r="G1" s="4" t="s">
        <v>6</v>
      </c>
      <c r="H1" s="1" t="s">
        <v>7</v>
      </c>
      <c r="I1" s="1" t="s">
        <v>8</v>
      </c>
      <c r="J1" s="1" t="s">
        <v>9</v>
      </c>
      <c r="K1" s="1" t="s">
        <v>10</v>
      </c>
    </row>
    <row r="2">
      <c r="A2" s="1" t="s">
        <v>11</v>
      </c>
      <c r="B2" s="1" t="s">
        <v>12</v>
      </c>
      <c r="C2" s="1" t="s">
        <v>13</v>
      </c>
      <c r="D2" s="2">
        <v>399.0</v>
      </c>
      <c r="E2" s="2">
        <v>1099.0</v>
      </c>
      <c r="F2" s="3">
        <f t="shared" ref="F2:F176" si="1">((D2-E2)/-E2)</f>
        <v>0.6369426752</v>
      </c>
      <c r="G2" s="4">
        <f>IFERROR(__xludf.DUMMYFUNCTION("GOOGLEFINANCE(""CURRENCY:INRBRL"")*D2"),23.859209091479997)</f>
        <v>23.85920909</v>
      </c>
      <c r="H2" s="1">
        <v>5.0</v>
      </c>
      <c r="I2" s="1">
        <v>24269.0</v>
      </c>
      <c r="J2" s="1" t="s">
        <v>14</v>
      </c>
      <c r="K2" s="5" t="s">
        <v>15</v>
      </c>
    </row>
    <row r="3">
      <c r="A3" s="1" t="s">
        <v>16</v>
      </c>
      <c r="B3" s="1" t="s">
        <v>17</v>
      </c>
      <c r="C3" s="1" t="s">
        <v>13</v>
      </c>
      <c r="D3" s="2">
        <v>199.0</v>
      </c>
      <c r="E3" s="2">
        <v>349.0</v>
      </c>
      <c r="F3" s="3">
        <f t="shared" si="1"/>
        <v>0.4297994269</v>
      </c>
      <c r="G3" s="4">
        <f>IFERROR(__xludf.DUMMYFUNCTION("GOOGLEFINANCE(""CURRENCY:INRBRL"")*D3"),11.899705787479999)</f>
        <v>11.89970579</v>
      </c>
      <c r="H3" s="1">
        <v>5.0</v>
      </c>
      <c r="I3" s="1">
        <v>43994.0</v>
      </c>
      <c r="J3" s="1" t="s">
        <v>18</v>
      </c>
      <c r="K3" s="5" t="s">
        <v>19</v>
      </c>
    </row>
    <row r="4">
      <c r="A4" s="1" t="s">
        <v>20</v>
      </c>
      <c r="B4" s="1" t="s">
        <v>21</v>
      </c>
      <c r="C4" s="1" t="s">
        <v>13</v>
      </c>
      <c r="D4" s="2">
        <v>199.0</v>
      </c>
      <c r="E4" s="2">
        <v>1899.0</v>
      </c>
      <c r="F4" s="3">
        <f t="shared" si="1"/>
        <v>0.8952080042</v>
      </c>
      <c r="G4" s="4">
        <f>IFERROR(__xludf.DUMMYFUNCTION("GOOGLEFINANCE(""CURRENCY:INRBRL"")*D4"),11.899705787479999)</f>
        <v>11.89970579</v>
      </c>
      <c r="H4" s="1">
        <v>5.0</v>
      </c>
      <c r="I4" s="1">
        <v>7928.0</v>
      </c>
      <c r="J4" s="1" t="s">
        <v>22</v>
      </c>
      <c r="K4" s="5" t="s">
        <v>23</v>
      </c>
    </row>
    <row r="5">
      <c r="A5" s="1" t="s">
        <v>24</v>
      </c>
      <c r="B5" s="1" t="s">
        <v>25</v>
      </c>
      <c r="C5" s="1" t="s">
        <v>13</v>
      </c>
      <c r="D5" s="2">
        <v>329.0</v>
      </c>
      <c r="E5" s="2">
        <v>699.0</v>
      </c>
      <c r="F5" s="3">
        <f t="shared" si="1"/>
        <v>0.5293276109</v>
      </c>
      <c r="G5" s="4">
        <f>IFERROR(__xludf.DUMMYFUNCTION("GOOGLEFINANCE(""CURRENCY:INRBRL"")*D5"),19.67338293508)</f>
        <v>19.67338294</v>
      </c>
      <c r="H5" s="1">
        <v>4.52</v>
      </c>
      <c r="I5" s="1">
        <v>94363.0</v>
      </c>
      <c r="J5" s="1" t="s">
        <v>26</v>
      </c>
      <c r="K5" s="5" t="s">
        <v>27</v>
      </c>
    </row>
    <row r="6">
      <c r="A6" s="1" t="s">
        <v>28</v>
      </c>
      <c r="B6" s="1" t="s">
        <v>29</v>
      </c>
      <c r="C6" s="1" t="s">
        <v>13</v>
      </c>
      <c r="D6" s="2">
        <v>154.0</v>
      </c>
      <c r="E6" s="2">
        <v>399.0</v>
      </c>
      <c r="F6" s="3">
        <f t="shared" si="1"/>
        <v>0.6140350877</v>
      </c>
      <c r="G6" s="4">
        <f>IFERROR(__xludf.DUMMYFUNCTION("GOOGLEFINANCE(""CURRENCY:INRBRL"")*D6"),9.208817544079999)</f>
        <v>9.208817544</v>
      </c>
      <c r="H6" s="1">
        <v>4.52</v>
      </c>
      <c r="I6" s="1">
        <v>16905.0</v>
      </c>
      <c r="J6" s="1" t="s">
        <v>30</v>
      </c>
      <c r="K6" s="5" t="s">
        <v>31</v>
      </c>
    </row>
    <row r="7">
      <c r="A7" s="1" t="s">
        <v>32</v>
      </c>
      <c r="B7" s="1" t="s">
        <v>33</v>
      </c>
      <c r="C7" s="1" t="s">
        <v>13</v>
      </c>
      <c r="D7" s="2">
        <v>149.0</v>
      </c>
      <c r="E7" s="2">
        <v>999.0</v>
      </c>
      <c r="F7" s="3">
        <f t="shared" si="1"/>
        <v>0.8508508509</v>
      </c>
      <c r="G7" s="4">
        <f>IFERROR(__xludf.DUMMYFUNCTION("GOOGLEFINANCE(""CURRENCY:INRBRL"")*D7"),8.90982996148)</f>
        <v>8.909829961</v>
      </c>
      <c r="H7" s="1">
        <v>4.52</v>
      </c>
      <c r="I7" s="1">
        <v>24871.0</v>
      </c>
      <c r="J7" s="1" t="s">
        <v>34</v>
      </c>
      <c r="K7" s="5" t="s">
        <v>35</v>
      </c>
    </row>
    <row r="8">
      <c r="A8" s="1" t="s">
        <v>36</v>
      </c>
      <c r="B8" s="1" t="s">
        <v>37</v>
      </c>
      <c r="C8" s="1" t="s">
        <v>13</v>
      </c>
      <c r="D8" s="2">
        <v>176.63</v>
      </c>
      <c r="E8" s="2">
        <v>499.0</v>
      </c>
      <c r="F8" s="3">
        <f t="shared" si="1"/>
        <v>0.6460320641</v>
      </c>
      <c r="G8" s="4">
        <f>IFERROR(__xludf.DUMMYFUNCTION("GOOGLEFINANCE(""CURRENCY:INRBRL"")*D8"),10.562035342927599)</f>
        <v>10.56203534</v>
      </c>
      <c r="H8" s="1">
        <v>4.52</v>
      </c>
      <c r="I8" s="1">
        <v>15188.0</v>
      </c>
      <c r="J8" s="1" t="s">
        <v>38</v>
      </c>
      <c r="K8" s="5" t="s">
        <v>39</v>
      </c>
    </row>
    <row r="9">
      <c r="A9" s="1" t="s">
        <v>40</v>
      </c>
      <c r="B9" s="1" t="s">
        <v>41</v>
      </c>
      <c r="C9" s="1" t="s">
        <v>13</v>
      </c>
      <c r="D9" s="2">
        <v>229.0</v>
      </c>
      <c r="E9" s="2">
        <v>299.0</v>
      </c>
      <c r="F9" s="3">
        <f t="shared" si="1"/>
        <v>0.2341137124</v>
      </c>
      <c r="G9" s="4">
        <f>IFERROR(__xludf.DUMMYFUNCTION("GOOGLEFINANCE(""CURRENCY:INRBRL"")*D9"),13.693631283079998)</f>
        <v>13.69363128</v>
      </c>
      <c r="H9" s="1">
        <v>4.52</v>
      </c>
      <c r="I9" s="1">
        <v>30411.0</v>
      </c>
      <c r="J9" s="1" t="s">
        <v>42</v>
      </c>
      <c r="K9" s="5" t="s">
        <v>43</v>
      </c>
    </row>
    <row r="10">
      <c r="A10" s="1" t="s">
        <v>44</v>
      </c>
      <c r="B10" s="1" t="s">
        <v>45</v>
      </c>
      <c r="C10" s="1" t="s">
        <v>46</v>
      </c>
      <c r="D10" s="2">
        <v>499.0</v>
      </c>
      <c r="E10" s="2">
        <v>999.0</v>
      </c>
      <c r="F10" s="3">
        <f t="shared" si="1"/>
        <v>0.5005005005</v>
      </c>
      <c r="G10" s="4">
        <f>IFERROR(__xludf.DUMMYFUNCTION("GOOGLEFINANCE(""CURRENCY:INRBRL"")*D10"),29.838960743479998)</f>
        <v>29.83896074</v>
      </c>
      <c r="H10" s="1">
        <v>4.52</v>
      </c>
      <c r="I10" s="1">
        <v>179691.0</v>
      </c>
      <c r="J10" s="1" t="s">
        <v>47</v>
      </c>
      <c r="K10" s="5" t="s">
        <v>48</v>
      </c>
    </row>
    <row r="11">
      <c r="A11" s="1" t="s">
        <v>49</v>
      </c>
      <c r="B11" s="1" t="s">
        <v>50</v>
      </c>
      <c r="C11" s="1" t="s">
        <v>13</v>
      </c>
      <c r="D11" s="2">
        <v>199.0</v>
      </c>
      <c r="E11" s="2">
        <v>299.0</v>
      </c>
      <c r="F11" s="3">
        <f t="shared" si="1"/>
        <v>0.3344481605</v>
      </c>
      <c r="G11" s="4">
        <f>IFERROR(__xludf.DUMMYFUNCTION("GOOGLEFINANCE(""CURRENCY:INRBRL"")*D11"),11.899705787479999)</f>
        <v>11.89970579</v>
      </c>
      <c r="H11" s="1">
        <v>4.52</v>
      </c>
      <c r="I11" s="1">
        <v>43994.0</v>
      </c>
      <c r="J11" s="1" t="s">
        <v>51</v>
      </c>
      <c r="K11" s="5" t="s">
        <v>52</v>
      </c>
    </row>
    <row r="12">
      <c r="A12" s="1" t="s">
        <v>53</v>
      </c>
      <c r="B12" s="1" t="s">
        <v>54</v>
      </c>
      <c r="C12" s="1" t="s">
        <v>13</v>
      </c>
      <c r="D12" s="2">
        <v>154.0</v>
      </c>
      <c r="E12" s="2">
        <v>339.0</v>
      </c>
      <c r="F12" s="3">
        <f t="shared" si="1"/>
        <v>0.5457227139</v>
      </c>
      <c r="G12" s="4">
        <f>IFERROR(__xludf.DUMMYFUNCTION("GOOGLEFINANCE(""CURRENCY:INRBRL"")*D12"),9.208817544079999)</f>
        <v>9.208817544</v>
      </c>
      <c r="H12" s="1">
        <v>4.52</v>
      </c>
      <c r="I12" s="1">
        <v>13391.0</v>
      </c>
      <c r="J12" s="1" t="s">
        <v>55</v>
      </c>
      <c r="K12" s="5" t="s">
        <v>56</v>
      </c>
    </row>
    <row r="13">
      <c r="A13" s="1" t="s">
        <v>57</v>
      </c>
      <c r="B13" s="1" t="s">
        <v>58</v>
      </c>
      <c r="C13" s="1" t="s">
        <v>13</v>
      </c>
      <c r="D13" s="2">
        <v>299.0</v>
      </c>
      <c r="E13" s="2">
        <v>799.0</v>
      </c>
      <c r="F13" s="3">
        <f t="shared" si="1"/>
        <v>0.6257822278</v>
      </c>
      <c r="G13" s="4">
        <f>IFERROR(__xludf.DUMMYFUNCTION("GOOGLEFINANCE(""CURRENCY:INRBRL"")*D13"),17.87945743948)</f>
        <v>17.87945744</v>
      </c>
      <c r="H13" s="1">
        <v>4.52</v>
      </c>
      <c r="I13" s="1">
        <v>94363.0</v>
      </c>
      <c r="J13" s="1" t="s">
        <v>59</v>
      </c>
      <c r="K13" s="5" t="s">
        <v>60</v>
      </c>
    </row>
    <row r="14">
      <c r="A14" s="1" t="s">
        <v>61</v>
      </c>
      <c r="B14" s="1" t="s">
        <v>62</v>
      </c>
      <c r="C14" s="1" t="s">
        <v>63</v>
      </c>
      <c r="D14" s="2">
        <v>219.0</v>
      </c>
      <c r="E14" s="2">
        <v>700.0</v>
      </c>
      <c r="F14" s="3">
        <f t="shared" si="1"/>
        <v>0.6871428571</v>
      </c>
      <c r="G14" s="4">
        <f>IFERROR(__xludf.DUMMYFUNCTION("GOOGLEFINANCE(""CURRENCY:INRBRL"")*D14"),13.095656117879999)</f>
        <v>13.09565612</v>
      </c>
      <c r="H14" s="1">
        <v>4.52</v>
      </c>
      <c r="I14" s="1">
        <v>426973.0</v>
      </c>
      <c r="J14" s="1" t="s">
        <v>64</v>
      </c>
      <c r="K14" s="5" t="s">
        <v>65</v>
      </c>
    </row>
    <row r="15">
      <c r="A15" s="1" t="s">
        <v>66</v>
      </c>
      <c r="B15" s="1" t="s">
        <v>67</v>
      </c>
      <c r="C15" s="1" t="s">
        <v>13</v>
      </c>
      <c r="D15" s="2">
        <v>350.0</v>
      </c>
      <c r="E15" s="2">
        <v>899.0</v>
      </c>
      <c r="F15" s="3">
        <f t="shared" si="1"/>
        <v>0.6106785317</v>
      </c>
      <c r="G15" s="4">
        <f>IFERROR(__xludf.DUMMYFUNCTION("GOOGLEFINANCE(""CURRENCY:INRBRL"")*D15"),20.929130781999998)</f>
        <v>20.92913078</v>
      </c>
      <c r="H15" s="1">
        <v>4.52</v>
      </c>
      <c r="I15" s="1">
        <v>2262.0</v>
      </c>
      <c r="J15" s="1" t="s">
        <v>68</v>
      </c>
      <c r="K15" s="5" t="s">
        <v>69</v>
      </c>
    </row>
    <row r="16">
      <c r="A16" s="1" t="s">
        <v>70</v>
      </c>
      <c r="B16" s="1" t="s">
        <v>71</v>
      </c>
      <c r="C16" s="1" t="s">
        <v>13</v>
      </c>
      <c r="D16" s="2">
        <v>159.0</v>
      </c>
      <c r="E16" s="2">
        <v>399.0</v>
      </c>
      <c r="F16" s="3">
        <f t="shared" si="1"/>
        <v>0.6015037594</v>
      </c>
      <c r="G16" s="4">
        <f>IFERROR(__xludf.DUMMYFUNCTION("GOOGLEFINANCE(""CURRENCY:INRBRL"")*D16"),9.50780512668)</f>
        <v>9.507805127</v>
      </c>
      <c r="H16" s="1">
        <v>4.52</v>
      </c>
      <c r="I16" s="1">
        <v>4768.0</v>
      </c>
      <c r="J16" s="1" t="s">
        <v>30</v>
      </c>
      <c r="K16" s="5" t="s">
        <v>72</v>
      </c>
    </row>
    <row r="17">
      <c r="A17" s="1" t="s">
        <v>73</v>
      </c>
      <c r="B17" s="1" t="s">
        <v>74</v>
      </c>
      <c r="C17" s="1" t="s">
        <v>13</v>
      </c>
      <c r="D17" s="2">
        <v>349.0</v>
      </c>
      <c r="E17" s="2">
        <v>399.0</v>
      </c>
      <c r="F17" s="3">
        <f t="shared" si="1"/>
        <v>0.1253132832</v>
      </c>
      <c r="G17" s="4">
        <f>IFERROR(__xludf.DUMMYFUNCTION("GOOGLEFINANCE(""CURRENCY:INRBRL"")*D17"),20.869333265479998)</f>
        <v>20.86933327</v>
      </c>
      <c r="H17" s="1">
        <v>4.52</v>
      </c>
      <c r="I17" s="1">
        <v>18757.0</v>
      </c>
      <c r="J17" s="1" t="s">
        <v>75</v>
      </c>
      <c r="K17" s="5" t="s">
        <v>76</v>
      </c>
    </row>
    <row r="18">
      <c r="A18" s="1" t="s">
        <v>77</v>
      </c>
      <c r="B18" s="1" t="s">
        <v>78</v>
      </c>
      <c r="C18" s="1" t="s">
        <v>79</v>
      </c>
      <c r="D18" s="2">
        <v>13999.0</v>
      </c>
      <c r="E18" s="2">
        <v>24999.0</v>
      </c>
      <c r="F18" s="3">
        <f t="shared" si="1"/>
        <v>0.4400176007</v>
      </c>
      <c r="G18" s="4">
        <f>IFERROR(__xludf.DUMMYFUNCTION("GOOGLEFINANCE(""CURRENCY:INRBRL"")*D18"),837.1054337634799)</f>
        <v>837.1054338</v>
      </c>
      <c r="H18" s="1">
        <v>4.52</v>
      </c>
      <c r="I18" s="1">
        <v>3284.0</v>
      </c>
      <c r="J18" s="1" t="s">
        <v>80</v>
      </c>
      <c r="K18" s="5" t="s">
        <v>81</v>
      </c>
    </row>
    <row r="19">
      <c r="A19" s="1" t="s">
        <v>82</v>
      </c>
      <c r="B19" s="1" t="s">
        <v>83</v>
      </c>
      <c r="C19" s="1" t="s">
        <v>13</v>
      </c>
      <c r="D19" s="2">
        <v>249.0</v>
      </c>
      <c r="E19" s="2">
        <v>399.0</v>
      </c>
      <c r="F19" s="3">
        <f t="shared" si="1"/>
        <v>0.3759398496</v>
      </c>
      <c r="G19" s="4">
        <f>IFERROR(__xludf.DUMMYFUNCTION("GOOGLEFINANCE(""CURRENCY:INRBRL"")*D19"),14.889581613479999)</f>
        <v>14.88958161</v>
      </c>
      <c r="H19" s="1">
        <v>4.52</v>
      </c>
      <c r="I19" s="1">
        <v>43994.0</v>
      </c>
      <c r="J19" s="1" t="s">
        <v>84</v>
      </c>
      <c r="K19" s="5" t="s">
        <v>85</v>
      </c>
    </row>
    <row r="20">
      <c r="A20" s="1" t="s">
        <v>86</v>
      </c>
      <c r="B20" s="1" t="s">
        <v>87</v>
      </c>
      <c r="C20" s="1" t="s">
        <v>13</v>
      </c>
      <c r="D20" s="2">
        <v>199.0</v>
      </c>
      <c r="E20" s="2">
        <v>499.0</v>
      </c>
      <c r="F20" s="3">
        <f t="shared" si="1"/>
        <v>0.6012024048</v>
      </c>
      <c r="G20" s="4">
        <f>IFERROR(__xludf.DUMMYFUNCTION("GOOGLEFINANCE(""CURRENCY:INRBRL"")*D20"),11.899705787479999)</f>
        <v>11.89970579</v>
      </c>
      <c r="H20" s="1">
        <v>4.52</v>
      </c>
      <c r="I20" s="1">
        <v>13045.0</v>
      </c>
      <c r="J20" s="1" t="s">
        <v>88</v>
      </c>
      <c r="K20" s="5" t="s">
        <v>89</v>
      </c>
    </row>
    <row r="21">
      <c r="A21" s="1" t="s">
        <v>90</v>
      </c>
      <c r="B21" s="1" t="s">
        <v>91</v>
      </c>
      <c r="C21" s="1" t="s">
        <v>79</v>
      </c>
      <c r="D21" s="2">
        <v>13489.0</v>
      </c>
      <c r="E21" s="2">
        <v>21989.0</v>
      </c>
      <c r="F21" s="3">
        <f t="shared" si="1"/>
        <v>0.3865569148</v>
      </c>
      <c r="G21" s="4">
        <f>IFERROR(__xludf.DUMMYFUNCTION("GOOGLEFINANCE(""CURRENCY:INRBRL"")*D21"),806.60870033828)</f>
        <v>806.6087003</v>
      </c>
      <c r="H21" s="1">
        <v>4.52</v>
      </c>
      <c r="I21" s="1">
        <v>11976.0</v>
      </c>
      <c r="J21" s="1" t="s">
        <v>92</v>
      </c>
      <c r="K21" s="5" t="s">
        <v>93</v>
      </c>
    </row>
    <row r="22">
      <c r="A22" s="1" t="s">
        <v>94</v>
      </c>
      <c r="B22" s="1" t="s">
        <v>95</v>
      </c>
      <c r="C22" s="1" t="s">
        <v>13</v>
      </c>
      <c r="D22" s="2">
        <v>970.0</v>
      </c>
      <c r="E22" s="2">
        <v>1799.0</v>
      </c>
      <c r="F22" s="3">
        <f t="shared" si="1"/>
        <v>0.460811562</v>
      </c>
      <c r="G22" s="4">
        <f>IFERROR(__xludf.DUMMYFUNCTION("GOOGLEFINANCE(""CURRENCY:INRBRL"")*D22"),58.003591024399995)</f>
        <v>58.00359102</v>
      </c>
      <c r="H22" s="1">
        <v>4.52</v>
      </c>
      <c r="I22" s="1">
        <v>815.0</v>
      </c>
      <c r="J22" s="1" t="s">
        <v>96</v>
      </c>
      <c r="K22" s="5" t="s">
        <v>97</v>
      </c>
    </row>
    <row r="23">
      <c r="A23" s="1" t="s">
        <v>98</v>
      </c>
      <c r="B23" s="1" t="s">
        <v>99</v>
      </c>
      <c r="C23" s="1" t="s">
        <v>63</v>
      </c>
      <c r="D23" s="2">
        <v>279.0</v>
      </c>
      <c r="E23" s="2">
        <v>499.0</v>
      </c>
      <c r="F23" s="3">
        <f t="shared" si="1"/>
        <v>0.4408817635</v>
      </c>
      <c r="G23" s="4">
        <f>IFERROR(__xludf.DUMMYFUNCTION("GOOGLEFINANCE(""CURRENCY:INRBRL"")*D23"),16.68350710908)</f>
        <v>16.68350711</v>
      </c>
      <c r="H23" s="1">
        <v>4.52</v>
      </c>
      <c r="I23" s="1">
        <v>10962.0</v>
      </c>
      <c r="J23" s="1" t="s">
        <v>100</v>
      </c>
      <c r="K23" s="5" t="s">
        <v>101</v>
      </c>
    </row>
    <row r="24">
      <c r="A24" s="1" t="s">
        <v>102</v>
      </c>
      <c r="B24" s="1" t="s">
        <v>103</v>
      </c>
      <c r="C24" s="1" t="s">
        <v>79</v>
      </c>
      <c r="D24" s="2">
        <v>13490.0</v>
      </c>
      <c r="E24" s="2">
        <v>22900.0</v>
      </c>
      <c r="F24" s="3">
        <f t="shared" si="1"/>
        <v>0.4109170306</v>
      </c>
      <c r="G24" s="4">
        <f>IFERROR(__xludf.DUMMYFUNCTION("GOOGLEFINANCE(""CURRENCY:INRBRL"")*D24"),806.6684978548)</f>
        <v>806.6684979</v>
      </c>
      <c r="H24" s="1">
        <v>4.52</v>
      </c>
      <c r="I24" s="1">
        <v>16299.0</v>
      </c>
      <c r="J24" s="1" t="s">
        <v>104</v>
      </c>
      <c r="K24" s="5" t="s">
        <v>105</v>
      </c>
    </row>
    <row r="25">
      <c r="A25" s="1" t="s">
        <v>106</v>
      </c>
      <c r="B25" s="1" t="s">
        <v>107</v>
      </c>
      <c r="C25" s="1" t="s">
        <v>13</v>
      </c>
      <c r="D25" s="2">
        <v>59.0</v>
      </c>
      <c r="E25" s="2">
        <v>199.0</v>
      </c>
      <c r="F25" s="3">
        <f t="shared" si="1"/>
        <v>0.7035175879</v>
      </c>
      <c r="G25" s="4">
        <f>IFERROR(__xludf.DUMMYFUNCTION("GOOGLEFINANCE(""CURRENCY:INRBRL"")*D25"),3.5280534746799996)</f>
        <v>3.528053475</v>
      </c>
      <c r="H25" s="1">
        <v>4.52</v>
      </c>
      <c r="I25" s="1">
        <v>9378.0</v>
      </c>
      <c r="J25" s="1" t="s">
        <v>108</v>
      </c>
      <c r="K25" s="5" t="s">
        <v>109</v>
      </c>
    </row>
    <row r="26">
      <c r="A26" s="1" t="s">
        <v>110</v>
      </c>
      <c r="B26" s="1" t="s">
        <v>111</v>
      </c>
      <c r="C26" s="1" t="s">
        <v>79</v>
      </c>
      <c r="D26" s="2">
        <v>11499.0</v>
      </c>
      <c r="E26" s="2">
        <v>19999.0</v>
      </c>
      <c r="F26" s="3">
        <f t="shared" si="1"/>
        <v>0.4250212511</v>
      </c>
      <c r="G26" s="4">
        <f>IFERROR(__xludf.DUMMYFUNCTION("GOOGLEFINANCE(""CURRENCY:INRBRL"")*D26"),687.6116424634799)</f>
        <v>687.6116425</v>
      </c>
      <c r="H26" s="1">
        <v>4.52</v>
      </c>
      <c r="I26" s="1">
        <v>4703.0</v>
      </c>
      <c r="J26" s="1" t="s">
        <v>112</v>
      </c>
      <c r="K26" s="5" t="s">
        <v>113</v>
      </c>
    </row>
    <row r="27">
      <c r="A27" s="1" t="s">
        <v>114</v>
      </c>
      <c r="B27" s="1" t="s">
        <v>115</v>
      </c>
      <c r="C27" s="1" t="s">
        <v>63</v>
      </c>
      <c r="D27" s="2">
        <v>199.0</v>
      </c>
      <c r="E27" s="2">
        <v>699.0</v>
      </c>
      <c r="F27" s="3">
        <f t="shared" si="1"/>
        <v>0.7153075823</v>
      </c>
      <c r="G27" s="4">
        <f>IFERROR(__xludf.DUMMYFUNCTION("GOOGLEFINANCE(""CURRENCY:INRBRL"")*D27"),11.899705787479999)</f>
        <v>11.89970579</v>
      </c>
      <c r="H27" s="1">
        <v>4.52</v>
      </c>
      <c r="I27" s="1">
        <v>12153.0</v>
      </c>
      <c r="J27" s="1" t="s">
        <v>116</v>
      </c>
      <c r="K27" s="5" t="s">
        <v>117</v>
      </c>
    </row>
    <row r="28">
      <c r="A28" s="1" t="s">
        <v>118</v>
      </c>
      <c r="B28" s="1" t="s">
        <v>119</v>
      </c>
      <c r="C28" s="1" t="s">
        <v>79</v>
      </c>
      <c r="D28" s="2">
        <v>14999.0</v>
      </c>
      <c r="E28" s="2">
        <v>19999.0</v>
      </c>
      <c r="F28" s="3">
        <f t="shared" si="1"/>
        <v>0.2500125006</v>
      </c>
      <c r="G28" s="4">
        <f>IFERROR(__xludf.DUMMYFUNCTION("GOOGLEFINANCE(""CURRENCY:INRBRL"")*D28"),896.90295028348)</f>
        <v>896.9029503</v>
      </c>
      <c r="H28" s="1">
        <v>4.52</v>
      </c>
      <c r="I28" s="1">
        <v>34899.0</v>
      </c>
      <c r="J28" s="1" t="s">
        <v>120</v>
      </c>
      <c r="K28" s="5" t="s">
        <v>121</v>
      </c>
    </row>
    <row r="29">
      <c r="A29" s="1" t="s">
        <v>122</v>
      </c>
      <c r="B29" s="1" t="s">
        <v>123</v>
      </c>
      <c r="C29" s="1" t="s">
        <v>13</v>
      </c>
      <c r="D29" s="2">
        <v>299.0</v>
      </c>
      <c r="E29" s="2">
        <v>399.0</v>
      </c>
      <c r="F29" s="3">
        <f t="shared" si="1"/>
        <v>0.2506265664</v>
      </c>
      <c r="G29" s="4">
        <f>IFERROR(__xludf.DUMMYFUNCTION("GOOGLEFINANCE(""CURRENCY:INRBRL"")*D29"),17.87945743948)</f>
        <v>17.87945744</v>
      </c>
      <c r="H29" s="1">
        <v>4.52</v>
      </c>
      <c r="I29" s="1">
        <v>2766.0</v>
      </c>
      <c r="J29" s="1" t="s">
        <v>124</v>
      </c>
      <c r="K29" s="5" t="s">
        <v>125</v>
      </c>
    </row>
    <row r="30">
      <c r="A30" s="1" t="s">
        <v>126</v>
      </c>
      <c r="B30" s="1" t="s">
        <v>127</v>
      </c>
      <c r="C30" s="1" t="s">
        <v>13</v>
      </c>
      <c r="D30" s="2">
        <v>970.0</v>
      </c>
      <c r="E30" s="2">
        <v>1999.0</v>
      </c>
      <c r="F30" s="3">
        <f t="shared" si="1"/>
        <v>0.5147573787</v>
      </c>
      <c r="G30" s="4">
        <f>IFERROR(__xludf.DUMMYFUNCTION("GOOGLEFINANCE(""CURRENCY:INRBRL"")*D30"),58.003591024399995)</f>
        <v>58.00359102</v>
      </c>
      <c r="H30" s="1">
        <v>4.52</v>
      </c>
      <c r="I30" s="1">
        <v>184.0</v>
      </c>
      <c r="J30" s="1" t="s">
        <v>128</v>
      </c>
      <c r="K30" s="5" t="s">
        <v>129</v>
      </c>
    </row>
    <row r="31">
      <c r="A31" s="1" t="s">
        <v>130</v>
      </c>
      <c r="B31" s="1" t="s">
        <v>131</v>
      </c>
      <c r="C31" s="1" t="s">
        <v>13</v>
      </c>
      <c r="D31" s="2">
        <v>299.0</v>
      </c>
      <c r="E31" s="2">
        <v>999.0</v>
      </c>
      <c r="F31" s="3">
        <f t="shared" si="1"/>
        <v>0.7007007007</v>
      </c>
      <c r="G31" s="4">
        <f>IFERROR(__xludf.DUMMYFUNCTION("GOOGLEFINANCE(""CURRENCY:INRBRL"")*D31"),17.87945743948)</f>
        <v>17.87945744</v>
      </c>
      <c r="H31" s="1">
        <v>4.52</v>
      </c>
      <c r="I31" s="1">
        <v>2085.0</v>
      </c>
      <c r="J31" s="1" t="s">
        <v>132</v>
      </c>
      <c r="K31" s="5" t="s">
        <v>133</v>
      </c>
    </row>
    <row r="32">
      <c r="A32" s="1" t="s">
        <v>134</v>
      </c>
      <c r="B32" s="1" t="s">
        <v>135</v>
      </c>
      <c r="C32" s="1" t="s">
        <v>13</v>
      </c>
      <c r="D32" s="2">
        <v>199.0</v>
      </c>
      <c r="E32" s="2">
        <v>750.0</v>
      </c>
      <c r="F32" s="3">
        <f t="shared" si="1"/>
        <v>0.7346666667</v>
      </c>
      <c r="G32" s="4">
        <f>IFERROR(__xludf.DUMMYFUNCTION("GOOGLEFINANCE(""CURRENCY:INRBRL"")*D32"),11.899705787479999)</f>
        <v>11.89970579</v>
      </c>
      <c r="H32" s="1">
        <v>4.52</v>
      </c>
      <c r="I32" s="1">
        <v>74976.0</v>
      </c>
      <c r="J32" s="1" t="s">
        <v>136</v>
      </c>
      <c r="K32" s="5" t="s">
        <v>137</v>
      </c>
    </row>
    <row r="33">
      <c r="A33" s="1" t="s">
        <v>138</v>
      </c>
      <c r="B33" s="1" t="s">
        <v>139</v>
      </c>
      <c r="C33" s="1" t="s">
        <v>13</v>
      </c>
      <c r="D33" s="2">
        <v>179.0</v>
      </c>
      <c r="E33" s="2">
        <v>499.0</v>
      </c>
      <c r="F33" s="3">
        <f t="shared" si="1"/>
        <v>0.6412825651</v>
      </c>
      <c r="G33" s="4">
        <f>IFERROR(__xludf.DUMMYFUNCTION("GOOGLEFINANCE(""CURRENCY:INRBRL"")*D33"),10.70375545708)</f>
        <v>10.70375546</v>
      </c>
      <c r="H33" s="1">
        <v>4.52</v>
      </c>
      <c r="I33" s="1">
        <v>1934.0</v>
      </c>
      <c r="J33" s="1" t="s">
        <v>140</v>
      </c>
      <c r="K33" s="5" t="s">
        <v>141</v>
      </c>
    </row>
    <row r="34">
      <c r="A34" s="1" t="s">
        <v>142</v>
      </c>
      <c r="B34" s="1" t="s">
        <v>143</v>
      </c>
      <c r="C34" s="1" t="s">
        <v>13</v>
      </c>
      <c r="D34" s="2">
        <v>389.0</v>
      </c>
      <c r="E34" s="2">
        <v>1099.0</v>
      </c>
      <c r="F34" s="3">
        <f t="shared" si="1"/>
        <v>0.6460418562</v>
      </c>
      <c r="G34" s="4">
        <f>IFERROR(__xludf.DUMMYFUNCTION("GOOGLEFINANCE(""CURRENCY:INRBRL"")*D34"),23.26123392628)</f>
        <v>23.26123393</v>
      </c>
      <c r="H34" s="1">
        <v>4.52</v>
      </c>
      <c r="I34" s="1">
        <v>974.0</v>
      </c>
      <c r="J34" s="1" t="s">
        <v>144</v>
      </c>
      <c r="K34" s="5" t="s">
        <v>145</v>
      </c>
    </row>
    <row r="35">
      <c r="A35" s="1" t="s">
        <v>146</v>
      </c>
      <c r="B35" s="1" t="s">
        <v>147</v>
      </c>
      <c r="C35" s="1" t="s">
        <v>13</v>
      </c>
      <c r="D35" s="2">
        <v>599.0</v>
      </c>
      <c r="E35" s="2">
        <v>599.0</v>
      </c>
      <c r="F35" s="3">
        <f t="shared" si="1"/>
        <v>0</v>
      </c>
      <c r="G35" s="4">
        <f>IFERROR(__xludf.DUMMYFUNCTION("GOOGLEFINANCE(""CURRENCY:INRBRL"")*D35"),35.81871239548)</f>
        <v>35.8187124</v>
      </c>
      <c r="H35" s="1">
        <v>4.52</v>
      </c>
      <c r="I35" s="1">
        <v>355.0</v>
      </c>
      <c r="J35" s="1" t="s">
        <v>148</v>
      </c>
      <c r="K35" s="5" t="s">
        <v>149</v>
      </c>
    </row>
    <row r="36">
      <c r="A36" s="1" t="s">
        <v>150</v>
      </c>
      <c r="B36" s="1" t="s">
        <v>151</v>
      </c>
      <c r="C36" s="1" t="s">
        <v>13</v>
      </c>
      <c r="D36" s="2">
        <v>199.0</v>
      </c>
      <c r="E36" s="2">
        <v>999.0</v>
      </c>
      <c r="F36" s="3">
        <f t="shared" si="1"/>
        <v>0.8008008008</v>
      </c>
      <c r="G36" s="4">
        <f>IFERROR(__xludf.DUMMYFUNCTION("GOOGLEFINANCE(""CURRENCY:INRBRL"")*D36"),11.899705787479999)</f>
        <v>11.89970579</v>
      </c>
      <c r="H36" s="1">
        <v>4.52</v>
      </c>
      <c r="I36" s="1">
        <v>1075.0</v>
      </c>
      <c r="J36" s="1" t="s">
        <v>152</v>
      </c>
      <c r="K36" s="5" t="s">
        <v>153</v>
      </c>
    </row>
    <row r="37">
      <c r="A37" s="1" t="s">
        <v>154</v>
      </c>
      <c r="B37" s="1" t="s">
        <v>155</v>
      </c>
      <c r="C37" s="1" t="s">
        <v>13</v>
      </c>
      <c r="D37" s="2">
        <v>99.0</v>
      </c>
      <c r="E37" s="2">
        <v>999.0</v>
      </c>
      <c r="F37" s="3">
        <f t="shared" si="1"/>
        <v>0.9009009009</v>
      </c>
      <c r="G37" s="4">
        <f>IFERROR(__xludf.DUMMYFUNCTION("GOOGLEFINANCE(""CURRENCY:INRBRL"")*D37"),5.919954135479999)</f>
        <v>5.919954135</v>
      </c>
      <c r="H37" s="1">
        <v>4.52</v>
      </c>
      <c r="I37" s="1">
        <v>24871.0</v>
      </c>
      <c r="J37" s="1" t="s">
        <v>156</v>
      </c>
      <c r="K37" s="5" t="s">
        <v>157</v>
      </c>
    </row>
    <row r="38">
      <c r="A38" s="1" t="s">
        <v>158</v>
      </c>
      <c r="B38" s="1" t="s">
        <v>159</v>
      </c>
      <c r="C38" s="1" t="s">
        <v>13</v>
      </c>
      <c r="D38" s="2">
        <v>899.0</v>
      </c>
      <c r="E38" s="2">
        <v>1900.0</v>
      </c>
      <c r="F38" s="3">
        <f t="shared" si="1"/>
        <v>0.5268421053</v>
      </c>
      <c r="G38" s="4">
        <f>IFERROR(__xludf.DUMMYFUNCTION("GOOGLEFINANCE(""CURRENCY:INRBRL"")*D38"),53.75796735148)</f>
        <v>53.75796735</v>
      </c>
      <c r="H38" s="1">
        <v>4.52</v>
      </c>
      <c r="I38" s="1">
        <v>13552.0</v>
      </c>
      <c r="J38" s="1" t="s">
        <v>160</v>
      </c>
      <c r="K38" s="5" t="s">
        <v>161</v>
      </c>
    </row>
    <row r="39">
      <c r="A39" s="1" t="s">
        <v>162</v>
      </c>
      <c r="B39" s="1" t="s">
        <v>163</v>
      </c>
      <c r="C39" s="1" t="s">
        <v>13</v>
      </c>
      <c r="D39" s="2">
        <v>199.0</v>
      </c>
      <c r="E39" s="2">
        <v>999.0</v>
      </c>
      <c r="F39" s="3">
        <f t="shared" si="1"/>
        <v>0.8008008008</v>
      </c>
      <c r="G39" s="4">
        <f>IFERROR(__xludf.DUMMYFUNCTION("GOOGLEFINANCE(""CURRENCY:INRBRL"")*D39"),11.899705787479999)</f>
        <v>11.89970579</v>
      </c>
      <c r="H39" s="1">
        <v>4.52</v>
      </c>
      <c r="I39" s="1">
        <v>576.0</v>
      </c>
      <c r="J39" s="1" t="s">
        <v>164</v>
      </c>
      <c r="K39" s="5" t="s">
        <v>165</v>
      </c>
    </row>
    <row r="40">
      <c r="A40" s="1" t="s">
        <v>166</v>
      </c>
      <c r="B40" s="1" t="s">
        <v>167</v>
      </c>
      <c r="C40" s="1" t="s">
        <v>79</v>
      </c>
      <c r="D40" s="2">
        <v>32999.0</v>
      </c>
      <c r="E40" s="2">
        <v>45999.0</v>
      </c>
      <c r="F40" s="3">
        <f t="shared" si="1"/>
        <v>0.2826148395</v>
      </c>
      <c r="G40" s="4">
        <f>IFERROR(__xludf.DUMMYFUNCTION("GOOGLEFINANCE(""CURRENCY:INRBRL"")*D40"),1973.25824764348)</f>
        <v>1973.258248</v>
      </c>
      <c r="H40" s="1">
        <v>4.52</v>
      </c>
      <c r="I40" s="1">
        <v>7298.0</v>
      </c>
      <c r="J40" s="1" t="s">
        <v>168</v>
      </c>
      <c r="K40" s="5" t="s">
        <v>169</v>
      </c>
    </row>
    <row r="41">
      <c r="A41" s="1" t="s">
        <v>170</v>
      </c>
      <c r="B41" s="1" t="s">
        <v>171</v>
      </c>
      <c r="C41" s="1" t="s">
        <v>13</v>
      </c>
      <c r="D41" s="2">
        <v>970.0</v>
      </c>
      <c r="E41" s="2">
        <v>1999.0</v>
      </c>
      <c r="F41" s="3">
        <f t="shared" si="1"/>
        <v>0.5147573787</v>
      </c>
      <c r="G41" s="4">
        <f>IFERROR(__xludf.DUMMYFUNCTION("GOOGLEFINANCE(""CURRENCY:INRBRL"")*D41"),58.003591024399995)</f>
        <v>58.00359102</v>
      </c>
      <c r="H41" s="1">
        <v>4.52</v>
      </c>
      <c r="I41" s="1">
        <v>462.0</v>
      </c>
      <c r="J41" s="1" t="s">
        <v>172</v>
      </c>
      <c r="K41" s="5" t="s">
        <v>173</v>
      </c>
    </row>
    <row r="42">
      <c r="A42" s="1" t="s">
        <v>174</v>
      </c>
      <c r="B42" s="1" t="s">
        <v>175</v>
      </c>
      <c r="C42" s="1" t="s">
        <v>13</v>
      </c>
      <c r="D42" s="2">
        <v>209.0</v>
      </c>
      <c r="E42" s="2">
        <v>695.0</v>
      </c>
      <c r="F42" s="3">
        <f t="shared" si="1"/>
        <v>0.6992805755</v>
      </c>
      <c r="G42" s="4">
        <f>IFERROR(__xludf.DUMMYFUNCTION("GOOGLEFINANCE(""CURRENCY:INRBRL"")*D42"),12.49768095268)</f>
        <v>12.49768095</v>
      </c>
      <c r="H42" s="1">
        <v>4.52</v>
      </c>
      <c r="I42" s="1">
        <v>1070687.0</v>
      </c>
      <c r="J42" s="1" t="s">
        <v>176</v>
      </c>
      <c r="K42" s="5" t="s">
        <v>177</v>
      </c>
    </row>
    <row r="43">
      <c r="A43" s="1" t="s">
        <v>178</v>
      </c>
      <c r="B43" s="1" t="s">
        <v>179</v>
      </c>
      <c r="C43" s="1" t="s">
        <v>79</v>
      </c>
      <c r="D43" s="2">
        <v>19999.0</v>
      </c>
      <c r="E43" s="2">
        <v>34999.0</v>
      </c>
      <c r="F43" s="3">
        <f t="shared" si="1"/>
        <v>0.4285836738</v>
      </c>
      <c r="G43" s="4">
        <f>IFERROR(__xludf.DUMMYFUNCTION("GOOGLEFINANCE(""CURRENCY:INRBRL"")*D43"),1195.8905328834799)</f>
        <v>1195.890533</v>
      </c>
      <c r="H43" s="1">
        <v>4.52</v>
      </c>
      <c r="I43" s="1">
        <v>27151.0</v>
      </c>
      <c r="J43" s="1" t="s">
        <v>180</v>
      </c>
      <c r="K43" s="5" t="s">
        <v>181</v>
      </c>
    </row>
    <row r="44">
      <c r="A44" s="1" t="s">
        <v>182</v>
      </c>
      <c r="B44" s="1" t="s">
        <v>183</v>
      </c>
      <c r="C44" s="1" t="s">
        <v>13</v>
      </c>
      <c r="D44" s="2">
        <v>399.0</v>
      </c>
      <c r="E44" s="2">
        <v>1099.0</v>
      </c>
      <c r="F44" s="3">
        <f t="shared" si="1"/>
        <v>0.6369426752</v>
      </c>
      <c r="G44" s="4">
        <f>IFERROR(__xludf.DUMMYFUNCTION("GOOGLEFINANCE(""CURRENCY:INRBRL"")*D44"),23.859209091479997)</f>
        <v>23.85920909</v>
      </c>
      <c r="H44" s="1">
        <v>4.52</v>
      </c>
      <c r="I44" s="1">
        <v>24269.0</v>
      </c>
      <c r="J44" s="1" t="s">
        <v>184</v>
      </c>
      <c r="K44" s="5" t="s">
        <v>185</v>
      </c>
    </row>
    <row r="45">
      <c r="A45" s="1" t="s">
        <v>186</v>
      </c>
      <c r="B45" s="1" t="s">
        <v>187</v>
      </c>
      <c r="C45" s="1" t="s">
        <v>46</v>
      </c>
      <c r="D45" s="2">
        <v>999.0</v>
      </c>
      <c r="E45" s="2">
        <v>1599.0</v>
      </c>
      <c r="F45" s="3">
        <f t="shared" si="1"/>
        <v>0.3752345216</v>
      </c>
      <c r="G45" s="4">
        <f>IFERROR(__xludf.DUMMYFUNCTION("GOOGLEFINANCE(""CURRENCY:INRBRL"")*D45"),59.737719003479995)</f>
        <v>59.737719</v>
      </c>
      <c r="H45" s="1">
        <v>4.52</v>
      </c>
      <c r="I45" s="1">
        <v>12093.0</v>
      </c>
      <c r="J45" s="1" t="s">
        <v>188</v>
      </c>
      <c r="K45" s="5" t="s">
        <v>189</v>
      </c>
    </row>
    <row r="46">
      <c r="A46" s="1" t="s">
        <v>190</v>
      </c>
      <c r="B46" s="1" t="s">
        <v>191</v>
      </c>
      <c r="C46" s="1" t="s">
        <v>13</v>
      </c>
      <c r="D46" s="2">
        <v>59.0</v>
      </c>
      <c r="E46" s="2">
        <v>199.0</v>
      </c>
      <c r="F46" s="3">
        <f t="shared" si="1"/>
        <v>0.7035175879</v>
      </c>
      <c r="G46" s="4">
        <f>IFERROR(__xludf.DUMMYFUNCTION("GOOGLEFINANCE(""CURRENCY:INRBRL"")*D46"),3.5280534746799996)</f>
        <v>3.528053475</v>
      </c>
      <c r="H46" s="1">
        <v>4.52</v>
      </c>
      <c r="I46" s="1">
        <v>9378.0</v>
      </c>
      <c r="J46" s="1" t="s">
        <v>192</v>
      </c>
      <c r="K46" s="5" t="s">
        <v>193</v>
      </c>
    </row>
    <row r="47">
      <c r="A47" s="1" t="s">
        <v>194</v>
      </c>
      <c r="B47" s="1" t="s">
        <v>195</v>
      </c>
      <c r="C47" s="1" t="s">
        <v>13</v>
      </c>
      <c r="D47" s="2">
        <v>333.0</v>
      </c>
      <c r="E47" s="2">
        <v>999.0</v>
      </c>
      <c r="F47" s="3">
        <f t="shared" si="1"/>
        <v>0.6666666667</v>
      </c>
      <c r="G47" s="4">
        <f>IFERROR(__xludf.DUMMYFUNCTION("GOOGLEFINANCE(""CURRENCY:INRBRL"")*D47"),19.91257300116)</f>
        <v>19.912573</v>
      </c>
      <c r="H47" s="1">
        <v>4.52</v>
      </c>
      <c r="I47" s="1">
        <v>9792.0</v>
      </c>
      <c r="J47" s="1" t="s">
        <v>196</v>
      </c>
      <c r="K47" s="5" t="s">
        <v>197</v>
      </c>
    </row>
    <row r="48">
      <c r="A48" s="1" t="s">
        <v>198</v>
      </c>
      <c r="B48" s="1" t="s">
        <v>199</v>
      </c>
      <c r="C48" s="1" t="s">
        <v>46</v>
      </c>
      <c r="D48" s="2">
        <v>507.0</v>
      </c>
      <c r="E48" s="2">
        <v>1208.0</v>
      </c>
      <c r="F48" s="3">
        <f t="shared" si="1"/>
        <v>0.5802980132</v>
      </c>
      <c r="G48" s="4">
        <f>IFERROR(__xludf.DUMMYFUNCTION("GOOGLEFINANCE(""CURRENCY:INRBRL"")*D48"),30.31734087564)</f>
        <v>30.31734088</v>
      </c>
      <c r="H48" s="1">
        <v>4.52</v>
      </c>
      <c r="I48" s="1">
        <v>8131.0</v>
      </c>
      <c r="J48" s="1" t="s">
        <v>200</v>
      </c>
      <c r="K48" s="5" t="s">
        <v>201</v>
      </c>
    </row>
    <row r="49">
      <c r="A49" s="1" t="s">
        <v>202</v>
      </c>
      <c r="B49" s="1" t="s">
        <v>203</v>
      </c>
      <c r="C49" s="1" t="s">
        <v>63</v>
      </c>
      <c r="D49" s="2">
        <v>309.0</v>
      </c>
      <c r="E49" s="2">
        <v>475.0</v>
      </c>
      <c r="F49" s="3">
        <f t="shared" si="1"/>
        <v>0.3494736842</v>
      </c>
      <c r="G49" s="4">
        <f>IFERROR(__xludf.DUMMYFUNCTION("GOOGLEFINANCE(""CURRENCY:INRBRL"")*D49"),18.47743260468)</f>
        <v>18.4774326</v>
      </c>
      <c r="H49" s="1">
        <v>4.52</v>
      </c>
      <c r="I49" s="1">
        <v>426973.0</v>
      </c>
      <c r="J49" s="1" t="s">
        <v>204</v>
      </c>
      <c r="K49" s="5" t="s">
        <v>205</v>
      </c>
    </row>
    <row r="50">
      <c r="A50" s="1" t="s">
        <v>206</v>
      </c>
      <c r="B50" s="1" t="s">
        <v>207</v>
      </c>
      <c r="C50" s="1" t="s">
        <v>208</v>
      </c>
      <c r="D50" s="2">
        <v>399.0</v>
      </c>
      <c r="E50" s="2">
        <v>999.0</v>
      </c>
      <c r="F50" s="3">
        <f t="shared" si="1"/>
        <v>0.6006006006</v>
      </c>
      <c r="G50" s="4">
        <f>IFERROR(__xludf.DUMMYFUNCTION("GOOGLEFINANCE(""CURRENCY:INRBRL"")*D50"),23.859209091479997)</f>
        <v>23.85920909</v>
      </c>
      <c r="H50" s="1">
        <v>4.52</v>
      </c>
      <c r="I50" s="1">
        <v>493.0</v>
      </c>
      <c r="J50" s="1" t="s">
        <v>209</v>
      </c>
      <c r="K50" s="5" t="s">
        <v>210</v>
      </c>
    </row>
    <row r="51">
      <c r="A51" s="1" t="s">
        <v>211</v>
      </c>
      <c r="B51" s="1" t="s">
        <v>212</v>
      </c>
      <c r="C51" s="1" t="s">
        <v>13</v>
      </c>
      <c r="D51" s="2">
        <v>199.0</v>
      </c>
      <c r="E51" s="2">
        <v>395.0</v>
      </c>
      <c r="F51" s="3">
        <f t="shared" si="1"/>
        <v>0.4962025316</v>
      </c>
      <c r="G51" s="4">
        <f>IFERROR(__xludf.DUMMYFUNCTION("GOOGLEFINANCE(""CURRENCY:INRBRL"")*D51"),11.899705787479999)</f>
        <v>11.89970579</v>
      </c>
      <c r="H51" s="1">
        <v>4.52</v>
      </c>
      <c r="I51" s="1">
        <v>92595.0</v>
      </c>
      <c r="J51" s="1" t="s">
        <v>213</v>
      </c>
      <c r="K51" s="5" t="s">
        <v>214</v>
      </c>
    </row>
    <row r="52">
      <c r="A52" s="1" t="s">
        <v>215</v>
      </c>
      <c r="B52" s="1" t="s">
        <v>216</v>
      </c>
      <c r="C52" s="1" t="s">
        <v>46</v>
      </c>
      <c r="D52" s="2">
        <v>1199.0</v>
      </c>
      <c r="E52" s="2">
        <v>2199.0</v>
      </c>
      <c r="F52" s="3">
        <f t="shared" si="1"/>
        <v>0.4547521601</v>
      </c>
      <c r="G52" s="4">
        <f>IFERROR(__xludf.DUMMYFUNCTION("GOOGLEFINANCE(""CURRENCY:INRBRL"")*D52"),71.69722230747999)</f>
        <v>71.69722231</v>
      </c>
      <c r="H52" s="1">
        <v>4.52</v>
      </c>
      <c r="I52" s="1">
        <v>2478.0</v>
      </c>
      <c r="J52" s="1" t="s">
        <v>217</v>
      </c>
      <c r="K52" s="5" t="s">
        <v>218</v>
      </c>
    </row>
    <row r="53">
      <c r="A53" s="1" t="s">
        <v>219</v>
      </c>
      <c r="B53" s="1" t="s">
        <v>220</v>
      </c>
      <c r="C53" s="1" t="s">
        <v>13</v>
      </c>
      <c r="D53" s="2">
        <v>179.0</v>
      </c>
      <c r="E53" s="2">
        <v>500.0</v>
      </c>
      <c r="F53" s="3">
        <f t="shared" si="1"/>
        <v>0.642</v>
      </c>
      <c r="G53" s="4">
        <f>IFERROR(__xludf.DUMMYFUNCTION("GOOGLEFINANCE(""CURRENCY:INRBRL"")*D53"),10.70375545708)</f>
        <v>10.70375546</v>
      </c>
      <c r="H53" s="1">
        <v>4.52</v>
      </c>
      <c r="I53" s="1">
        <v>92595.0</v>
      </c>
      <c r="J53" s="1" t="s">
        <v>221</v>
      </c>
      <c r="K53" s="5" t="s">
        <v>222</v>
      </c>
    </row>
    <row r="54">
      <c r="A54" s="1" t="s">
        <v>223</v>
      </c>
      <c r="B54" s="1" t="s">
        <v>224</v>
      </c>
      <c r="C54" s="1" t="s">
        <v>13</v>
      </c>
      <c r="D54" s="2">
        <v>799.0</v>
      </c>
      <c r="E54" s="2">
        <v>2100.0</v>
      </c>
      <c r="F54" s="3">
        <f t="shared" si="1"/>
        <v>0.6195238095</v>
      </c>
      <c r="G54" s="4">
        <f>IFERROR(__xludf.DUMMYFUNCTION("GOOGLEFINANCE(""CURRENCY:INRBRL"")*D54"),47.77821569948)</f>
        <v>47.7782157</v>
      </c>
      <c r="H54" s="1">
        <v>4.52</v>
      </c>
      <c r="I54" s="1">
        <v>8188.0</v>
      </c>
      <c r="J54" s="1" t="s">
        <v>225</v>
      </c>
      <c r="K54" s="5" t="s">
        <v>226</v>
      </c>
    </row>
    <row r="55">
      <c r="A55" s="1" t="s">
        <v>227</v>
      </c>
      <c r="B55" s="1" t="s">
        <v>228</v>
      </c>
      <c r="C55" s="1" t="s">
        <v>229</v>
      </c>
      <c r="D55" s="2">
        <v>6999.0</v>
      </c>
      <c r="E55" s="2">
        <v>12999.0</v>
      </c>
      <c r="F55" s="3">
        <f t="shared" si="1"/>
        <v>0.4615739672</v>
      </c>
      <c r="G55" s="4">
        <f>IFERROR(__xludf.DUMMYFUNCTION("GOOGLEFINANCE(""CURRENCY:INRBRL"")*D55"),418.52281812347996)</f>
        <v>418.5228181</v>
      </c>
      <c r="H55" s="1">
        <v>4.52</v>
      </c>
      <c r="I55" s="1">
        <v>4003.0</v>
      </c>
      <c r="J55" s="1" t="s">
        <v>230</v>
      </c>
      <c r="K55" s="5" t="s">
        <v>231</v>
      </c>
    </row>
    <row r="56">
      <c r="A56" s="1" t="s">
        <v>232</v>
      </c>
      <c r="B56" s="1" t="s">
        <v>233</v>
      </c>
      <c r="C56" s="1" t="s">
        <v>13</v>
      </c>
      <c r="D56" s="2">
        <v>199.0</v>
      </c>
      <c r="E56" s="2">
        <v>349.0</v>
      </c>
      <c r="F56" s="3">
        <f t="shared" si="1"/>
        <v>0.4297994269</v>
      </c>
      <c r="G56" s="4">
        <f>IFERROR(__xludf.DUMMYFUNCTION("GOOGLEFINANCE(""CURRENCY:INRBRL"")*D56"),11.899705787479999)</f>
        <v>11.89970579</v>
      </c>
      <c r="H56" s="1">
        <v>4.52</v>
      </c>
      <c r="I56" s="1">
        <v>314.0</v>
      </c>
      <c r="J56" s="1" t="s">
        <v>234</v>
      </c>
      <c r="K56" s="5" t="s">
        <v>235</v>
      </c>
    </row>
    <row r="57">
      <c r="A57" s="1" t="s">
        <v>236</v>
      </c>
      <c r="B57" s="1" t="s">
        <v>237</v>
      </c>
      <c r="C57" s="1" t="s">
        <v>208</v>
      </c>
      <c r="D57" s="2">
        <v>230.0</v>
      </c>
      <c r="E57" s="2">
        <v>499.0</v>
      </c>
      <c r="F57" s="3">
        <f t="shared" si="1"/>
        <v>0.5390781563</v>
      </c>
      <c r="G57" s="4">
        <f>IFERROR(__xludf.DUMMYFUNCTION("GOOGLEFINANCE(""CURRENCY:INRBRL"")*D57"),13.7534287996)</f>
        <v>13.7534288</v>
      </c>
      <c r="H57" s="1">
        <v>4.52</v>
      </c>
      <c r="I57" s="1">
        <v>296.0</v>
      </c>
      <c r="J57" s="1" t="s">
        <v>238</v>
      </c>
      <c r="K57" s="5" t="s">
        <v>239</v>
      </c>
    </row>
    <row r="58">
      <c r="A58" s="1" t="s">
        <v>240</v>
      </c>
      <c r="B58" s="1" t="s">
        <v>241</v>
      </c>
      <c r="C58" s="1" t="s">
        <v>46</v>
      </c>
      <c r="D58" s="2">
        <v>649.0</v>
      </c>
      <c r="E58" s="2">
        <v>1399.0</v>
      </c>
      <c r="F58" s="3">
        <f t="shared" si="1"/>
        <v>0.5360972123</v>
      </c>
      <c r="G58" s="4">
        <f>IFERROR(__xludf.DUMMYFUNCTION("GOOGLEFINANCE(""CURRENCY:INRBRL"")*D58"),38.80858822148)</f>
        <v>38.80858822</v>
      </c>
      <c r="H58" s="1">
        <v>4.52</v>
      </c>
      <c r="I58" s="1">
        <v>179691.0</v>
      </c>
      <c r="J58" s="1" t="s">
        <v>242</v>
      </c>
      <c r="K58" s="5" t="s">
        <v>243</v>
      </c>
    </row>
    <row r="59">
      <c r="A59" s="1" t="s">
        <v>244</v>
      </c>
      <c r="B59" s="1" t="s">
        <v>245</v>
      </c>
      <c r="C59" s="1" t="s">
        <v>79</v>
      </c>
      <c r="D59" s="2">
        <v>15999.0</v>
      </c>
      <c r="E59" s="2">
        <v>21999.0</v>
      </c>
      <c r="F59" s="3">
        <f t="shared" si="1"/>
        <v>0.27273967</v>
      </c>
      <c r="G59" s="4">
        <f>IFERROR(__xludf.DUMMYFUNCTION("GOOGLEFINANCE(""CURRENCY:INRBRL"")*D59"),956.7004668034799)</f>
        <v>956.7004668</v>
      </c>
      <c r="H59" s="1">
        <v>4.52</v>
      </c>
      <c r="I59" s="1">
        <v>34899.0</v>
      </c>
      <c r="J59" s="1" t="s">
        <v>246</v>
      </c>
      <c r="K59" s="5" t="s">
        <v>247</v>
      </c>
    </row>
    <row r="60">
      <c r="A60" s="1" t="s">
        <v>248</v>
      </c>
      <c r="B60" s="1" t="s">
        <v>249</v>
      </c>
      <c r="C60" s="1" t="s">
        <v>13</v>
      </c>
      <c r="D60" s="2">
        <v>348.0</v>
      </c>
      <c r="E60" s="2">
        <v>1499.0</v>
      </c>
      <c r="F60" s="3">
        <f t="shared" si="1"/>
        <v>0.7678452302</v>
      </c>
      <c r="G60" s="4">
        <f>IFERROR(__xludf.DUMMYFUNCTION("GOOGLEFINANCE(""CURRENCY:INRBRL"")*D60"),20.80953574896)</f>
        <v>20.80953575</v>
      </c>
      <c r="H60" s="1">
        <v>4.52</v>
      </c>
      <c r="I60" s="1">
        <v>656.0</v>
      </c>
      <c r="J60" s="1" t="s">
        <v>250</v>
      </c>
      <c r="K60" s="5" t="s">
        <v>251</v>
      </c>
    </row>
    <row r="61">
      <c r="A61" s="1" t="s">
        <v>252</v>
      </c>
      <c r="B61" s="1" t="s">
        <v>253</v>
      </c>
      <c r="C61" s="1" t="s">
        <v>13</v>
      </c>
      <c r="D61" s="2">
        <v>154.0</v>
      </c>
      <c r="E61" s="2">
        <v>349.0</v>
      </c>
      <c r="F61" s="3">
        <f t="shared" si="1"/>
        <v>0.558739255</v>
      </c>
      <c r="G61" s="4">
        <f>IFERROR(__xludf.DUMMYFUNCTION("GOOGLEFINANCE(""CURRENCY:INRBRL"")*D61"),9.208817544079999)</f>
        <v>9.208817544</v>
      </c>
      <c r="H61" s="1">
        <v>4.52</v>
      </c>
      <c r="I61" s="1">
        <v>7064.0</v>
      </c>
      <c r="J61" s="1" t="s">
        <v>254</v>
      </c>
      <c r="K61" s="5" t="s">
        <v>255</v>
      </c>
    </row>
    <row r="62">
      <c r="A62" s="1" t="s">
        <v>256</v>
      </c>
      <c r="B62" s="1" t="s">
        <v>257</v>
      </c>
      <c r="C62" s="1" t="s">
        <v>208</v>
      </c>
      <c r="D62" s="2">
        <v>179.0</v>
      </c>
      <c r="E62" s="2">
        <v>799.0</v>
      </c>
      <c r="F62" s="3">
        <f t="shared" si="1"/>
        <v>0.7759699625</v>
      </c>
      <c r="G62" s="4">
        <f>IFERROR(__xludf.DUMMYFUNCTION("GOOGLEFINANCE(""CURRENCY:INRBRL"")*D62"),10.70375545708)</f>
        <v>10.70375546</v>
      </c>
      <c r="H62" s="1">
        <v>4.52</v>
      </c>
      <c r="I62" s="1">
        <v>2201.0</v>
      </c>
      <c r="J62" s="1" t="s">
        <v>258</v>
      </c>
      <c r="K62" s="5" t="s">
        <v>259</v>
      </c>
    </row>
    <row r="63">
      <c r="A63" s="1" t="s">
        <v>260</v>
      </c>
      <c r="B63" s="1" t="s">
        <v>261</v>
      </c>
      <c r="C63" s="1" t="s">
        <v>79</v>
      </c>
      <c r="D63" s="2">
        <v>32990.0</v>
      </c>
      <c r="E63" s="2">
        <v>47900.0</v>
      </c>
      <c r="F63" s="3">
        <f t="shared" si="1"/>
        <v>0.3112734864</v>
      </c>
      <c r="G63" s="4">
        <f>IFERROR(__xludf.DUMMYFUNCTION("GOOGLEFINANCE(""CURRENCY:INRBRL"")*D63"),1972.7200699947998)</f>
        <v>1972.72007</v>
      </c>
      <c r="H63" s="1">
        <v>4.52</v>
      </c>
      <c r="I63" s="1">
        <v>7109.0</v>
      </c>
      <c r="J63" s="1" t="s">
        <v>262</v>
      </c>
      <c r="K63" s="5" t="s">
        <v>263</v>
      </c>
    </row>
    <row r="64">
      <c r="A64" s="1" t="s">
        <v>264</v>
      </c>
      <c r="B64" s="1" t="s">
        <v>265</v>
      </c>
      <c r="C64" s="1" t="s">
        <v>13</v>
      </c>
      <c r="D64" s="2">
        <v>139.0</v>
      </c>
      <c r="E64" s="2">
        <v>999.0</v>
      </c>
      <c r="F64" s="3">
        <f t="shared" si="1"/>
        <v>0.8608608609</v>
      </c>
      <c r="G64" s="4">
        <f>IFERROR(__xludf.DUMMYFUNCTION("GOOGLEFINANCE(""CURRENCY:INRBRL"")*D64"),8.311854796279999)</f>
        <v>8.311854796</v>
      </c>
      <c r="H64" s="1">
        <v>4.52</v>
      </c>
      <c r="I64" s="1">
        <v>1313.0</v>
      </c>
      <c r="J64" s="1" t="s">
        <v>266</v>
      </c>
      <c r="K64" s="5" t="s">
        <v>267</v>
      </c>
    </row>
    <row r="65">
      <c r="A65" s="1" t="s">
        <v>268</v>
      </c>
      <c r="B65" s="1" t="s">
        <v>269</v>
      </c>
      <c r="C65" s="1" t="s">
        <v>13</v>
      </c>
      <c r="D65" s="2">
        <v>329.0</v>
      </c>
      <c r="E65" s="2">
        <v>845.0</v>
      </c>
      <c r="F65" s="3">
        <f t="shared" si="1"/>
        <v>0.6106508876</v>
      </c>
      <c r="G65" s="4">
        <f>IFERROR(__xludf.DUMMYFUNCTION("GOOGLEFINANCE(""CURRENCY:INRBRL"")*D65"),19.67338293508)</f>
        <v>19.67338294</v>
      </c>
      <c r="H65" s="1">
        <v>4.52</v>
      </c>
      <c r="I65" s="1">
        <v>29746.0</v>
      </c>
      <c r="J65" s="1" t="s">
        <v>270</v>
      </c>
      <c r="K65" s="5" t="s">
        <v>271</v>
      </c>
    </row>
    <row r="66">
      <c r="A66" s="1" t="s">
        <v>272</v>
      </c>
      <c r="B66" s="1" t="s">
        <v>273</v>
      </c>
      <c r="C66" s="1" t="s">
        <v>79</v>
      </c>
      <c r="D66" s="2">
        <v>13999.0</v>
      </c>
      <c r="E66" s="2">
        <v>24999.0</v>
      </c>
      <c r="F66" s="3">
        <f t="shared" si="1"/>
        <v>0.4400176007</v>
      </c>
      <c r="G66" s="4">
        <f>IFERROR(__xludf.DUMMYFUNCTION("GOOGLEFINANCE(""CURRENCY:INRBRL"")*D66"),837.1054337634799)</f>
        <v>837.1054338</v>
      </c>
      <c r="H66" s="1">
        <v>4.52</v>
      </c>
      <c r="I66" s="1">
        <v>45238.0</v>
      </c>
      <c r="J66" s="1" t="s">
        <v>274</v>
      </c>
      <c r="K66" s="5" t="s">
        <v>275</v>
      </c>
    </row>
    <row r="67">
      <c r="A67" s="1" t="s">
        <v>276</v>
      </c>
      <c r="B67" s="1" t="s">
        <v>277</v>
      </c>
      <c r="C67" s="1" t="s">
        <v>63</v>
      </c>
      <c r="D67" s="2">
        <v>309.0</v>
      </c>
      <c r="E67" s="2">
        <v>1400.0</v>
      </c>
      <c r="F67" s="3">
        <f t="shared" si="1"/>
        <v>0.7792857143</v>
      </c>
      <c r="G67" s="4">
        <f>IFERROR(__xludf.DUMMYFUNCTION("GOOGLEFINANCE(""CURRENCY:INRBRL"")*D67"),18.47743260468)</f>
        <v>18.4774326</v>
      </c>
      <c r="H67" s="1">
        <v>4.52</v>
      </c>
      <c r="I67" s="1">
        <v>426973.0</v>
      </c>
      <c r="J67" s="1" t="s">
        <v>278</v>
      </c>
      <c r="K67" s="5" t="s">
        <v>279</v>
      </c>
    </row>
    <row r="68">
      <c r="A68" s="1" t="s">
        <v>280</v>
      </c>
      <c r="B68" s="1" t="s">
        <v>281</v>
      </c>
      <c r="C68" s="1" t="s">
        <v>13</v>
      </c>
      <c r="D68" s="2">
        <v>263.0</v>
      </c>
      <c r="E68" s="2">
        <v>699.0</v>
      </c>
      <c r="F68" s="3">
        <f t="shared" si="1"/>
        <v>0.6237482117</v>
      </c>
      <c r="G68" s="4">
        <f>IFERROR(__xludf.DUMMYFUNCTION("GOOGLEFINANCE(""CURRENCY:INRBRL"")*D68"),15.72674684476)</f>
        <v>15.72674684</v>
      </c>
      <c r="H68" s="1">
        <v>4.52</v>
      </c>
      <c r="I68" s="1">
        <v>450.0</v>
      </c>
      <c r="J68" s="1" t="s">
        <v>282</v>
      </c>
      <c r="K68" s="5" t="s">
        <v>283</v>
      </c>
    </row>
    <row r="69">
      <c r="A69" s="1" t="s">
        <v>284</v>
      </c>
      <c r="B69" s="1" t="s">
        <v>285</v>
      </c>
      <c r="C69" s="1" t="s">
        <v>229</v>
      </c>
      <c r="D69" s="2">
        <v>7999.0</v>
      </c>
      <c r="E69" s="2">
        <v>14990.0</v>
      </c>
      <c r="F69" s="3">
        <f t="shared" si="1"/>
        <v>0.4663775851</v>
      </c>
      <c r="G69" s="4">
        <f>IFERROR(__xludf.DUMMYFUNCTION("GOOGLEFINANCE(""CURRENCY:INRBRL"")*D69"),478.32033464347995)</f>
        <v>478.3203346</v>
      </c>
      <c r="H69" s="1">
        <v>4.52</v>
      </c>
      <c r="I69" s="1">
        <v>457.0</v>
      </c>
      <c r="J69" s="1" t="s">
        <v>286</v>
      </c>
      <c r="K69" s="5" t="s">
        <v>287</v>
      </c>
    </row>
    <row r="70">
      <c r="A70" s="1" t="s">
        <v>288</v>
      </c>
      <c r="B70" s="1" t="s">
        <v>289</v>
      </c>
      <c r="C70" s="1" t="s">
        <v>290</v>
      </c>
      <c r="D70" s="2">
        <v>1599.0</v>
      </c>
      <c r="E70" s="2">
        <v>2999.0</v>
      </c>
      <c r="F70" s="3">
        <f t="shared" si="1"/>
        <v>0.4668222741</v>
      </c>
      <c r="G70" s="4">
        <f>IFERROR(__xludf.DUMMYFUNCTION("GOOGLEFINANCE(""CURRENCY:INRBRL"")*D70"),95.61622891548)</f>
        <v>95.61622892</v>
      </c>
      <c r="H70" s="1">
        <v>4.52</v>
      </c>
      <c r="I70" s="1">
        <v>2727.0</v>
      </c>
      <c r="J70" s="1" t="s">
        <v>291</v>
      </c>
      <c r="K70" s="5" t="s">
        <v>292</v>
      </c>
    </row>
    <row r="71">
      <c r="A71" s="1" t="s">
        <v>293</v>
      </c>
      <c r="B71" s="1" t="s">
        <v>294</v>
      </c>
      <c r="C71" s="1" t="s">
        <v>13</v>
      </c>
      <c r="D71" s="2">
        <v>219.0</v>
      </c>
      <c r="E71" s="2">
        <v>700.0</v>
      </c>
      <c r="F71" s="3">
        <f t="shared" si="1"/>
        <v>0.6871428571</v>
      </c>
      <c r="G71" s="4">
        <f>IFERROR(__xludf.DUMMYFUNCTION("GOOGLEFINANCE(""CURRENCY:INRBRL"")*D71"),13.095656117879999)</f>
        <v>13.09565612</v>
      </c>
      <c r="H71" s="1">
        <v>4.52</v>
      </c>
      <c r="I71" s="1">
        <v>20053.0</v>
      </c>
      <c r="J71" s="1" t="s">
        <v>295</v>
      </c>
      <c r="K71" s="5" t="s">
        <v>296</v>
      </c>
    </row>
    <row r="72">
      <c r="A72" s="1" t="s">
        <v>297</v>
      </c>
      <c r="B72" s="1" t="s">
        <v>298</v>
      </c>
      <c r="C72" s="1" t="s">
        <v>13</v>
      </c>
      <c r="D72" s="2">
        <v>349.0</v>
      </c>
      <c r="E72" s="2">
        <v>899.0</v>
      </c>
      <c r="F72" s="3">
        <f t="shared" si="1"/>
        <v>0.6117908788</v>
      </c>
      <c r="G72" s="4">
        <f>IFERROR(__xludf.DUMMYFUNCTION("GOOGLEFINANCE(""CURRENCY:INRBRL"")*D72"),20.869333265479998)</f>
        <v>20.86933327</v>
      </c>
      <c r="H72" s="1">
        <v>4.52</v>
      </c>
      <c r="I72" s="1">
        <v>149.0</v>
      </c>
      <c r="J72" s="1" t="s">
        <v>299</v>
      </c>
      <c r="K72" s="5" t="s">
        <v>300</v>
      </c>
    </row>
    <row r="73">
      <c r="A73" s="1" t="s">
        <v>301</v>
      </c>
      <c r="B73" s="1" t="s">
        <v>302</v>
      </c>
      <c r="C73" s="1" t="s">
        <v>13</v>
      </c>
      <c r="D73" s="2">
        <v>349.0</v>
      </c>
      <c r="E73" s="2">
        <v>599.0</v>
      </c>
      <c r="F73" s="3">
        <f t="shared" si="1"/>
        <v>0.4173622705</v>
      </c>
      <c r="G73" s="4">
        <f>IFERROR(__xludf.DUMMYFUNCTION("GOOGLEFINANCE(""CURRENCY:INRBRL"")*D73"),20.869333265479998)</f>
        <v>20.86933327</v>
      </c>
      <c r="H73" s="1">
        <v>4.52</v>
      </c>
      <c r="I73" s="1">
        <v>210.0</v>
      </c>
      <c r="J73" s="1" t="s">
        <v>303</v>
      </c>
      <c r="K73" s="5" t="s">
        <v>304</v>
      </c>
    </row>
    <row r="74">
      <c r="A74" s="1" t="s">
        <v>305</v>
      </c>
      <c r="B74" s="1" t="s">
        <v>306</v>
      </c>
      <c r="C74" s="1" t="s">
        <v>79</v>
      </c>
      <c r="D74" s="2">
        <v>26999.0</v>
      </c>
      <c r="E74" s="2">
        <v>42999.0</v>
      </c>
      <c r="F74" s="3">
        <f t="shared" si="1"/>
        <v>0.3721016768</v>
      </c>
      <c r="G74" s="4">
        <f>IFERROR(__xludf.DUMMYFUNCTION("GOOGLEFINANCE(""CURRENCY:INRBRL"")*D74"),1614.47314852348)</f>
        <v>1614.473149</v>
      </c>
      <c r="H74" s="1">
        <v>4.52</v>
      </c>
      <c r="I74" s="1">
        <v>45238.0</v>
      </c>
      <c r="J74" s="1" t="s">
        <v>307</v>
      </c>
      <c r="K74" s="5" t="s">
        <v>308</v>
      </c>
    </row>
    <row r="75">
      <c r="A75" s="1" t="s">
        <v>309</v>
      </c>
      <c r="B75" s="1" t="s">
        <v>310</v>
      </c>
      <c r="C75" s="1" t="s">
        <v>13</v>
      </c>
      <c r="D75" s="2">
        <v>115.0</v>
      </c>
      <c r="E75" s="2">
        <v>499.0</v>
      </c>
      <c r="F75" s="3">
        <f t="shared" si="1"/>
        <v>0.7695390782</v>
      </c>
      <c r="G75" s="4">
        <f>IFERROR(__xludf.DUMMYFUNCTION("GOOGLEFINANCE(""CURRENCY:INRBRL"")*D75"),6.8767143998)</f>
        <v>6.8767144</v>
      </c>
      <c r="H75" s="1">
        <v>4.52</v>
      </c>
      <c r="I75" s="1">
        <v>7732.0</v>
      </c>
      <c r="J75" s="1" t="s">
        <v>311</v>
      </c>
      <c r="K75" s="5" t="s">
        <v>312</v>
      </c>
    </row>
    <row r="76">
      <c r="A76" s="1" t="s">
        <v>313</v>
      </c>
      <c r="B76" s="1" t="s">
        <v>314</v>
      </c>
      <c r="C76" s="1" t="s">
        <v>13</v>
      </c>
      <c r="D76" s="2">
        <v>399.0</v>
      </c>
      <c r="E76" s="2">
        <v>999.0</v>
      </c>
      <c r="F76" s="3">
        <f t="shared" si="1"/>
        <v>0.6006006006</v>
      </c>
      <c r="G76" s="4">
        <f>IFERROR(__xludf.DUMMYFUNCTION("GOOGLEFINANCE(""CURRENCY:INRBRL"")*D76"),23.859209091479997)</f>
        <v>23.85920909</v>
      </c>
      <c r="H76" s="1">
        <v>4.52</v>
      </c>
      <c r="I76" s="1">
        <v>178.0</v>
      </c>
      <c r="J76" s="1" t="s">
        <v>315</v>
      </c>
      <c r="K76" s="5" t="s">
        <v>316</v>
      </c>
    </row>
    <row r="77">
      <c r="A77" s="1" t="s">
        <v>317</v>
      </c>
      <c r="B77" s="1" t="s">
        <v>318</v>
      </c>
      <c r="C77" s="1" t="s">
        <v>13</v>
      </c>
      <c r="D77" s="2">
        <v>199.0</v>
      </c>
      <c r="E77" s="2">
        <v>499.0</v>
      </c>
      <c r="F77" s="3">
        <f t="shared" si="1"/>
        <v>0.6012024048</v>
      </c>
      <c r="G77" s="4">
        <f>IFERROR(__xludf.DUMMYFUNCTION("GOOGLEFINANCE(""CURRENCY:INRBRL"")*D77"),11.899705787479999)</f>
        <v>11.89970579</v>
      </c>
      <c r="H77" s="1">
        <v>4.52</v>
      </c>
      <c r="I77" s="1">
        <v>602.0</v>
      </c>
      <c r="J77" s="1" t="s">
        <v>319</v>
      </c>
      <c r="K77" s="5" t="s">
        <v>320</v>
      </c>
    </row>
    <row r="78">
      <c r="A78" s="1" t="s">
        <v>321</v>
      </c>
      <c r="B78" s="1" t="s">
        <v>322</v>
      </c>
      <c r="C78" s="1" t="s">
        <v>13</v>
      </c>
      <c r="D78" s="2">
        <v>179.0</v>
      </c>
      <c r="E78" s="2">
        <v>399.0</v>
      </c>
      <c r="F78" s="3">
        <f t="shared" si="1"/>
        <v>0.5513784461</v>
      </c>
      <c r="G78" s="4">
        <f>IFERROR(__xludf.DUMMYFUNCTION("GOOGLEFINANCE(""CURRENCY:INRBRL"")*D78"),10.70375545708)</f>
        <v>10.70375546</v>
      </c>
      <c r="H78" s="1">
        <v>4.52</v>
      </c>
      <c r="I78" s="1">
        <v>1423.0</v>
      </c>
      <c r="J78" s="1" t="s">
        <v>323</v>
      </c>
      <c r="K78" s="5" t="s">
        <v>324</v>
      </c>
    </row>
    <row r="79">
      <c r="A79" s="1" t="s">
        <v>325</v>
      </c>
      <c r="B79" s="1" t="s">
        <v>326</v>
      </c>
      <c r="C79" s="1" t="s">
        <v>79</v>
      </c>
      <c r="D79" s="2">
        <v>10901.0</v>
      </c>
      <c r="E79" s="2">
        <v>30990.0</v>
      </c>
      <c r="F79" s="3">
        <f t="shared" si="1"/>
        <v>0.6482413682</v>
      </c>
      <c r="G79" s="4">
        <f>IFERROR(__xludf.DUMMYFUNCTION("GOOGLEFINANCE(""CURRENCY:INRBRL"")*D79"),651.8527275845199)</f>
        <v>651.8527276</v>
      </c>
      <c r="H79" s="1">
        <v>4.52</v>
      </c>
      <c r="I79" s="1">
        <v>398.0</v>
      </c>
      <c r="J79" s="1" t="s">
        <v>327</v>
      </c>
      <c r="K79" s="5" t="s">
        <v>328</v>
      </c>
    </row>
    <row r="80">
      <c r="A80" s="1" t="s">
        <v>329</v>
      </c>
      <c r="B80" s="1" t="s">
        <v>330</v>
      </c>
      <c r="C80" s="1" t="s">
        <v>13</v>
      </c>
      <c r="D80" s="2">
        <v>209.0</v>
      </c>
      <c r="E80" s="2">
        <v>499.0</v>
      </c>
      <c r="F80" s="3">
        <f t="shared" si="1"/>
        <v>0.5811623246</v>
      </c>
      <c r="G80" s="4">
        <f>IFERROR(__xludf.DUMMYFUNCTION("GOOGLEFINANCE(""CURRENCY:INRBRL"")*D80"),12.49768095268)</f>
        <v>12.49768095</v>
      </c>
      <c r="H80" s="1">
        <v>4.52</v>
      </c>
      <c r="I80" s="1">
        <v>536.0</v>
      </c>
      <c r="J80" s="1" t="s">
        <v>331</v>
      </c>
      <c r="K80" s="5" t="s">
        <v>332</v>
      </c>
    </row>
    <row r="81">
      <c r="A81" s="1" t="s">
        <v>333</v>
      </c>
      <c r="B81" s="1" t="s">
        <v>334</v>
      </c>
      <c r="C81" s="1" t="s">
        <v>208</v>
      </c>
      <c r="D81" s="2">
        <v>1434.0</v>
      </c>
      <c r="E81" s="2">
        <v>3999.0</v>
      </c>
      <c r="F81" s="3">
        <f t="shared" si="1"/>
        <v>0.6414103526</v>
      </c>
      <c r="G81" s="4">
        <f>IFERROR(__xludf.DUMMYFUNCTION("GOOGLEFINANCE(""CURRENCY:INRBRL"")*D81"),85.74963868968)</f>
        <v>85.74963869</v>
      </c>
      <c r="H81" s="1">
        <v>4.52</v>
      </c>
      <c r="I81" s="1">
        <v>32.0</v>
      </c>
      <c r="J81" s="1" t="s">
        <v>335</v>
      </c>
      <c r="K81" s="5" t="s">
        <v>336</v>
      </c>
    </row>
    <row r="82">
      <c r="A82" s="1" t="s">
        <v>337</v>
      </c>
      <c r="B82" s="1" t="s">
        <v>338</v>
      </c>
      <c r="C82" s="1" t="s">
        <v>13</v>
      </c>
      <c r="D82" s="2">
        <v>399.0</v>
      </c>
      <c r="E82" s="2">
        <v>1099.0</v>
      </c>
      <c r="F82" s="3">
        <f t="shared" si="1"/>
        <v>0.6369426752</v>
      </c>
      <c r="G82" s="4">
        <f>IFERROR(__xludf.DUMMYFUNCTION("GOOGLEFINANCE(""CURRENCY:INRBRL"")*D82"),23.859209091479997)</f>
        <v>23.85920909</v>
      </c>
      <c r="H82" s="1">
        <v>4.52</v>
      </c>
      <c r="I82" s="1">
        <v>24269.0</v>
      </c>
      <c r="J82" s="1" t="s">
        <v>339</v>
      </c>
      <c r="K82" s="5" t="s">
        <v>340</v>
      </c>
    </row>
    <row r="83">
      <c r="A83" s="1" t="s">
        <v>341</v>
      </c>
      <c r="B83" s="1" t="s">
        <v>342</v>
      </c>
      <c r="C83" s="1" t="s">
        <v>13</v>
      </c>
      <c r="D83" s="2">
        <v>139.0</v>
      </c>
      <c r="E83" s="2">
        <v>249.0</v>
      </c>
      <c r="F83" s="3">
        <f t="shared" si="1"/>
        <v>0.4417670683</v>
      </c>
      <c r="G83" s="4">
        <f>IFERROR(__xludf.DUMMYFUNCTION("GOOGLEFINANCE(""CURRENCY:INRBRL"")*D83"),8.311854796279999)</f>
        <v>8.311854796</v>
      </c>
      <c r="H83" s="1">
        <v>4.52</v>
      </c>
      <c r="I83" s="1">
        <v>9378.0</v>
      </c>
      <c r="J83" s="1" t="s">
        <v>343</v>
      </c>
      <c r="K83" s="5" t="s">
        <v>344</v>
      </c>
    </row>
    <row r="84">
      <c r="A84" s="1" t="s">
        <v>345</v>
      </c>
      <c r="B84" s="1" t="s">
        <v>346</v>
      </c>
      <c r="C84" s="1" t="s">
        <v>79</v>
      </c>
      <c r="D84" s="2">
        <v>7299.0</v>
      </c>
      <c r="E84" s="2">
        <v>19125.0</v>
      </c>
      <c r="F84" s="3">
        <f t="shared" si="1"/>
        <v>0.6183529412</v>
      </c>
      <c r="G84" s="4">
        <f>IFERROR(__xludf.DUMMYFUNCTION("GOOGLEFINANCE(""CURRENCY:INRBRL"")*D84"),436.46207307948)</f>
        <v>436.4620731</v>
      </c>
      <c r="H84" s="1">
        <v>4.52</v>
      </c>
      <c r="I84" s="1">
        <v>902.0</v>
      </c>
      <c r="J84" s="1" t="s">
        <v>347</v>
      </c>
      <c r="K84" s="5" t="s">
        <v>348</v>
      </c>
    </row>
    <row r="85">
      <c r="A85" s="1" t="s">
        <v>349</v>
      </c>
      <c r="B85" s="1" t="s">
        <v>350</v>
      </c>
      <c r="C85" s="1" t="s">
        <v>13</v>
      </c>
      <c r="D85" s="2">
        <v>299.0</v>
      </c>
      <c r="E85" s="2">
        <v>799.0</v>
      </c>
      <c r="F85" s="3">
        <f t="shared" si="1"/>
        <v>0.6257822278</v>
      </c>
      <c r="G85" s="4">
        <f>IFERROR(__xludf.DUMMYFUNCTION("GOOGLEFINANCE(""CURRENCY:INRBRL"")*D85"),17.87945743948)</f>
        <v>17.87945744</v>
      </c>
      <c r="H85" s="1">
        <v>4.52</v>
      </c>
      <c r="I85" s="1">
        <v>28791.0</v>
      </c>
      <c r="J85" s="1" t="s">
        <v>351</v>
      </c>
      <c r="K85" s="5" t="s">
        <v>352</v>
      </c>
    </row>
    <row r="86">
      <c r="A86" s="1" t="s">
        <v>353</v>
      </c>
      <c r="B86" s="1" t="s">
        <v>354</v>
      </c>
      <c r="C86" s="1" t="s">
        <v>13</v>
      </c>
      <c r="D86" s="2">
        <v>325.0</v>
      </c>
      <c r="E86" s="2">
        <v>1299.0</v>
      </c>
      <c r="F86" s="3">
        <f t="shared" si="1"/>
        <v>0.7498075443</v>
      </c>
      <c r="G86" s="4">
        <f>IFERROR(__xludf.DUMMYFUNCTION("GOOGLEFINANCE(""CURRENCY:INRBRL"")*D86"),19.434192869)</f>
        <v>19.43419287</v>
      </c>
      <c r="H86" s="1">
        <v>4.52</v>
      </c>
      <c r="I86" s="1">
        <v>10576.0</v>
      </c>
      <c r="J86" s="1" t="s">
        <v>355</v>
      </c>
      <c r="K86" s="5" t="s">
        <v>356</v>
      </c>
    </row>
    <row r="87">
      <c r="A87" s="1" t="s">
        <v>357</v>
      </c>
      <c r="B87" s="1" t="s">
        <v>358</v>
      </c>
      <c r="C87" s="1" t="s">
        <v>79</v>
      </c>
      <c r="D87" s="2">
        <v>29999.0</v>
      </c>
      <c r="E87" s="2">
        <v>39999.0</v>
      </c>
      <c r="F87" s="3">
        <f t="shared" si="1"/>
        <v>0.2500062502</v>
      </c>
      <c r="G87" s="4">
        <f>IFERROR(__xludf.DUMMYFUNCTION("GOOGLEFINANCE(""CURRENCY:INRBRL"")*D87"),1793.8656980834799)</f>
        <v>1793.865698</v>
      </c>
      <c r="H87" s="1">
        <v>4.52</v>
      </c>
      <c r="I87" s="1">
        <v>7298.0</v>
      </c>
      <c r="J87" s="1" t="s">
        <v>359</v>
      </c>
      <c r="K87" s="5" t="s">
        <v>360</v>
      </c>
    </row>
    <row r="88">
      <c r="A88" s="1" t="s">
        <v>361</v>
      </c>
      <c r="B88" s="1" t="s">
        <v>362</v>
      </c>
      <c r="C88" s="1" t="s">
        <v>79</v>
      </c>
      <c r="D88" s="2">
        <v>27999.0</v>
      </c>
      <c r="E88" s="2">
        <v>40990.0</v>
      </c>
      <c r="F88" s="3">
        <f t="shared" si="1"/>
        <v>0.3169309588</v>
      </c>
      <c r="G88" s="4">
        <f>IFERROR(__xludf.DUMMYFUNCTION("GOOGLEFINANCE(""CURRENCY:INRBRL"")*D88"),1674.27066504348)</f>
        <v>1674.270665</v>
      </c>
      <c r="H88" s="1">
        <v>4.52</v>
      </c>
      <c r="I88" s="1">
        <v>4703.0</v>
      </c>
      <c r="J88" s="1" t="s">
        <v>363</v>
      </c>
      <c r="K88" s="5" t="s">
        <v>364</v>
      </c>
    </row>
    <row r="89">
      <c r="A89" s="1" t="s">
        <v>365</v>
      </c>
      <c r="B89" s="1" t="s">
        <v>366</v>
      </c>
      <c r="C89" s="1" t="s">
        <v>79</v>
      </c>
      <c r="D89" s="2">
        <v>30990.0</v>
      </c>
      <c r="E89" s="2">
        <v>52990.0</v>
      </c>
      <c r="F89" s="3">
        <f t="shared" si="1"/>
        <v>0.4151726741</v>
      </c>
      <c r="G89" s="4">
        <f>IFERROR(__xludf.DUMMYFUNCTION("GOOGLEFINANCE(""CURRENCY:INRBRL"")*D89"),1853.1250369548)</f>
        <v>1853.125037</v>
      </c>
      <c r="H89" s="1">
        <v>4.52</v>
      </c>
      <c r="I89" s="1">
        <v>7109.0</v>
      </c>
      <c r="J89" s="1" t="s">
        <v>367</v>
      </c>
      <c r="K89" s="5" t="s">
        <v>368</v>
      </c>
    </row>
    <row r="90">
      <c r="A90" s="1" t="s">
        <v>369</v>
      </c>
      <c r="B90" s="1" t="s">
        <v>370</v>
      </c>
      <c r="C90" s="1" t="s">
        <v>13</v>
      </c>
      <c r="D90" s="2">
        <v>199.0</v>
      </c>
      <c r="E90" s="2">
        <v>999.0</v>
      </c>
      <c r="F90" s="3">
        <f t="shared" si="1"/>
        <v>0.8008008008</v>
      </c>
      <c r="G90" s="4">
        <f>IFERROR(__xludf.DUMMYFUNCTION("GOOGLEFINANCE(""CURRENCY:INRBRL"")*D90"),11.899705787479999)</f>
        <v>11.89970579</v>
      </c>
      <c r="H90" s="1">
        <v>4.52</v>
      </c>
      <c r="I90" s="1">
        <v>127.0</v>
      </c>
      <c r="J90" s="1" t="s">
        <v>371</v>
      </c>
      <c r="K90" s="5" t="s">
        <v>372</v>
      </c>
    </row>
    <row r="91">
      <c r="A91" s="1" t="s">
        <v>373</v>
      </c>
      <c r="B91" s="1" t="s">
        <v>374</v>
      </c>
      <c r="C91" s="1" t="s">
        <v>13</v>
      </c>
      <c r="D91" s="2">
        <v>649.0</v>
      </c>
      <c r="E91" s="2">
        <v>1999.0</v>
      </c>
      <c r="F91" s="3">
        <f t="shared" si="1"/>
        <v>0.6753376688</v>
      </c>
      <c r="G91" s="4">
        <f>IFERROR(__xludf.DUMMYFUNCTION("GOOGLEFINANCE(""CURRENCY:INRBRL"")*D91"),38.80858822148)</f>
        <v>38.80858822</v>
      </c>
      <c r="H91" s="1">
        <v>4.52</v>
      </c>
      <c r="I91" s="1">
        <v>24269.0</v>
      </c>
      <c r="J91" s="1" t="s">
        <v>184</v>
      </c>
      <c r="K91" s="5" t="s">
        <v>375</v>
      </c>
    </row>
    <row r="92">
      <c r="A92" s="1" t="s">
        <v>376</v>
      </c>
      <c r="B92" s="1" t="s">
        <v>377</v>
      </c>
      <c r="C92" s="1" t="s">
        <v>46</v>
      </c>
      <c r="D92" s="2">
        <v>269.0</v>
      </c>
      <c r="E92" s="2">
        <v>800.0</v>
      </c>
      <c r="F92" s="3">
        <f t="shared" si="1"/>
        <v>0.66375</v>
      </c>
      <c r="G92" s="4">
        <f>IFERROR(__xludf.DUMMYFUNCTION("GOOGLEFINANCE(""CURRENCY:INRBRL"")*D92"),16.08553194388)</f>
        <v>16.08553194</v>
      </c>
      <c r="H92" s="1">
        <v>4.52</v>
      </c>
      <c r="I92" s="1">
        <v>10134.0</v>
      </c>
      <c r="J92" s="1" t="s">
        <v>378</v>
      </c>
      <c r="K92" s="5" t="s">
        <v>379</v>
      </c>
    </row>
    <row r="93">
      <c r="A93" s="1" t="s">
        <v>380</v>
      </c>
      <c r="B93" s="1" t="s">
        <v>381</v>
      </c>
      <c r="C93" s="1" t="s">
        <v>79</v>
      </c>
      <c r="D93" s="2">
        <v>24999.0</v>
      </c>
      <c r="E93" s="2">
        <v>31999.0</v>
      </c>
      <c r="F93" s="3">
        <f t="shared" si="1"/>
        <v>0.2187568362</v>
      </c>
      <c r="G93" s="4">
        <f>IFERROR(__xludf.DUMMYFUNCTION("GOOGLEFINANCE(""CURRENCY:INRBRL"")*D93"),1494.8781154834799)</f>
        <v>1494.878115</v>
      </c>
      <c r="H93" s="1">
        <v>4.52</v>
      </c>
      <c r="I93" s="1">
        <v>34899.0</v>
      </c>
      <c r="J93" s="1" t="s">
        <v>382</v>
      </c>
      <c r="K93" s="5" t="s">
        <v>383</v>
      </c>
    </row>
    <row r="94">
      <c r="A94" s="1" t="s">
        <v>384</v>
      </c>
      <c r="B94" s="1" t="s">
        <v>385</v>
      </c>
      <c r="C94" s="1" t="s">
        <v>13</v>
      </c>
      <c r="D94" s="2">
        <v>299.0</v>
      </c>
      <c r="E94" s="2">
        <v>699.0</v>
      </c>
      <c r="F94" s="3">
        <f t="shared" si="1"/>
        <v>0.5722460658</v>
      </c>
      <c r="G94" s="4">
        <f>IFERROR(__xludf.DUMMYFUNCTION("GOOGLEFINANCE(""CURRENCY:INRBRL"")*D94"),17.87945743948)</f>
        <v>17.87945744</v>
      </c>
      <c r="H94" s="1">
        <v>4.52</v>
      </c>
      <c r="I94" s="1">
        <v>94363.0</v>
      </c>
      <c r="J94" s="1" t="s">
        <v>26</v>
      </c>
      <c r="K94" s="5" t="s">
        <v>386</v>
      </c>
    </row>
    <row r="95">
      <c r="A95" s="1" t="s">
        <v>387</v>
      </c>
      <c r="B95" s="1" t="s">
        <v>388</v>
      </c>
      <c r="C95" s="1" t="s">
        <v>13</v>
      </c>
      <c r="D95" s="2">
        <v>199.0</v>
      </c>
      <c r="E95" s="2">
        <v>999.0</v>
      </c>
      <c r="F95" s="3">
        <f t="shared" si="1"/>
        <v>0.8008008008</v>
      </c>
      <c r="G95" s="4">
        <f>IFERROR(__xludf.DUMMYFUNCTION("GOOGLEFINANCE(""CURRENCY:INRBRL"")*D95"),11.899705787479999)</f>
        <v>11.89970579</v>
      </c>
      <c r="H95" s="1">
        <v>4.52</v>
      </c>
      <c r="I95" s="1">
        <v>425.0</v>
      </c>
      <c r="J95" s="1" t="s">
        <v>389</v>
      </c>
      <c r="K95" s="5" t="s">
        <v>390</v>
      </c>
    </row>
    <row r="96">
      <c r="A96" s="1" t="s">
        <v>391</v>
      </c>
      <c r="B96" s="1" t="s">
        <v>392</v>
      </c>
      <c r="C96" s="1" t="s">
        <v>79</v>
      </c>
      <c r="D96" s="2">
        <v>18990.0</v>
      </c>
      <c r="E96" s="2">
        <v>40990.0</v>
      </c>
      <c r="F96" s="3">
        <f t="shared" si="1"/>
        <v>0.5367162723</v>
      </c>
      <c r="G96" s="4">
        <f>IFERROR(__xludf.DUMMYFUNCTION("GOOGLEFINANCE(""CURRENCY:INRBRL"")*D96"),1135.5548387147999)</f>
        <v>1135.554839</v>
      </c>
      <c r="H96" s="1">
        <v>4.52</v>
      </c>
      <c r="I96" s="1">
        <v>6659.0</v>
      </c>
      <c r="J96" s="1" t="s">
        <v>393</v>
      </c>
      <c r="K96" s="5" t="s">
        <v>394</v>
      </c>
    </row>
    <row r="97">
      <c r="A97" s="1" t="s">
        <v>395</v>
      </c>
      <c r="B97" s="1" t="s">
        <v>396</v>
      </c>
      <c r="C97" s="1" t="s">
        <v>46</v>
      </c>
      <c r="D97" s="2">
        <v>290.0</v>
      </c>
      <c r="E97" s="2">
        <v>349.0</v>
      </c>
      <c r="F97" s="3">
        <f t="shared" si="1"/>
        <v>0.1690544413</v>
      </c>
      <c r="G97" s="4">
        <f>IFERROR(__xludf.DUMMYFUNCTION("GOOGLEFINANCE(""CURRENCY:INRBRL"")*D97"),17.341279790799998)</f>
        <v>17.34127979</v>
      </c>
      <c r="H97" s="1">
        <v>4.52</v>
      </c>
      <c r="I97" s="1">
        <v>1977.0</v>
      </c>
      <c r="J97" s="1" t="s">
        <v>397</v>
      </c>
      <c r="K97" s="5" t="s">
        <v>398</v>
      </c>
    </row>
    <row r="98">
      <c r="A98" s="1" t="s">
        <v>399</v>
      </c>
      <c r="B98" s="1" t="s">
        <v>400</v>
      </c>
      <c r="C98" s="1" t="s">
        <v>208</v>
      </c>
      <c r="D98" s="2">
        <v>249.0</v>
      </c>
      <c r="E98" s="2">
        <v>799.0</v>
      </c>
      <c r="F98" s="3">
        <f t="shared" si="1"/>
        <v>0.6883604506</v>
      </c>
      <c r="G98" s="4">
        <f>IFERROR(__xludf.DUMMYFUNCTION("GOOGLEFINANCE(""CURRENCY:INRBRL"")*D98"),14.889581613479999)</f>
        <v>14.88958161</v>
      </c>
      <c r="H98" s="1">
        <v>4.52</v>
      </c>
      <c r="I98" s="1">
        <v>1079.0</v>
      </c>
      <c r="J98" s="1" t="s">
        <v>401</v>
      </c>
      <c r="K98" s="5" t="s">
        <v>402</v>
      </c>
    </row>
    <row r="99">
      <c r="A99" s="1" t="s">
        <v>403</v>
      </c>
      <c r="B99" s="1" t="s">
        <v>404</v>
      </c>
      <c r="C99" s="1" t="s">
        <v>13</v>
      </c>
      <c r="D99" s="2">
        <v>345.0</v>
      </c>
      <c r="E99" s="2">
        <v>999.0</v>
      </c>
      <c r="F99" s="3">
        <f t="shared" si="1"/>
        <v>0.6546546547</v>
      </c>
      <c r="G99" s="4">
        <f>IFERROR(__xludf.DUMMYFUNCTION("GOOGLEFINANCE(""CURRENCY:INRBRL"")*D99"),20.6301431994)</f>
        <v>20.6301432</v>
      </c>
      <c r="H99" s="1">
        <v>4.52</v>
      </c>
      <c r="I99" s="1">
        <v>1097.0</v>
      </c>
      <c r="J99" s="1" t="s">
        <v>405</v>
      </c>
      <c r="K99" s="5" t="s">
        <v>406</v>
      </c>
    </row>
    <row r="100">
      <c r="A100" s="1" t="s">
        <v>407</v>
      </c>
      <c r="B100" s="1" t="s">
        <v>408</v>
      </c>
      <c r="C100" s="1" t="s">
        <v>46</v>
      </c>
      <c r="D100" s="2">
        <v>1099.0</v>
      </c>
      <c r="E100" s="2">
        <v>1899.0</v>
      </c>
      <c r="F100" s="3">
        <f t="shared" si="1"/>
        <v>0.4212743549</v>
      </c>
      <c r="G100" s="4">
        <f>IFERROR(__xludf.DUMMYFUNCTION("GOOGLEFINANCE(""CURRENCY:INRBRL"")*D100"),65.71747065548)</f>
        <v>65.71747066</v>
      </c>
      <c r="H100" s="1">
        <v>4.52</v>
      </c>
      <c r="I100" s="1">
        <v>2242.0</v>
      </c>
      <c r="J100" s="1" t="s">
        <v>409</v>
      </c>
      <c r="K100" s="5" t="s">
        <v>410</v>
      </c>
    </row>
    <row r="101">
      <c r="A101" s="1" t="s">
        <v>411</v>
      </c>
      <c r="B101" s="1" t="s">
        <v>412</v>
      </c>
      <c r="C101" s="1" t="s">
        <v>13</v>
      </c>
      <c r="D101" s="2">
        <v>719.0</v>
      </c>
      <c r="E101" s="2">
        <v>1499.0</v>
      </c>
      <c r="F101" s="3">
        <f t="shared" si="1"/>
        <v>0.5203468979</v>
      </c>
      <c r="G101" s="4">
        <f>IFERROR(__xludf.DUMMYFUNCTION("GOOGLEFINANCE(""CURRENCY:INRBRL"")*D101"),42.99441437788)</f>
        <v>42.99441438</v>
      </c>
      <c r="H101" s="1">
        <v>4.52</v>
      </c>
      <c r="I101" s="1">
        <v>1045.0</v>
      </c>
      <c r="J101" s="1" t="s">
        <v>413</v>
      </c>
      <c r="K101" s="5" t="s">
        <v>414</v>
      </c>
    </row>
    <row r="102">
      <c r="A102" s="1" t="s">
        <v>415</v>
      </c>
      <c r="B102" s="1" t="s">
        <v>416</v>
      </c>
      <c r="C102" s="1" t="s">
        <v>208</v>
      </c>
      <c r="D102" s="2">
        <v>349.0</v>
      </c>
      <c r="E102" s="2">
        <v>1499.0</v>
      </c>
      <c r="F102" s="3">
        <f t="shared" si="1"/>
        <v>0.7671781187</v>
      </c>
      <c r="G102" s="4">
        <f>IFERROR(__xludf.DUMMYFUNCTION("GOOGLEFINANCE(""CURRENCY:INRBRL"")*D102"),20.869333265479998)</f>
        <v>20.86933327</v>
      </c>
      <c r="H102" s="1">
        <v>4.52</v>
      </c>
      <c r="I102" s="1">
        <v>4145.0</v>
      </c>
      <c r="J102" s="1" t="s">
        <v>417</v>
      </c>
      <c r="K102" s="5" t="s">
        <v>418</v>
      </c>
    </row>
    <row r="103">
      <c r="A103" s="1" t="s">
        <v>419</v>
      </c>
      <c r="B103" s="1" t="s">
        <v>420</v>
      </c>
      <c r="C103" s="1" t="s">
        <v>13</v>
      </c>
      <c r="D103" s="2">
        <v>849.0</v>
      </c>
      <c r="E103" s="2">
        <v>1809.0</v>
      </c>
      <c r="F103" s="3">
        <f t="shared" si="1"/>
        <v>0.5306799337</v>
      </c>
      <c r="G103" s="4">
        <f>IFERROR(__xludf.DUMMYFUNCTION("GOOGLEFINANCE(""CURRENCY:INRBRL"")*D103"),50.768091525479996)</f>
        <v>50.76809153</v>
      </c>
      <c r="H103" s="1">
        <v>4.52</v>
      </c>
      <c r="I103" s="1">
        <v>6547.0</v>
      </c>
      <c r="J103" s="1" t="s">
        <v>225</v>
      </c>
      <c r="K103" s="5" t="s">
        <v>421</v>
      </c>
    </row>
    <row r="104">
      <c r="A104" s="1" t="s">
        <v>422</v>
      </c>
      <c r="B104" s="1" t="s">
        <v>423</v>
      </c>
      <c r="C104" s="1" t="s">
        <v>208</v>
      </c>
      <c r="D104" s="2">
        <v>299.0</v>
      </c>
      <c r="E104" s="2">
        <v>899.0</v>
      </c>
      <c r="F104" s="3">
        <f t="shared" si="1"/>
        <v>0.6674082314</v>
      </c>
      <c r="G104" s="4">
        <f>IFERROR(__xludf.DUMMYFUNCTION("GOOGLEFINANCE(""CURRENCY:INRBRL"")*D104"),17.87945743948)</f>
        <v>17.87945744</v>
      </c>
      <c r="H104" s="1">
        <v>4.52</v>
      </c>
      <c r="I104" s="1">
        <v>1588.0</v>
      </c>
      <c r="J104" s="1" t="s">
        <v>424</v>
      </c>
      <c r="K104" s="5" t="s">
        <v>425</v>
      </c>
    </row>
    <row r="105">
      <c r="A105" s="1" t="s">
        <v>426</v>
      </c>
      <c r="B105" s="1" t="s">
        <v>427</v>
      </c>
      <c r="C105" s="1" t="s">
        <v>79</v>
      </c>
      <c r="D105" s="2">
        <v>21999.0</v>
      </c>
      <c r="E105" s="2">
        <v>29999.0</v>
      </c>
      <c r="F105" s="3">
        <f t="shared" si="1"/>
        <v>0.2666755559</v>
      </c>
      <c r="G105" s="4">
        <f>IFERROR(__xludf.DUMMYFUNCTION("GOOGLEFINANCE(""CURRENCY:INRBRL"")*D105"),1315.48556592348)</f>
        <v>1315.485566</v>
      </c>
      <c r="H105" s="1">
        <v>4.52</v>
      </c>
      <c r="I105" s="1">
        <v>3284.0</v>
      </c>
      <c r="J105" s="1" t="s">
        <v>428</v>
      </c>
      <c r="K105" s="5" t="s">
        <v>429</v>
      </c>
    </row>
    <row r="106">
      <c r="A106" s="1" t="s">
        <v>430</v>
      </c>
      <c r="B106" s="1" t="s">
        <v>431</v>
      </c>
      <c r="C106" s="1" t="s">
        <v>13</v>
      </c>
      <c r="D106" s="2">
        <v>349.0</v>
      </c>
      <c r="E106" s="2">
        <v>999.0</v>
      </c>
      <c r="F106" s="3">
        <f t="shared" si="1"/>
        <v>0.6506506507</v>
      </c>
      <c r="G106" s="4">
        <f>IFERROR(__xludf.DUMMYFUNCTION("GOOGLEFINANCE(""CURRENCY:INRBRL"")*D106"),20.869333265479998)</f>
        <v>20.86933327</v>
      </c>
      <c r="H106" s="1">
        <v>4.52</v>
      </c>
      <c r="I106" s="1">
        <v>1312.0</v>
      </c>
      <c r="J106" s="1" t="s">
        <v>432</v>
      </c>
      <c r="K106" s="5" t="s">
        <v>433</v>
      </c>
    </row>
    <row r="107">
      <c r="A107" s="1" t="s">
        <v>434</v>
      </c>
      <c r="B107" s="1" t="s">
        <v>435</v>
      </c>
      <c r="C107" s="1" t="s">
        <v>13</v>
      </c>
      <c r="D107" s="2">
        <v>399.0</v>
      </c>
      <c r="E107" s="2">
        <v>999.0</v>
      </c>
      <c r="F107" s="3">
        <f t="shared" si="1"/>
        <v>0.6006006006</v>
      </c>
      <c r="G107" s="4">
        <f>IFERROR(__xludf.DUMMYFUNCTION("GOOGLEFINANCE(""CURRENCY:INRBRL"")*D107"),23.859209091479997)</f>
        <v>23.85920909</v>
      </c>
      <c r="H107" s="1">
        <v>4.52</v>
      </c>
      <c r="I107" s="1">
        <v>2806.0</v>
      </c>
      <c r="J107" s="1" t="s">
        <v>436</v>
      </c>
      <c r="K107" s="5" t="s">
        <v>437</v>
      </c>
    </row>
    <row r="108">
      <c r="A108" s="1" t="s">
        <v>438</v>
      </c>
      <c r="B108" s="1" t="s">
        <v>439</v>
      </c>
      <c r="C108" s="1" t="s">
        <v>13</v>
      </c>
      <c r="D108" s="2">
        <v>449.0</v>
      </c>
      <c r="E108" s="2">
        <v>1299.0</v>
      </c>
      <c r="F108" s="3">
        <f t="shared" si="1"/>
        <v>0.6543494996</v>
      </c>
      <c r="G108" s="4">
        <f>IFERROR(__xludf.DUMMYFUNCTION("GOOGLEFINANCE(""CURRENCY:INRBRL"")*D108"),26.84908491748)</f>
        <v>26.84908492</v>
      </c>
      <c r="H108" s="1">
        <v>4.52</v>
      </c>
      <c r="I108" s="1">
        <v>24269.0</v>
      </c>
      <c r="J108" s="1" t="s">
        <v>440</v>
      </c>
      <c r="K108" s="5" t="s">
        <v>441</v>
      </c>
    </row>
    <row r="109">
      <c r="A109" s="1" t="s">
        <v>442</v>
      </c>
      <c r="B109" s="1" t="s">
        <v>443</v>
      </c>
      <c r="C109" s="1" t="s">
        <v>13</v>
      </c>
      <c r="D109" s="2">
        <v>299.0</v>
      </c>
      <c r="E109" s="2">
        <v>999.0</v>
      </c>
      <c r="F109" s="3">
        <f t="shared" si="1"/>
        <v>0.7007007007</v>
      </c>
      <c r="G109" s="4">
        <f>IFERROR(__xludf.DUMMYFUNCTION("GOOGLEFINANCE(""CURRENCY:INRBRL"")*D109"),17.87945743948)</f>
        <v>17.87945744</v>
      </c>
      <c r="H109" s="1">
        <v>4.52</v>
      </c>
      <c r="I109" s="1">
        <v>766.0</v>
      </c>
      <c r="J109" s="1" t="s">
        <v>444</v>
      </c>
      <c r="K109" s="5" t="s">
        <v>445</v>
      </c>
    </row>
    <row r="110">
      <c r="A110" s="1" t="s">
        <v>446</v>
      </c>
      <c r="B110" s="1" t="s">
        <v>447</v>
      </c>
      <c r="C110" s="1" t="s">
        <v>79</v>
      </c>
      <c r="D110" s="2">
        <v>37999.0</v>
      </c>
      <c r="E110" s="2">
        <v>64999.0</v>
      </c>
      <c r="F110" s="3">
        <f t="shared" si="1"/>
        <v>0.415391006</v>
      </c>
      <c r="G110" s="4">
        <f>IFERROR(__xludf.DUMMYFUNCTION("GOOGLEFINANCE(""CURRENCY:INRBRL"")*D110"),2272.2458302434798)</f>
        <v>2272.24583</v>
      </c>
      <c r="H110" s="1">
        <v>4.52</v>
      </c>
      <c r="I110" s="1">
        <v>3587.0</v>
      </c>
      <c r="J110" s="1" t="s">
        <v>448</v>
      </c>
      <c r="K110" s="5" t="s">
        <v>449</v>
      </c>
    </row>
    <row r="111">
      <c r="A111" s="1" t="s">
        <v>450</v>
      </c>
      <c r="B111" s="1" t="s">
        <v>451</v>
      </c>
      <c r="C111" s="1" t="s">
        <v>13</v>
      </c>
      <c r="D111" s="2">
        <v>99.0</v>
      </c>
      <c r="E111" s="2">
        <v>800.0</v>
      </c>
      <c r="F111" s="3">
        <f t="shared" si="1"/>
        <v>0.87625</v>
      </c>
      <c r="G111" s="4">
        <f>IFERROR(__xludf.DUMMYFUNCTION("GOOGLEFINANCE(""CURRENCY:INRBRL"")*D111"),5.919954135479999)</f>
        <v>5.919954135</v>
      </c>
      <c r="H111" s="1">
        <v>4.52</v>
      </c>
      <c r="I111" s="1">
        <v>24871.0</v>
      </c>
      <c r="J111" s="1" t="s">
        <v>452</v>
      </c>
      <c r="K111" s="5" t="s">
        <v>453</v>
      </c>
    </row>
    <row r="112">
      <c r="A112" s="1" t="s">
        <v>454</v>
      </c>
      <c r="B112" s="1" t="s">
        <v>455</v>
      </c>
      <c r="C112" s="1" t="s">
        <v>229</v>
      </c>
      <c r="D112" s="2">
        <v>7389.0</v>
      </c>
      <c r="E112" s="2">
        <v>19999.0</v>
      </c>
      <c r="F112" s="3">
        <f t="shared" si="1"/>
        <v>0.6305315266</v>
      </c>
      <c r="G112" s="4">
        <f>IFERROR(__xludf.DUMMYFUNCTION("GOOGLEFINANCE(""CURRENCY:INRBRL"")*D112"),441.84384956627997)</f>
        <v>441.8438496</v>
      </c>
      <c r="H112" s="1">
        <v>4.52</v>
      </c>
      <c r="I112" s="1">
        <v>2581.0</v>
      </c>
      <c r="J112" s="1" t="s">
        <v>456</v>
      </c>
      <c r="K112" s="5" t="s">
        <v>457</v>
      </c>
    </row>
    <row r="113">
      <c r="A113" s="1" t="s">
        <v>458</v>
      </c>
      <c r="B113" s="1" t="s">
        <v>459</v>
      </c>
      <c r="C113" s="1" t="s">
        <v>13</v>
      </c>
      <c r="D113" s="2">
        <v>273.1</v>
      </c>
      <c r="E113" s="2">
        <v>999.0</v>
      </c>
      <c r="F113" s="3">
        <f t="shared" si="1"/>
        <v>0.7266266266</v>
      </c>
      <c r="G113" s="4">
        <f>IFERROR(__xludf.DUMMYFUNCTION("GOOGLEFINANCE(""CURRENCY:INRBRL"")*D113"),16.330701761612)</f>
        <v>16.33070176</v>
      </c>
      <c r="H113" s="1">
        <v>4.52</v>
      </c>
      <c r="I113" s="1">
        <v>2085.0</v>
      </c>
      <c r="J113" s="1" t="s">
        <v>460</v>
      </c>
      <c r="K113" s="5" t="s">
        <v>461</v>
      </c>
    </row>
    <row r="114">
      <c r="A114" s="1" t="s">
        <v>462</v>
      </c>
      <c r="B114" s="1" t="s">
        <v>463</v>
      </c>
      <c r="C114" s="1" t="s">
        <v>79</v>
      </c>
      <c r="D114" s="2">
        <v>15989.0</v>
      </c>
      <c r="E114" s="2">
        <v>23989.0</v>
      </c>
      <c r="F114" s="3">
        <f t="shared" si="1"/>
        <v>0.3334861812</v>
      </c>
      <c r="G114" s="4">
        <f>IFERROR(__xludf.DUMMYFUNCTION("GOOGLEFINANCE(""CURRENCY:INRBRL"")*D114"),956.10249163828)</f>
        <v>956.1024916</v>
      </c>
      <c r="H114" s="1">
        <v>4.52</v>
      </c>
      <c r="I114" s="1">
        <v>1035.0</v>
      </c>
      <c r="J114" s="1" t="s">
        <v>464</v>
      </c>
      <c r="K114" s="5" t="s">
        <v>465</v>
      </c>
    </row>
    <row r="115">
      <c r="A115" s="1" t="s">
        <v>466</v>
      </c>
      <c r="B115" s="1" t="s">
        <v>467</v>
      </c>
      <c r="C115" s="1" t="s">
        <v>13</v>
      </c>
      <c r="D115" s="2">
        <v>399.0</v>
      </c>
      <c r="E115" s="2">
        <v>999.0</v>
      </c>
      <c r="F115" s="3">
        <f t="shared" si="1"/>
        <v>0.6006006006</v>
      </c>
      <c r="G115" s="4">
        <f>IFERROR(__xludf.DUMMYFUNCTION("GOOGLEFINANCE(""CURRENCY:INRBRL"")*D115"),23.859209091479997)</f>
        <v>23.85920909</v>
      </c>
      <c r="H115" s="1">
        <v>4.52</v>
      </c>
      <c r="I115" s="1">
        <v>178.0</v>
      </c>
      <c r="J115" s="1" t="s">
        <v>468</v>
      </c>
      <c r="K115" s="5" t="s">
        <v>469</v>
      </c>
    </row>
    <row r="116">
      <c r="A116" s="1" t="s">
        <v>470</v>
      </c>
      <c r="B116" s="1" t="s">
        <v>471</v>
      </c>
      <c r="C116" s="1" t="s">
        <v>208</v>
      </c>
      <c r="D116" s="2">
        <v>399.0</v>
      </c>
      <c r="E116" s="2">
        <v>1999.0</v>
      </c>
      <c r="F116" s="3">
        <f t="shared" si="1"/>
        <v>0.8004002001</v>
      </c>
      <c r="G116" s="4">
        <f>IFERROR(__xludf.DUMMYFUNCTION("GOOGLEFINANCE(""CURRENCY:INRBRL"")*D116"),23.859209091479997)</f>
        <v>23.85920909</v>
      </c>
      <c r="H116" s="1">
        <v>4.52</v>
      </c>
      <c r="I116" s="1">
        <v>505.0</v>
      </c>
      <c r="J116" s="1" t="s">
        <v>472</v>
      </c>
      <c r="K116" s="5" t="s">
        <v>473</v>
      </c>
    </row>
    <row r="117">
      <c r="A117" s="1" t="s">
        <v>474</v>
      </c>
      <c r="B117" s="1" t="s">
        <v>475</v>
      </c>
      <c r="C117" s="1" t="s">
        <v>13</v>
      </c>
      <c r="D117" s="2">
        <v>210.0</v>
      </c>
      <c r="E117" s="2">
        <v>399.0</v>
      </c>
      <c r="F117" s="3">
        <f t="shared" si="1"/>
        <v>0.4736842105</v>
      </c>
      <c r="G117" s="4">
        <f>IFERROR(__xludf.DUMMYFUNCTION("GOOGLEFINANCE(""CURRENCY:INRBRL"")*D117"),12.5574784692)</f>
        <v>12.55747847</v>
      </c>
      <c r="H117" s="1">
        <v>4.52</v>
      </c>
      <c r="I117" s="1">
        <v>1717.0</v>
      </c>
      <c r="J117" s="1" t="s">
        <v>476</v>
      </c>
      <c r="K117" s="5" t="s">
        <v>477</v>
      </c>
    </row>
    <row r="118">
      <c r="A118" s="1" t="s">
        <v>478</v>
      </c>
      <c r="B118" s="1" t="s">
        <v>479</v>
      </c>
      <c r="C118" s="1" t="s">
        <v>208</v>
      </c>
      <c r="D118" s="2">
        <v>1299.0</v>
      </c>
      <c r="E118" s="2">
        <v>1999.0</v>
      </c>
      <c r="F118" s="3">
        <f t="shared" si="1"/>
        <v>0.3501750875</v>
      </c>
      <c r="G118" s="4">
        <f>IFERROR(__xludf.DUMMYFUNCTION("GOOGLEFINANCE(""CURRENCY:INRBRL"")*D118"),77.67697395948)</f>
        <v>77.67697396</v>
      </c>
      <c r="H118" s="1">
        <v>4.52</v>
      </c>
      <c r="I118" s="1">
        <v>590.0</v>
      </c>
      <c r="J118" s="1" t="s">
        <v>480</v>
      </c>
      <c r="K118" s="5" t="s">
        <v>481</v>
      </c>
    </row>
    <row r="119">
      <c r="A119" s="1" t="s">
        <v>482</v>
      </c>
      <c r="B119" s="1" t="s">
        <v>483</v>
      </c>
      <c r="C119" s="1" t="s">
        <v>13</v>
      </c>
      <c r="D119" s="2">
        <v>347.0</v>
      </c>
      <c r="E119" s="2">
        <v>999.0</v>
      </c>
      <c r="F119" s="3">
        <f t="shared" si="1"/>
        <v>0.6526526527</v>
      </c>
      <c r="G119" s="4">
        <f>IFERROR(__xludf.DUMMYFUNCTION("GOOGLEFINANCE(""CURRENCY:INRBRL"")*D119"),20.74973823244)</f>
        <v>20.74973823</v>
      </c>
      <c r="H119" s="1">
        <v>4.52</v>
      </c>
      <c r="I119" s="1">
        <v>1121.0</v>
      </c>
      <c r="J119" s="1" t="s">
        <v>484</v>
      </c>
      <c r="K119" s="5" t="s">
        <v>485</v>
      </c>
    </row>
    <row r="120">
      <c r="A120" s="1" t="s">
        <v>486</v>
      </c>
      <c r="B120" s="1" t="s">
        <v>487</v>
      </c>
      <c r="C120" s="1" t="s">
        <v>13</v>
      </c>
      <c r="D120" s="2">
        <v>149.0</v>
      </c>
      <c r="E120" s="2">
        <v>999.0</v>
      </c>
      <c r="F120" s="3">
        <f t="shared" si="1"/>
        <v>0.8508508509</v>
      </c>
      <c r="G120" s="4">
        <f>IFERROR(__xludf.DUMMYFUNCTION("GOOGLEFINANCE(""CURRENCY:INRBRL"")*D120"),8.90982996148)</f>
        <v>8.909829961</v>
      </c>
      <c r="H120" s="1">
        <v>4.52</v>
      </c>
      <c r="I120" s="1">
        <v>1313.0</v>
      </c>
      <c r="J120" s="1" t="s">
        <v>488</v>
      </c>
      <c r="K120" s="5" t="s">
        <v>489</v>
      </c>
    </row>
    <row r="121">
      <c r="A121" s="1" t="s">
        <v>490</v>
      </c>
      <c r="B121" s="1" t="s">
        <v>491</v>
      </c>
      <c r="C121" s="1" t="s">
        <v>13</v>
      </c>
      <c r="D121" s="2">
        <v>228.0</v>
      </c>
      <c r="E121" s="2">
        <v>899.0</v>
      </c>
      <c r="F121" s="3">
        <f t="shared" si="1"/>
        <v>0.7463848721</v>
      </c>
      <c r="G121" s="4">
        <f>IFERROR(__xludf.DUMMYFUNCTION("GOOGLEFINANCE(""CURRENCY:INRBRL"")*D121"),13.633833766559999)</f>
        <v>13.63383377</v>
      </c>
      <c r="H121" s="1">
        <v>4.52</v>
      </c>
      <c r="I121" s="1">
        <v>132.0</v>
      </c>
      <c r="J121" s="1" t="s">
        <v>492</v>
      </c>
      <c r="K121" s="5" t="s">
        <v>493</v>
      </c>
    </row>
    <row r="122">
      <c r="A122" s="1" t="s">
        <v>494</v>
      </c>
      <c r="B122" s="1" t="s">
        <v>495</v>
      </c>
      <c r="C122" s="1" t="s">
        <v>13</v>
      </c>
      <c r="D122" s="2">
        <v>1599.0</v>
      </c>
      <c r="E122" s="2">
        <v>1999.0</v>
      </c>
      <c r="F122" s="3">
        <f t="shared" si="1"/>
        <v>0.20010005</v>
      </c>
      <c r="G122" s="4">
        <f>IFERROR(__xludf.DUMMYFUNCTION("GOOGLEFINANCE(""CURRENCY:INRBRL"")*D122"),95.61622891548)</f>
        <v>95.61622892</v>
      </c>
      <c r="H122" s="1">
        <v>4.52</v>
      </c>
      <c r="I122" s="1">
        <v>1951.0</v>
      </c>
      <c r="J122" s="1" t="s">
        <v>496</v>
      </c>
      <c r="K122" s="5" t="s">
        <v>497</v>
      </c>
    </row>
    <row r="123">
      <c r="A123" s="1" t="s">
        <v>498</v>
      </c>
      <c r="B123" s="1" t="s">
        <v>499</v>
      </c>
      <c r="C123" s="1" t="s">
        <v>208</v>
      </c>
      <c r="D123" s="2">
        <v>1499.0</v>
      </c>
      <c r="E123" s="2">
        <v>3999.0</v>
      </c>
      <c r="F123" s="3">
        <f t="shared" si="1"/>
        <v>0.6251562891</v>
      </c>
      <c r="G123" s="4">
        <f>IFERROR(__xludf.DUMMYFUNCTION("GOOGLEFINANCE(""CURRENCY:INRBRL"")*D123"),89.63647726347999)</f>
        <v>89.63647726</v>
      </c>
      <c r="H123" s="1">
        <v>4.52</v>
      </c>
      <c r="I123" s="1">
        <v>37.0</v>
      </c>
      <c r="J123" s="1" t="s">
        <v>500</v>
      </c>
      <c r="K123" s="5" t="s">
        <v>501</v>
      </c>
    </row>
    <row r="124">
      <c r="A124" s="1" t="s">
        <v>502</v>
      </c>
      <c r="B124" s="1" t="s">
        <v>503</v>
      </c>
      <c r="C124" s="1" t="s">
        <v>79</v>
      </c>
      <c r="D124" s="2">
        <v>8499.0</v>
      </c>
      <c r="E124" s="2">
        <v>15999.0</v>
      </c>
      <c r="F124" s="3">
        <f t="shared" si="1"/>
        <v>0.4687792987</v>
      </c>
      <c r="G124" s="4">
        <f>IFERROR(__xludf.DUMMYFUNCTION("GOOGLEFINANCE(""CURRENCY:INRBRL"")*D124"),508.21909290348)</f>
        <v>508.2190929</v>
      </c>
      <c r="H124" s="1">
        <v>4.52</v>
      </c>
      <c r="I124" s="1">
        <v>592.0</v>
      </c>
      <c r="J124" s="1" t="s">
        <v>504</v>
      </c>
      <c r="K124" s="5" t="s">
        <v>505</v>
      </c>
    </row>
    <row r="125">
      <c r="A125" s="1" t="s">
        <v>506</v>
      </c>
      <c r="B125" s="1" t="s">
        <v>507</v>
      </c>
      <c r="C125" s="1" t="s">
        <v>79</v>
      </c>
      <c r="D125" s="2">
        <v>20989.0</v>
      </c>
      <c r="E125" s="2">
        <v>44989.0</v>
      </c>
      <c r="F125" s="3">
        <f t="shared" si="1"/>
        <v>0.5334637356</v>
      </c>
      <c r="G125" s="4">
        <f>IFERROR(__xludf.DUMMYFUNCTION("GOOGLEFINANCE(""CURRENCY:INRBRL"")*D125"),1255.0900742382798)</f>
        <v>1255.090074</v>
      </c>
      <c r="H125" s="1">
        <v>4.52</v>
      </c>
      <c r="I125" s="1">
        <v>1259.0</v>
      </c>
      <c r="J125" s="1" t="s">
        <v>508</v>
      </c>
      <c r="K125" s="5" t="s">
        <v>509</v>
      </c>
    </row>
    <row r="126">
      <c r="A126" s="1" t="s">
        <v>510</v>
      </c>
      <c r="B126" s="1" t="s">
        <v>511</v>
      </c>
      <c r="C126" s="1" t="s">
        <v>79</v>
      </c>
      <c r="D126" s="2">
        <v>32999.0</v>
      </c>
      <c r="E126" s="2">
        <v>44999.0</v>
      </c>
      <c r="F126" s="3">
        <f t="shared" si="1"/>
        <v>0.2666725927</v>
      </c>
      <c r="G126" s="4">
        <f>IFERROR(__xludf.DUMMYFUNCTION("GOOGLEFINANCE(""CURRENCY:INRBRL"")*D126"),1973.25824764348)</f>
        <v>1973.258248</v>
      </c>
      <c r="H126" s="1">
        <v>4.52</v>
      </c>
      <c r="I126" s="1">
        <v>45238.0</v>
      </c>
      <c r="J126" s="1" t="s">
        <v>512</v>
      </c>
      <c r="K126" s="5" t="s">
        <v>513</v>
      </c>
    </row>
    <row r="127">
      <c r="A127" s="1" t="s">
        <v>514</v>
      </c>
      <c r="B127" s="1" t="s">
        <v>515</v>
      </c>
      <c r="C127" s="1" t="s">
        <v>63</v>
      </c>
      <c r="D127" s="2">
        <v>799.0</v>
      </c>
      <c r="E127" s="2">
        <v>1700.0</v>
      </c>
      <c r="F127" s="3">
        <f t="shared" si="1"/>
        <v>0.53</v>
      </c>
      <c r="G127" s="4">
        <f>IFERROR(__xludf.DUMMYFUNCTION("GOOGLEFINANCE(""CURRENCY:INRBRL"")*D127"),47.77821569948)</f>
        <v>47.7782157</v>
      </c>
      <c r="H127" s="1">
        <v>4.52</v>
      </c>
      <c r="I127" s="1">
        <v>28638.0</v>
      </c>
      <c r="J127" s="1" t="s">
        <v>516</v>
      </c>
      <c r="K127" s="5" t="s">
        <v>517</v>
      </c>
    </row>
    <row r="128">
      <c r="A128" s="1" t="s">
        <v>518</v>
      </c>
      <c r="B128" s="1" t="s">
        <v>519</v>
      </c>
      <c r="C128" s="1" t="s">
        <v>63</v>
      </c>
      <c r="D128" s="2">
        <v>229.0</v>
      </c>
      <c r="E128" s="2">
        <v>595.0</v>
      </c>
      <c r="F128" s="3">
        <f t="shared" si="1"/>
        <v>0.6151260504</v>
      </c>
      <c r="G128" s="4">
        <f>IFERROR(__xludf.DUMMYFUNCTION("GOOGLEFINANCE(""CURRENCY:INRBRL"")*D128"),13.693631283079998)</f>
        <v>13.69363128</v>
      </c>
      <c r="H128" s="1">
        <v>4.52</v>
      </c>
      <c r="I128" s="1">
        <v>12835.0</v>
      </c>
      <c r="J128" s="1" t="s">
        <v>520</v>
      </c>
      <c r="K128" s="5" t="s">
        <v>521</v>
      </c>
    </row>
    <row r="129">
      <c r="A129" s="1" t="s">
        <v>522</v>
      </c>
      <c r="B129" s="1" t="s">
        <v>523</v>
      </c>
      <c r="C129" s="1" t="s">
        <v>79</v>
      </c>
      <c r="D129" s="2">
        <v>9999.0</v>
      </c>
      <c r="E129" s="2">
        <v>27990.0</v>
      </c>
      <c r="F129" s="3">
        <f t="shared" si="1"/>
        <v>0.6427652733</v>
      </c>
      <c r="G129" s="4">
        <f>IFERROR(__xludf.DUMMYFUNCTION("GOOGLEFINANCE(""CURRENCY:INRBRL"")*D129"),597.91536768348)</f>
        <v>597.9153677</v>
      </c>
      <c r="H129" s="1">
        <v>4.51</v>
      </c>
      <c r="I129" s="1">
        <v>1269.0</v>
      </c>
      <c r="J129" s="1" t="s">
        <v>524</v>
      </c>
      <c r="K129" s="5" t="s">
        <v>525</v>
      </c>
    </row>
    <row r="130">
      <c r="A130" s="1" t="s">
        <v>526</v>
      </c>
      <c r="B130" s="1" t="s">
        <v>527</v>
      </c>
      <c r="C130" s="1" t="s">
        <v>208</v>
      </c>
      <c r="D130" s="2">
        <v>349.0</v>
      </c>
      <c r="E130" s="2">
        <v>599.0</v>
      </c>
      <c r="F130" s="3">
        <f t="shared" si="1"/>
        <v>0.4173622705</v>
      </c>
      <c r="G130" s="4">
        <f>IFERROR(__xludf.DUMMYFUNCTION("GOOGLEFINANCE(""CURRENCY:INRBRL"")*D130"),20.869333265479998)</f>
        <v>20.86933327</v>
      </c>
      <c r="H130" s="1">
        <v>4.51</v>
      </c>
      <c r="I130" s="1">
        <v>284.0</v>
      </c>
      <c r="J130" s="1" t="s">
        <v>528</v>
      </c>
      <c r="K130" s="5" t="s">
        <v>529</v>
      </c>
    </row>
    <row r="131">
      <c r="A131" s="1" t="s">
        <v>530</v>
      </c>
      <c r="B131" s="1" t="s">
        <v>531</v>
      </c>
      <c r="C131" s="1" t="s">
        <v>532</v>
      </c>
      <c r="D131" s="2">
        <v>489.0</v>
      </c>
      <c r="E131" s="2">
        <v>1200.0</v>
      </c>
      <c r="F131" s="3">
        <f t="shared" si="1"/>
        <v>0.5925</v>
      </c>
      <c r="G131" s="4">
        <f>IFERROR(__xludf.DUMMYFUNCTION("GOOGLEFINANCE(""CURRENCY:INRBRL"")*D131"),29.240985578279997)</f>
        <v>29.24098558</v>
      </c>
      <c r="H131" s="1">
        <v>4.51</v>
      </c>
      <c r="I131" s="1">
        <v>69538.0</v>
      </c>
      <c r="J131" s="1" t="s">
        <v>533</v>
      </c>
      <c r="K131" s="5" t="s">
        <v>534</v>
      </c>
    </row>
    <row r="132">
      <c r="A132" s="1" t="s">
        <v>535</v>
      </c>
      <c r="B132" s="1" t="s">
        <v>536</v>
      </c>
      <c r="C132" s="1" t="s">
        <v>79</v>
      </c>
      <c r="D132" s="2">
        <v>23999.0</v>
      </c>
      <c r="E132" s="2">
        <v>34990.0</v>
      </c>
      <c r="F132" s="3">
        <f t="shared" si="1"/>
        <v>0.3141183195</v>
      </c>
      <c r="G132" s="4">
        <f>IFERROR(__xludf.DUMMYFUNCTION("GOOGLEFINANCE(""CURRENCY:INRBRL"")*D132"),1435.0805989634798)</f>
        <v>1435.080599</v>
      </c>
      <c r="H132" s="1">
        <v>4.51</v>
      </c>
      <c r="I132" s="1">
        <v>4703.0</v>
      </c>
      <c r="J132" s="1" t="s">
        <v>363</v>
      </c>
      <c r="K132" s="5" t="s">
        <v>537</v>
      </c>
    </row>
    <row r="133">
      <c r="A133" s="1" t="s">
        <v>538</v>
      </c>
      <c r="B133" s="1" t="s">
        <v>539</v>
      </c>
      <c r="C133" s="1" t="s">
        <v>13</v>
      </c>
      <c r="D133" s="2">
        <v>399.0</v>
      </c>
      <c r="E133" s="2">
        <v>999.0</v>
      </c>
      <c r="F133" s="3">
        <f t="shared" si="1"/>
        <v>0.6006006006</v>
      </c>
      <c r="G133" s="4">
        <f>IFERROR(__xludf.DUMMYFUNCTION("GOOGLEFINANCE(""CURRENCY:INRBRL"")*D133"),23.859209091479997)</f>
        <v>23.85920909</v>
      </c>
      <c r="H133" s="1">
        <v>4.51</v>
      </c>
      <c r="I133" s="1">
        <v>2806.0</v>
      </c>
      <c r="J133" s="1" t="s">
        <v>540</v>
      </c>
      <c r="K133" s="5" t="s">
        <v>541</v>
      </c>
    </row>
    <row r="134">
      <c r="A134" s="1" t="s">
        <v>542</v>
      </c>
      <c r="B134" s="1" t="s">
        <v>543</v>
      </c>
      <c r="C134" s="1" t="s">
        <v>544</v>
      </c>
      <c r="D134" s="2">
        <v>349.0</v>
      </c>
      <c r="E134" s="2">
        <v>1299.0</v>
      </c>
      <c r="F134" s="3">
        <f t="shared" si="1"/>
        <v>0.7313317937</v>
      </c>
      <c r="G134" s="4">
        <f>IFERROR(__xludf.DUMMYFUNCTION("GOOGLEFINANCE(""CURRENCY:INRBRL"")*D134"),20.869333265479998)</f>
        <v>20.86933327</v>
      </c>
      <c r="H134" s="1">
        <v>4.51</v>
      </c>
      <c r="I134" s="1">
        <v>3295.0</v>
      </c>
      <c r="J134" s="1" t="s">
        <v>545</v>
      </c>
      <c r="K134" s="5" t="s">
        <v>546</v>
      </c>
    </row>
    <row r="135">
      <c r="A135" s="1" t="s">
        <v>547</v>
      </c>
      <c r="B135" s="1" t="s">
        <v>548</v>
      </c>
      <c r="C135" s="1" t="s">
        <v>13</v>
      </c>
      <c r="D135" s="2">
        <v>179.0</v>
      </c>
      <c r="E135" s="2">
        <v>299.0</v>
      </c>
      <c r="F135" s="3">
        <f t="shared" si="1"/>
        <v>0.4013377926</v>
      </c>
      <c r="G135" s="4">
        <f>IFERROR(__xludf.DUMMYFUNCTION("GOOGLEFINANCE(""CURRENCY:INRBRL"")*D135"),10.70375545708)</f>
        <v>10.70375546</v>
      </c>
      <c r="H135" s="1">
        <v>4.51</v>
      </c>
      <c r="I135" s="1">
        <v>81.0</v>
      </c>
      <c r="J135" s="1" t="s">
        <v>549</v>
      </c>
      <c r="K135" s="5" t="s">
        <v>550</v>
      </c>
    </row>
    <row r="136">
      <c r="A136" s="1" t="s">
        <v>551</v>
      </c>
      <c r="B136" s="1" t="s">
        <v>552</v>
      </c>
      <c r="C136" s="1" t="s">
        <v>13</v>
      </c>
      <c r="D136" s="2">
        <v>689.0</v>
      </c>
      <c r="E136" s="2">
        <v>1499.0</v>
      </c>
      <c r="F136" s="3">
        <f t="shared" si="1"/>
        <v>0.5403602402</v>
      </c>
      <c r="G136" s="4">
        <f>IFERROR(__xludf.DUMMYFUNCTION("GOOGLEFINANCE(""CURRENCY:INRBRL"")*D136"),41.20048888228)</f>
        <v>41.20048888</v>
      </c>
      <c r="H136" s="1">
        <v>4.51</v>
      </c>
      <c r="I136" s="1">
        <v>42301.0</v>
      </c>
      <c r="J136" s="1" t="s">
        <v>553</v>
      </c>
      <c r="K136" s="5" t="s">
        <v>554</v>
      </c>
    </row>
    <row r="137">
      <c r="A137" s="1" t="s">
        <v>555</v>
      </c>
      <c r="B137" s="1" t="s">
        <v>556</v>
      </c>
      <c r="C137" s="1" t="s">
        <v>79</v>
      </c>
      <c r="D137" s="2">
        <v>30990.0</v>
      </c>
      <c r="E137" s="2">
        <v>49990.0</v>
      </c>
      <c r="F137" s="3">
        <f t="shared" si="1"/>
        <v>0.3800760152</v>
      </c>
      <c r="G137" s="4">
        <f>IFERROR(__xludf.DUMMYFUNCTION("GOOGLEFINANCE(""CURRENCY:INRBRL"")*D137"),1853.1250369548)</f>
        <v>1853.125037</v>
      </c>
      <c r="H137" s="1">
        <v>4.51</v>
      </c>
      <c r="I137" s="1">
        <v>1376.0</v>
      </c>
      <c r="J137" s="1" t="s">
        <v>557</v>
      </c>
      <c r="K137" s="5" t="s">
        <v>558</v>
      </c>
    </row>
    <row r="138">
      <c r="A138" s="1" t="s">
        <v>559</v>
      </c>
      <c r="B138" s="1" t="s">
        <v>560</v>
      </c>
      <c r="C138" s="1" t="s">
        <v>13</v>
      </c>
      <c r="D138" s="2">
        <v>249.0</v>
      </c>
      <c r="E138" s="2">
        <v>931.0</v>
      </c>
      <c r="F138" s="3">
        <f t="shared" si="1"/>
        <v>0.7325456498</v>
      </c>
      <c r="G138" s="4">
        <f>IFERROR(__xludf.DUMMYFUNCTION("GOOGLEFINANCE(""CURRENCY:INRBRL"")*D138"),14.889581613479999)</f>
        <v>14.88958161</v>
      </c>
      <c r="H138" s="1">
        <v>4.51</v>
      </c>
      <c r="I138" s="1">
        <v>1075.0</v>
      </c>
      <c r="J138" s="1" t="s">
        <v>561</v>
      </c>
      <c r="K138" s="5" t="s">
        <v>562</v>
      </c>
    </row>
    <row r="139">
      <c r="A139" s="1" t="s">
        <v>563</v>
      </c>
      <c r="B139" s="1" t="s">
        <v>564</v>
      </c>
      <c r="C139" s="1" t="s">
        <v>63</v>
      </c>
      <c r="D139" s="2">
        <v>999.0</v>
      </c>
      <c r="E139" s="2">
        <v>2399.0</v>
      </c>
      <c r="F139" s="3">
        <f t="shared" si="1"/>
        <v>0.5835764902</v>
      </c>
      <c r="G139" s="4">
        <f>IFERROR(__xludf.DUMMYFUNCTION("GOOGLEFINANCE(""CURRENCY:INRBRL"")*D139"),59.737719003479995)</f>
        <v>59.737719</v>
      </c>
      <c r="H139" s="1">
        <v>4.51</v>
      </c>
      <c r="I139" s="1">
        <v>3664.0</v>
      </c>
      <c r="J139" s="1" t="s">
        <v>565</v>
      </c>
      <c r="K139" s="5" t="s">
        <v>566</v>
      </c>
    </row>
    <row r="140">
      <c r="A140" s="1" t="s">
        <v>567</v>
      </c>
      <c r="B140" s="1" t="s">
        <v>568</v>
      </c>
      <c r="C140" s="1" t="s">
        <v>208</v>
      </c>
      <c r="D140" s="2">
        <v>399.0</v>
      </c>
      <c r="E140" s="2">
        <v>399.0</v>
      </c>
      <c r="F140" s="3">
        <f t="shared" si="1"/>
        <v>0</v>
      </c>
      <c r="G140" s="4">
        <f>IFERROR(__xludf.DUMMYFUNCTION("GOOGLEFINANCE(""CURRENCY:INRBRL"")*D140"),23.859209091479997)</f>
        <v>23.85920909</v>
      </c>
      <c r="H140" s="1">
        <v>4.51</v>
      </c>
      <c r="I140" s="1">
        <v>1951.0</v>
      </c>
      <c r="J140" s="1" t="s">
        <v>569</v>
      </c>
      <c r="K140" s="5" t="s">
        <v>570</v>
      </c>
    </row>
    <row r="141">
      <c r="A141" s="1" t="s">
        <v>571</v>
      </c>
      <c r="B141" s="1" t="s">
        <v>572</v>
      </c>
      <c r="C141" s="1" t="s">
        <v>13</v>
      </c>
      <c r="D141" s="2">
        <v>349.0</v>
      </c>
      <c r="E141" s="2">
        <v>699.0</v>
      </c>
      <c r="F141" s="3">
        <f t="shared" si="1"/>
        <v>0.5007153076</v>
      </c>
      <c r="G141" s="4">
        <f>IFERROR(__xludf.DUMMYFUNCTION("GOOGLEFINANCE(""CURRENCY:INRBRL"")*D141"),20.869333265479998)</f>
        <v>20.86933327</v>
      </c>
      <c r="H141" s="1">
        <v>4.51</v>
      </c>
      <c r="I141" s="1">
        <v>2085.0</v>
      </c>
      <c r="J141" s="1" t="s">
        <v>573</v>
      </c>
      <c r="K141" s="5" t="s">
        <v>574</v>
      </c>
    </row>
    <row r="142">
      <c r="A142" s="1" t="s">
        <v>575</v>
      </c>
      <c r="B142" s="1" t="s">
        <v>576</v>
      </c>
      <c r="C142" s="1" t="s">
        <v>13</v>
      </c>
      <c r="D142" s="2">
        <v>399.0</v>
      </c>
      <c r="E142" s="2">
        <v>1099.0</v>
      </c>
      <c r="F142" s="3">
        <f t="shared" si="1"/>
        <v>0.6369426752</v>
      </c>
      <c r="G142" s="4">
        <f>IFERROR(__xludf.DUMMYFUNCTION("GOOGLEFINANCE(""CURRENCY:INRBRL"")*D142"),23.859209091479997)</f>
        <v>23.85920909</v>
      </c>
      <c r="H142" s="1">
        <v>4.51</v>
      </c>
      <c r="I142" s="1">
        <v>2685.0</v>
      </c>
      <c r="J142" s="1" t="s">
        <v>577</v>
      </c>
      <c r="K142" s="5" t="s">
        <v>578</v>
      </c>
    </row>
    <row r="143">
      <c r="A143" s="1" t="s">
        <v>579</v>
      </c>
      <c r="B143" s="1" t="s">
        <v>580</v>
      </c>
      <c r="C143" s="1" t="s">
        <v>46</v>
      </c>
      <c r="D143" s="2">
        <v>1699.0</v>
      </c>
      <c r="E143" s="2">
        <v>2999.0</v>
      </c>
      <c r="F143" s="3">
        <f t="shared" si="1"/>
        <v>0.4334778259</v>
      </c>
      <c r="G143" s="4">
        <f>IFERROR(__xludf.DUMMYFUNCTION("GOOGLEFINANCE(""CURRENCY:INRBRL"")*D143"),101.59598056748)</f>
        <v>101.5959806</v>
      </c>
      <c r="H143" s="1">
        <v>4.51</v>
      </c>
      <c r="I143" s="1">
        <v>2478.0</v>
      </c>
      <c r="J143" s="1" t="s">
        <v>581</v>
      </c>
      <c r="K143" s="5" t="s">
        <v>582</v>
      </c>
    </row>
    <row r="144">
      <c r="A144" s="1" t="s">
        <v>583</v>
      </c>
      <c r="B144" s="1" t="s">
        <v>584</v>
      </c>
      <c r="C144" s="1" t="s">
        <v>208</v>
      </c>
      <c r="D144" s="2">
        <v>655.0</v>
      </c>
      <c r="E144" s="2">
        <v>1099.0</v>
      </c>
      <c r="F144" s="3">
        <f t="shared" si="1"/>
        <v>0.4040036397</v>
      </c>
      <c r="G144" s="4">
        <f>IFERROR(__xludf.DUMMYFUNCTION("GOOGLEFINANCE(""CURRENCY:INRBRL"")*D144"),39.1673733206)</f>
        <v>39.16737332</v>
      </c>
      <c r="H144" s="1">
        <v>4.51</v>
      </c>
      <c r="I144" s="1">
        <v>285.0</v>
      </c>
      <c r="J144" s="1" t="s">
        <v>585</v>
      </c>
      <c r="K144" s="5" t="s">
        <v>586</v>
      </c>
    </row>
    <row r="145">
      <c r="A145" s="1" t="s">
        <v>587</v>
      </c>
      <c r="B145" s="1" t="s">
        <v>588</v>
      </c>
      <c r="C145" s="1" t="s">
        <v>46</v>
      </c>
      <c r="D145" s="2">
        <v>749.0</v>
      </c>
      <c r="E145" s="2">
        <v>1339.0</v>
      </c>
      <c r="F145" s="3">
        <f t="shared" si="1"/>
        <v>0.4406273338</v>
      </c>
      <c r="G145" s="4">
        <f>IFERROR(__xludf.DUMMYFUNCTION("GOOGLEFINANCE(""CURRENCY:INRBRL"")*D145"),44.78833987348)</f>
        <v>44.78833987</v>
      </c>
      <c r="H145" s="1">
        <v>4.51</v>
      </c>
      <c r="I145" s="1">
        <v>179692.0</v>
      </c>
      <c r="J145" s="1" t="s">
        <v>589</v>
      </c>
      <c r="K145" s="5" t="s">
        <v>590</v>
      </c>
    </row>
    <row r="146">
      <c r="A146" s="1" t="s">
        <v>591</v>
      </c>
      <c r="B146" s="1" t="s">
        <v>592</v>
      </c>
      <c r="C146" s="1" t="s">
        <v>79</v>
      </c>
      <c r="D146" s="2">
        <v>9999.0</v>
      </c>
      <c r="E146" s="2">
        <v>12999.0</v>
      </c>
      <c r="F146" s="3">
        <f t="shared" si="1"/>
        <v>0.2307869836</v>
      </c>
      <c r="G146" s="4">
        <f>IFERROR(__xludf.DUMMYFUNCTION("GOOGLEFINANCE(""CURRENCY:INRBRL"")*D146"),597.91536768348)</f>
        <v>597.9153677</v>
      </c>
      <c r="H146" s="1">
        <v>4.51</v>
      </c>
      <c r="I146" s="1">
        <v>6088.0</v>
      </c>
      <c r="J146" s="1" t="s">
        <v>593</v>
      </c>
      <c r="K146" s="5" t="s">
        <v>594</v>
      </c>
    </row>
    <row r="147">
      <c r="A147" s="1" t="s">
        <v>595</v>
      </c>
      <c r="B147" s="1" t="s">
        <v>596</v>
      </c>
      <c r="C147" s="1" t="s">
        <v>208</v>
      </c>
      <c r="D147" s="2">
        <v>195.0</v>
      </c>
      <c r="E147" s="2">
        <v>499.0</v>
      </c>
      <c r="F147" s="3">
        <f t="shared" si="1"/>
        <v>0.6092184369</v>
      </c>
      <c r="G147" s="4">
        <f>IFERROR(__xludf.DUMMYFUNCTION("GOOGLEFINANCE(""CURRENCY:INRBRL"")*D147"),11.6605157214)</f>
        <v>11.66051572</v>
      </c>
      <c r="H147" s="1">
        <v>4.51</v>
      </c>
      <c r="I147" s="1">
        <v>1383.0</v>
      </c>
      <c r="J147" s="1" t="s">
        <v>597</v>
      </c>
      <c r="K147" s="5" t="s">
        <v>598</v>
      </c>
    </row>
    <row r="148">
      <c r="A148" s="1" t="s">
        <v>599</v>
      </c>
      <c r="B148" s="1" t="s">
        <v>600</v>
      </c>
      <c r="C148" s="1" t="s">
        <v>13</v>
      </c>
      <c r="D148" s="2">
        <v>999.0</v>
      </c>
      <c r="E148" s="2">
        <v>2100.0</v>
      </c>
      <c r="F148" s="3">
        <f t="shared" si="1"/>
        <v>0.5242857143</v>
      </c>
      <c r="G148" s="4">
        <f>IFERROR(__xludf.DUMMYFUNCTION("GOOGLEFINANCE(""CURRENCY:INRBRL"")*D148"),59.737719003479995)</f>
        <v>59.737719</v>
      </c>
      <c r="H148" s="1">
        <v>4.51</v>
      </c>
      <c r="I148" s="1">
        <v>5492.0</v>
      </c>
      <c r="J148" s="1" t="s">
        <v>225</v>
      </c>
      <c r="K148" s="5" t="s">
        <v>601</v>
      </c>
    </row>
    <row r="149">
      <c r="A149" s="1" t="s">
        <v>602</v>
      </c>
      <c r="B149" s="1" t="s">
        <v>603</v>
      </c>
      <c r="C149" s="1" t="s">
        <v>13</v>
      </c>
      <c r="D149" s="2">
        <v>499.0</v>
      </c>
      <c r="E149" s="2">
        <v>899.0</v>
      </c>
      <c r="F149" s="3">
        <f t="shared" si="1"/>
        <v>0.4449388209</v>
      </c>
      <c r="G149" s="4">
        <f>IFERROR(__xludf.DUMMYFUNCTION("GOOGLEFINANCE(""CURRENCY:INRBRL"")*D149"),29.838960743479998)</f>
        <v>29.83896074</v>
      </c>
      <c r="H149" s="1">
        <v>4.51</v>
      </c>
      <c r="I149" s="1">
        <v>919.0</v>
      </c>
      <c r="J149" s="1" t="s">
        <v>604</v>
      </c>
      <c r="K149" s="5" t="s">
        <v>605</v>
      </c>
    </row>
    <row r="150">
      <c r="A150" s="1" t="s">
        <v>606</v>
      </c>
      <c r="B150" s="1" t="s">
        <v>607</v>
      </c>
      <c r="C150" s="1" t="s">
        <v>608</v>
      </c>
      <c r="D150" s="2">
        <v>416.0</v>
      </c>
      <c r="E150" s="2">
        <v>599.0</v>
      </c>
      <c r="F150" s="3">
        <f t="shared" si="1"/>
        <v>0.305509182</v>
      </c>
      <c r="G150" s="4">
        <f>IFERROR(__xludf.DUMMYFUNCTION("GOOGLEFINANCE(""CURRENCY:INRBRL"")*D150"),24.87576687232)</f>
        <v>24.87576687</v>
      </c>
      <c r="H150" s="1">
        <v>4.51</v>
      </c>
      <c r="I150" s="1">
        <v>30023.0</v>
      </c>
      <c r="J150" s="1" t="s">
        <v>609</v>
      </c>
      <c r="K150" s="5" t="s">
        <v>610</v>
      </c>
    </row>
    <row r="151">
      <c r="A151" s="1" t="s">
        <v>611</v>
      </c>
      <c r="B151" s="1" t="s">
        <v>612</v>
      </c>
      <c r="C151" s="1" t="s">
        <v>13</v>
      </c>
      <c r="D151" s="2">
        <v>368.0</v>
      </c>
      <c r="E151" s="2">
        <v>699.0</v>
      </c>
      <c r="F151" s="3">
        <f t="shared" si="1"/>
        <v>0.4735336195</v>
      </c>
      <c r="G151" s="4">
        <f>IFERROR(__xludf.DUMMYFUNCTION("GOOGLEFINANCE(""CURRENCY:INRBRL"")*D151"),22.005486079359997)</f>
        <v>22.00548608</v>
      </c>
      <c r="H151" s="1">
        <v>4.51</v>
      </c>
      <c r="I151" s="1">
        <v>387.0</v>
      </c>
      <c r="J151" s="1" t="s">
        <v>613</v>
      </c>
      <c r="K151" s="5" t="s">
        <v>614</v>
      </c>
    </row>
    <row r="152">
      <c r="A152" s="1" t="s">
        <v>615</v>
      </c>
      <c r="B152" s="1" t="s">
        <v>616</v>
      </c>
      <c r="C152" s="1" t="s">
        <v>79</v>
      </c>
      <c r="D152" s="2">
        <v>29990.0</v>
      </c>
      <c r="E152" s="2">
        <v>65000.0</v>
      </c>
      <c r="F152" s="3">
        <f t="shared" si="1"/>
        <v>0.5386153846</v>
      </c>
      <c r="G152" s="4">
        <f>IFERROR(__xludf.DUMMYFUNCTION("GOOGLEFINANCE(""CURRENCY:INRBRL"")*D152"),1793.3275204348)</f>
        <v>1793.32752</v>
      </c>
      <c r="H152" s="1">
        <v>4.51</v>
      </c>
      <c r="I152" s="1">
        <v>211.0</v>
      </c>
      <c r="J152" s="1" t="s">
        <v>617</v>
      </c>
      <c r="K152" s="5" t="s">
        <v>618</v>
      </c>
    </row>
    <row r="153">
      <c r="A153" s="1" t="s">
        <v>619</v>
      </c>
      <c r="B153" s="1" t="s">
        <v>620</v>
      </c>
      <c r="C153" s="1" t="s">
        <v>13</v>
      </c>
      <c r="D153" s="2">
        <v>339.0</v>
      </c>
      <c r="E153" s="2">
        <v>1099.0</v>
      </c>
      <c r="F153" s="3">
        <f t="shared" si="1"/>
        <v>0.6915377616</v>
      </c>
      <c r="G153" s="4">
        <f>IFERROR(__xludf.DUMMYFUNCTION("GOOGLEFINANCE(""CURRENCY:INRBRL"")*D153"),20.27135810028)</f>
        <v>20.2713581</v>
      </c>
      <c r="H153" s="1">
        <v>4.51</v>
      </c>
      <c r="I153" s="1">
        <v>974.0</v>
      </c>
      <c r="J153" s="1" t="s">
        <v>621</v>
      </c>
      <c r="K153" s="5" t="s">
        <v>622</v>
      </c>
    </row>
    <row r="154">
      <c r="A154" s="1" t="s">
        <v>623</v>
      </c>
      <c r="B154" s="1" t="s">
        <v>624</v>
      </c>
      <c r="C154" s="1" t="s">
        <v>79</v>
      </c>
      <c r="D154" s="2">
        <v>15490.0</v>
      </c>
      <c r="E154" s="2">
        <v>20900.0</v>
      </c>
      <c r="F154" s="3">
        <f t="shared" si="1"/>
        <v>0.2588516746</v>
      </c>
      <c r="G154" s="4">
        <f>IFERROR(__xludf.DUMMYFUNCTION("GOOGLEFINANCE(""CURRENCY:INRBRL"")*D154"),926.2635308947999)</f>
        <v>926.2635309</v>
      </c>
      <c r="H154" s="1">
        <v>4.51</v>
      </c>
      <c r="I154" s="1">
        <v>16299.0</v>
      </c>
      <c r="J154" s="1" t="s">
        <v>625</v>
      </c>
      <c r="K154" s="5" t="s">
        <v>626</v>
      </c>
    </row>
    <row r="155">
      <c r="A155" s="1" t="s">
        <v>627</v>
      </c>
      <c r="B155" s="1" t="s">
        <v>628</v>
      </c>
      <c r="C155" s="1" t="s">
        <v>13</v>
      </c>
      <c r="D155" s="2">
        <v>499.0</v>
      </c>
      <c r="E155" s="2">
        <v>1299.0</v>
      </c>
      <c r="F155" s="3">
        <f t="shared" si="1"/>
        <v>0.6158583526</v>
      </c>
      <c r="G155" s="4">
        <f>IFERROR(__xludf.DUMMYFUNCTION("GOOGLEFINANCE(""CURRENCY:INRBRL"")*D155"),29.838960743479998)</f>
        <v>29.83896074</v>
      </c>
      <c r="H155" s="1">
        <v>4.51</v>
      </c>
      <c r="I155" s="1">
        <v>30411.0</v>
      </c>
      <c r="J155" s="1" t="s">
        <v>629</v>
      </c>
      <c r="K155" s="5" t="s">
        <v>630</v>
      </c>
    </row>
    <row r="156">
      <c r="A156" s="1" t="s">
        <v>631</v>
      </c>
      <c r="B156" s="1" t="s">
        <v>632</v>
      </c>
      <c r="C156" s="1" t="s">
        <v>46</v>
      </c>
      <c r="D156" s="2">
        <v>249.0</v>
      </c>
      <c r="E156" s="2">
        <v>399.0</v>
      </c>
      <c r="F156" s="3">
        <f t="shared" si="1"/>
        <v>0.3759398496</v>
      </c>
      <c r="G156" s="4">
        <f>IFERROR(__xludf.DUMMYFUNCTION("GOOGLEFINANCE(""CURRENCY:INRBRL"")*D156"),14.889581613479999)</f>
        <v>14.88958161</v>
      </c>
      <c r="H156" s="1">
        <v>4.51</v>
      </c>
      <c r="I156" s="1">
        <v>4642.0</v>
      </c>
      <c r="J156" s="1" t="s">
        <v>633</v>
      </c>
      <c r="K156" s="5" t="s">
        <v>634</v>
      </c>
    </row>
    <row r="157">
      <c r="A157" s="1" t="s">
        <v>635</v>
      </c>
      <c r="B157" s="1" t="s">
        <v>636</v>
      </c>
      <c r="C157" s="1" t="s">
        <v>208</v>
      </c>
      <c r="D157" s="2">
        <v>399.0</v>
      </c>
      <c r="E157" s="2">
        <v>799.0</v>
      </c>
      <c r="F157" s="3">
        <f t="shared" si="1"/>
        <v>0.5006257822</v>
      </c>
      <c r="G157" s="4">
        <f>IFERROR(__xludf.DUMMYFUNCTION("GOOGLEFINANCE(""CURRENCY:INRBRL"")*D157"),23.859209091479997)</f>
        <v>23.85920909</v>
      </c>
      <c r="H157" s="1">
        <v>4.51</v>
      </c>
      <c r="I157" s="1">
        <v>12.0</v>
      </c>
      <c r="J157" s="1" t="s">
        <v>637</v>
      </c>
      <c r="K157" s="5" t="s">
        <v>638</v>
      </c>
    </row>
    <row r="158">
      <c r="A158" s="1" t="s">
        <v>639</v>
      </c>
      <c r="B158" s="1" t="s">
        <v>640</v>
      </c>
      <c r="C158" s="1" t="s">
        <v>13</v>
      </c>
      <c r="D158" s="2">
        <v>1499.0</v>
      </c>
      <c r="E158" s="2">
        <v>1999.0</v>
      </c>
      <c r="F158" s="3">
        <f t="shared" si="1"/>
        <v>0.2501250625</v>
      </c>
      <c r="G158" s="4">
        <f>IFERROR(__xludf.DUMMYFUNCTION("GOOGLEFINANCE(""CURRENCY:INRBRL"")*D158"),89.63647726347999)</f>
        <v>89.63647726</v>
      </c>
      <c r="H158" s="1">
        <v>4.51</v>
      </c>
      <c r="I158" s="1">
        <v>1951.0</v>
      </c>
      <c r="J158" s="1" t="s">
        <v>641</v>
      </c>
      <c r="K158" s="5" t="s">
        <v>642</v>
      </c>
    </row>
    <row r="159">
      <c r="A159" s="1" t="s">
        <v>643</v>
      </c>
      <c r="B159" s="1" t="s">
        <v>644</v>
      </c>
      <c r="C159" s="1" t="s">
        <v>645</v>
      </c>
      <c r="D159" s="2">
        <v>9490.0</v>
      </c>
      <c r="E159" s="2">
        <v>15990.0</v>
      </c>
      <c r="F159" s="3">
        <f t="shared" si="1"/>
        <v>0.406504065</v>
      </c>
      <c r="G159" s="4">
        <f>IFERROR(__xludf.DUMMYFUNCTION("GOOGLEFINANCE(""CURRENCY:INRBRL"")*D159"),567.4784317748)</f>
        <v>567.4784318</v>
      </c>
      <c r="H159" s="1">
        <v>4.51</v>
      </c>
      <c r="I159" s="1">
        <v>1048.0</v>
      </c>
      <c r="J159" s="1" t="s">
        <v>646</v>
      </c>
      <c r="K159" s="5" t="s">
        <v>647</v>
      </c>
    </row>
    <row r="160">
      <c r="A160" s="1" t="s">
        <v>648</v>
      </c>
      <c r="B160" s="1" t="s">
        <v>649</v>
      </c>
      <c r="C160" s="1" t="s">
        <v>63</v>
      </c>
      <c r="D160" s="2">
        <v>637.0</v>
      </c>
      <c r="E160" s="2">
        <v>1499.0</v>
      </c>
      <c r="F160" s="3">
        <f t="shared" si="1"/>
        <v>0.5750500334</v>
      </c>
      <c r="G160" s="4">
        <f>IFERROR(__xludf.DUMMYFUNCTION("GOOGLEFINANCE(""CURRENCY:INRBRL"")*D160"),38.09101802324)</f>
        <v>38.09101802</v>
      </c>
      <c r="H160" s="1">
        <v>4.51</v>
      </c>
      <c r="I160" s="1">
        <v>24.0</v>
      </c>
      <c r="J160" s="1" t="s">
        <v>650</v>
      </c>
      <c r="K160" s="5" t="s">
        <v>651</v>
      </c>
    </row>
    <row r="161">
      <c r="A161" s="1" t="s">
        <v>652</v>
      </c>
      <c r="B161" s="1" t="s">
        <v>653</v>
      </c>
      <c r="C161" s="1" t="s">
        <v>208</v>
      </c>
      <c r="D161" s="2">
        <v>399.0</v>
      </c>
      <c r="E161" s="2">
        <v>899.0</v>
      </c>
      <c r="F161" s="3">
        <f t="shared" si="1"/>
        <v>0.5561735261</v>
      </c>
      <c r="G161" s="4">
        <f>IFERROR(__xludf.DUMMYFUNCTION("GOOGLEFINANCE(""CURRENCY:INRBRL"")*D161"),23.859209091479997)</f>
        <v>23.85920909</v>
      </c>
      <c r="H161" s="1">
        <v>4.51</v>
      </c>
      <c r="I161" s="1">
        <v>254.0</v>
      </c>
      <c r="J161" s="1" t="s">
        <v>654</v>
      </c>
      <c r="K161" s="5" t="s">
        <v>655</v>
      </c>
    </row>
    <row r="162">
      <c r="A162" s="1" t="s">
        <v>656</v>
      </c>
      <c r="B162" s="1" t="s">
        <v>657</v>
      </c>
      <c r="C162" s="1" t="s">
        <v>608</v>
      </c>
      <c r="D162" s="2">
        <v>1089.0</v>
      </c>
      <c r="E162" s="2">
        <v>1600.0</v>
      </c>
      <c r="F162" s="3">
        <f t="shared" si="1"/>
        <v>0.319375</v>
      </c>
      <c r="G162" s="4">
        <f>IFERROR(__xludf.DUMMYFUNCTION("GOOGLEFINANCE(""CURRENCY:INRBRL"")*D162"),65.11949549028)</f>
        <v>65.11949549</v>
      </c>
      <c r="H162" s="1">
        <v>4.51</v>
      </c>
      <c r="I162" s="1">
        <v>3565.0</v>
      </c>
      <c r="J162" s="1" t="s">
        <v>658</v>
      </c>
      <c r="K162" s="5" t="s">
        <v>659</v>
      </c>
    </row>
    <row r="163">
      <c r="A163" s="1" t="s">
        <v>660</v>
      </c>
      <c r="B163" s="1" t="s">
        <v>661</v>
      </c>
      <c r="C163" s="1" t="s">
        <v>13</v>
      </c>
      <c r="D163" s="2">
        <v>339.0</v>
      </c>
      <c r="E163" s="2">
        <v>999.0</v>
      </c>
      <c r="F163" s="3">
        <f t="shared" si="1"/>
        <v>0.6606606607</v>
      </c>
      <c r="G163" s="4">
        <f>IFERROR(__xludf.DUMMYFUNCTION("GOOGLEFINANCE(""CURRENCY:INRBRL"")*D163"),20.27135810028)</f>
        <v>20.2713581</v>
      </c>
      <c r="H163" s="1">
        <v>4.51</v>
      </c>
      <c r="I163" s="1">
        <v>6255.0</v>
      </c>
      <c r="J163" s="1" t="s">
        <v>662</v>
      </c>
      <c r="K163" s="5" t="s">
        <v>663</v>
      </c>
    </row>
    <row r="164">
      <c r="A164" s="1" t="s">
        <v>664</v>
      </c>
      <c r="B164" s="1" t="s">
        <v>665</v>
      </c>
      <c r="C164" s="1" t="s">
        <v>13</v>
      </c>
      <c r="D164" s="2">
        <v>149.0</v>
      </c>
      <c r="E164" s="2">
        <v>499.0</v>
      </c>
      <c r="F164" s="3">
        <f t="shared" si="1"/>
        <v>0.7014028056</v>
      </c>
      <c r="G164" s="4">
        <f>IFERROR(__xludf.DUMMYFUNCTION("GOOGLEFINANCE(""CURRENCY:INRBRL"")*D164"),8.90982996148)</f>
        <v>8.909829961</v>
      </c>
      <c r="H164" s="1">
        <v>4.51</v>
      </c>
      <c r="I164" s="1">
        <v>7732.0</v>
      </c>
      <c r="J164" s="1" t="s">
        <v>666</v>
      </c>
      <c r="K164" s="5" t="s">
        <v>667</v>
      </c>
    </row>
    <row r="165">
      <c r="A165" s="1" t="s">
        <v>668</v>
      </c>
      <c r="B165" s="1" t="s">
        <v>669</v>
      </c>
      <c r="C165" s="1" t="s">
        <v>13</v>
      </c>
      <c r="D165" s="2">
        <v>149.0</v>
      </c>
      <c r="E165" s="2">
        <v>399.0</v>
      </c>
      <c r="F165" s="3">
        <f t="shared" si="1"/>
        <v>0.626566416</v>
      </c>
      <c r="G165" s="4">
        <f>IFERROR(__xludf.DUMMYFUNCTION("GOOGLEFINANCE(""CURRENCY:INRBRL"")*D165"),8.90982996148)</f>
        <v>8.909829961</v>
      </c>
      <c r="H165" s="1">
        <v>4.51</v>
      </c>
      <c r="I165" s="1">
        <v>57.0</v>
      </c>
      <c r="J165" s="1" t="s">
        <v>670</v>
      </c>
      <c r="K165" s="5" t="s">
        <v>671</v>
      </c>
    </row>
    <row r="166">
      <c r="A166" s="1" t="s">
        <v>672</v>
      </c>
      <c r="B166" s="1" t="s">
        <v>673</v>
      </c>
      <c r="C166" s="1" t="s">
        <v>13</v>
      </c>
      <c r="D166" s="2">
        <v>599.0</v>
      </c>
      <c r="E166" s="2">
        <v>849.0</v>
      </c>
      <c r="F166" s="3">
        <f t="shared" si="1"/>
        <v>0.2944640754</v>
      </c>
      <c r="G166" s="4">
        <f>IFERROR(__xludf.DUMMYFUNCTION("GOOGLEFINANCE(""CURRENCY:INRBRL"")*D166"),35.81871239548)</f>
        <v>35.8187124</v>
      </c>
      <c r="H166" s="1">
        <v>4.51</v>
      </c>
      <c r="I166" s="1">
        <v>577.0</v>
      </c>
      <c r="J166" s="1" t="s">
        <v>674</v>
      </c>
      <c r="K166" s="5" t="s">
        <v>675</v>
      </c>
    </row>
    <row r="167">
      <c r="A167" s="1" t="s">
        <v>676</v>
      </c>
      <c r="B167" s="1" t="s">
        <v>677</v>
      </c>
      <c r="C167" s="1" t="s">
        <v>208</v>
      </c>
      <c r="D167" s="2">
        <v>299.0</v>
      </c>
      <c r="E167" s="2">
        <v>1199.0</v>
      </c>
      <c r="F167" s="3">
        <f t="shared" si="1"/>
        <v>0.7506255213</v>
      </c>
      <c r="G167" s="4">
        <f>IFERROR(__xludf.DUMMYFUNCTION("GOOGLEFINANCE(""CURRENCY:INRBRL"")*D167"),17.87945743948)</f>
        <v>17.87945744</v>
      </c>
      <c r="H167" s="1">
        <v>4.51</v>
      </c>
      <c r="I167" s="1">
        <v>1193.0</v>
      </c>
      <c r="J167" s="1" t="s">
        <v>678</v>
      </c>
      <c r="K167" s="5" t="s">
        <v>679</v>
      </c>
    </row>
    <row r="168">
      <c r="A168" s="1" t="s">
        <v>680</v>
      </c>
      <c r="B168" s="1" t="s">
        <v>681</v>
      </c>
      <c r="C168" s="1" t="s">
        <v>13</v>
      </c>
      <c r="D168" s="2">
        <v>399.0</v>
      </c>
      <c r="E168" s="2">
        <v>1299.0</v>
      </c>
      <c r="F168" s="3">
        <f t="shared" si="1"/>
        <v>0.6928406467</v>
      </c>
      <c r="G168" s="4">
        <f>IFERROR(__xludf.DUMMYFUNCTION("GOOGLEFINANCE(""CURRENCY:INRBRL"")*D168"),23.859209091479997)</f>
        <v>23.85920909</v>
      </c>
      <c r="H168" s="1">
        <v>4.51</v>
      </c>
      <c r="I168" s="1">
        <v>1312.0</v>
      </c>
      <c r="J168" s="1" t="s">
        <v>682</v>
      </c>
      <c r="K168" s="5" t="s">
        <v>683</v>
      </c>
    </row>
    <row r="169">
      <c r="A169" s="1" t="s">
        <v>684</v>
      </c>
      <c r="B169" s="1" t="s">
        <v>685</v>
      </c>
      <c r="C169" s="1" t="s">
        <v>208</v>
      </c>
      <c r="D169" s="2">
        <v>339.0</v>
      </c>
      <c r="E169" s="2">
        <v>1999.0</v>
      </c>
      <c r="F169" s="3">
        <f t="shared" si="1"/>
        <v>0.8304152076</v>
      </c>
      <c r="G169" s="4">
        <f>IFERROR(__xludf.DUMMYFUNCTION("GOOGLEFINANCE(""CURRENCY:INRBRL"")*D169"),20.27135810028)</f>
        <v>20.2713581</v>
      </c>
      <c r="H169" s="1">
        <v>4.51</v>
      </c>
      <c r="I169" s="1">
        <v>343.0</v>
      </c>
      <c r="J169" s="1" t="s">
        <v>686</v>
      </c>
      <c r="K169" s="5" t="s">
        <v>687</v>
      </c>
    </row>
    <row r="170">
      <c r="A170" s="1" t="s">
        <v>688</v>
      </c>
      <c r="B170" s="1" t="s">
        <v>689</v>
      </c>
      <c r="C170" s="1" t="s">
        <v>79</v>
      </c>
      <c r="D170" s="2">
        <v>12499.0</v>
      </c>
      <c r="E170" s="2">
        <v>22990.0</v>
      </c>
      <c r="F170" s="3">
        <f t="shared" si="1"/>
        <v>0.4563288386</v>
      </c>
      <c r="G170" s="4">
        <f>IFERROR(__xludf.DUMMYFUNCTION("GOOGLEFINANCE(""CURRENCY:INRBRL"")*D170"),747.40915898348)</f>
        <v>747.409159</v>
      </c>
      <c r="H170" s="1">
        <v>4.51</v>
      </c>
      <c r="I170" s="1">
        <v>1611.0</v>
      </c>
      <c r="J170" s="1" t="s">
        <v>690</v>
      </c>
      <c r="K170" s="5" t="s">
        <v>691</v>
      </c>
    </row>
    <row r="171">
      <c r="A171" s="1" t="s">
        <v>692</v>
      </c>
      <c r="B171" s="1" t="s">
        <v>693</v>
      </c>
      <c r="C171" s="1" t="s">
        <v>13</v>
      </c>
      <c r="D171" s="2">
        <v>249.0</v>
      </c>
      <c r="E171" s="2">
        <v>399.0</v>
      </c>
      <c r="F171" s="3">
        <f t="shared" si="1"/>
        <v>0.3759398496</v>
      </c>
      <c r="G171" s="4">
        <f>IFERROR(__xludf.DUMMYFUNCTION("GOOGLEFINANCE(""CURRENCY:INRBRL"")*D171"),14.889581613479999)</f>
        <v>14.88958161</v>
      </c>
      <c r="H171" s="1">
        <v>4.51</v>
      </c>
      <c r="I171" s="1">
        <v>6558.0</v>
      </c>
      <c r="J171" s="1" t="s">
        <v>694</v>
      </c>
      <c r="K171" s="5" t="s">
        <v>695</v>
      </c>
    </row>
    <row r="172">
      <c r="A172" s="1" t="s">
        <v>696</v>
      </c>
      <c r="B172" s="1" t="s">
        <v>697</v>
      </c>
      <c r="C172" s="1" t="s">
        <v>46</v>
      </c>
      <c r="D172" s="2">
        <v>1399.0</v>
      </c>
      <c r="E172" s="2">
        <v>2499.0</v>
      </c>
      <c r="F172" s="3">
        <f t="shared" si="1"/>
        <v>0.4401760704</v>
      </c>
      <c r="G172" s="4">
        <f>IFERROR(__xludf.DUMMYFUNCTION("GOOGLEFINANCE(""CURRENCY:INRBRL"")*D172"),83.65672561148)</f>
        <v>83.65672561</v>
      </c>
      <c r="H172" s="1">
        <v>4.51</v>
      </c>
      <c r="I172" s="1">
        <v>23169.0</v>
      </c>
      <c r="J172" s="1" t="s">
        <v>698</v>
      </c>
      <c r="K172" s="5" t="s">
        <v>699</v>
      </c>
    </row>
    <row r="173">
      <c r="A173" s="1" t="s">
        <v>700</v>
      </c>
      <c r="B173" s="1" t="s">
        <v>701</v>
      </c>
      <c r="C173" s="1" t="s">
        <v>79</v>
      </c>
      <c r="D173" s="2">
        <v>32999.0</v>
      </c>
      <c r="E173" s="2">
        <v>47990.0</v>
      </c>
      <c r="F173" s="3">
        <f t="shared" si="1"/>
        <v>0.3123775787</v>
      </c>
      <c r="G173" s="4">
        <f>IFERROR(__xludf.DUMMYFUNCTION("GOOGLEFINANCE(""CURRENCY:INRBRL"")*D173"),1973.25824764348)</f>
        <v>1973.258248</v>
      </c>
      <c r="H173" s="1">
        <v>4.51</v>
      </c>
      <c r="I173" s="1">
        <v>4703.0</v>
      </c>
      <c r="J173" s="1" t="s">
        <v>363</v>
      </c>
      <c r="K173" s="5" t="s">
        <v>702</v>
      </c>
    </row>
    <row r="174">
      <c r="A174" s="1" t="s">
        <v>703</v>
      </c>
      <c r="B174" s="1" t="s">
        <v>704</v>
      </c>
      <c r="C174" s="1" t="s">
        <v>13</v>
      </c>
      <c r="D174" s="2">
        <v>149.0</v>
      </c>
      <c r="E174" s="2">
        <v>399.0</v>
      </c>
      <c r="F174" s="3">
        <f t="shared" si="1"/>
        <v>0.626566416</v>
      </c>
      <c r="G174" s="4">
        <f>IFERROR(__xludf.DUMMYFUNCTION("GOOGLEFINANCE(""CURRENCY:INRBRL"")*D174"),8.90982996148)</f>
        <v>8.909829961</v>
      </c>
      <c r="H174" s="1">
        <v>4.51</v>
      </c>
      <c r="I174" s="1">
        <v>1423.0</v>
      </c>
      <c r="J174" s="1" t="s">
        <v>705</v>
      </c>
      <c r="K174" s="5" t="s">
        <v>706</v>
      </c>
    </row>
    <row r="175">
      <c r="A175" s="1" t="s">
        <v>707</v>
      </c>
      <c r="B175" s="1" t="s">
        <v>708</v>
      </c>
      <c r="C175" s="1" t="s">
        <v>13</v>
      </c>
      <c r="D175" s="2">
        <v>325.0</v>
      </c>
      <c r="E175" s="2">
        <v>999.0</v>
      </c>
      <c r="F175" s="3">
        <f t="shared" si="1"/>
        <v>0.6746746747</v>
      </c>
      <c r="G175" s="4">
        <f>IFERROR(__xludf.DUMMYFUNCTION("GOOGLEFINANCE(""CURRENCY:INRBRL"")*D175"),19.434192869)</f>
        <v>19.43419287</v>
      </c>
      <c r="H175" s="1">
        <v>4.51</v>
      </c>
      <c r="I175" s="1">
        <v>2651.0</v>
      </c>
      <c r="J175" s="1" t="s">
        <v>709</v>
      </c>
      <c r="K175" s="5" t="s">
        <v>710</v>
      </c>
    </row>
    <row r="176">
      <c r="A176" s="1" t="s">
        <v>711</v>
      </c>
      <c r="B176" s="1" t="s">
        <v>712</v>
      </c>
      <c r="C176" s="1" t="s">
        <v>13</v>
      </c>
      <c r="D176" s="2">
        <v>399.0</v>
      </c>
      <c r="E176" s="2">
        <v>1999.0</v>
      </c>
      <c r="F176" s="3">
        <f t="shared" si="1"/>
        <v>0.8004002001</v>
      </c>
      <c r="G176" s="4">
        <f>IFERROR(__xludf.DUMMYFUNCTION("GOOGLEFINANCE(""CURRENCY:INRBRL"")*D176"),23.859209091479997)</f>
        <v>23.85920909</v>
      </c>
      <c r="H176" s="1">
        <v>4.51</v>
      </c>
      <c r="I176" s="1">
        <v>5.0</v>
      </c>
      <c r="J176" s="1" t="s">
        <v>713</v>
      </c>
      <c r="K176" s="5" t="s">
        <v>714</v>
      </c>
    </row>
    <row r="177">
      <c r="A177" s="1" t="s">
        <v>715</v>
      </c>
      <c r="B177" s="1" t="s">
        <v>716</v>
      </c>
      <c r="C177" s="1" t="s">
        <v>46</v>
      </c>
      <c r="D177" s="2">
        <v>199.0</v>
      </c>
      <c r="E177" s="2">
        <v>499.0</v>
      </c>
      <c r="F177" s="3">
        <f>((D177-E177)/E177)*-1</f>
        <v>0.6012024048</v>
      </c>
      <c r="G177" s="4">
        <f>IFERROR(__xludf.DUMMYFUNCTION("GOOGLEFINANCE(""CURRENCY:INRBRL"")*D177"),11.899705787479999)</f>
        <v>11.89970579</v>
      </c>
      <c r="H177" s="1">
        <v>4.51</v>
      </c>
      <c r="I177" s="1">
        <v>612.0</v>
      </c>
      <c r="J177" s="1" t="s">
        <v>717</v>
      </c>
      <c r="K177" s="5" t="s">
        <v>718</v>
      </c>
    </row>
    <row r="178">
      <c r="A178" s="1" t="s">
        <v>719</v>
      </c>
      <c r="B178" s="1" t="s">
        <v>720</v>
      </c>
      <c r="C178" s="1" t="s">
        <v>13</v>
      </c>
      <c r="D178" s="2">
        <v>88.0</v>
      </c>
      <c r="E178" s="2">
        <v>299.0</v>
      </c>
      <c r="F178" s="3">
        <f t="shared" ref="F178:F334" si="2">((D178-E178)/-E178)</f>
        <v>0.7056856187</v>
      </c>
      <c r="G178" s="4">
        <f>IFERROR(__xludf.DUMMYFUNCTION("GOOGLEFINANCE(""CURRENCY:INRBRL"")*D178"),5.262181453759999)</f>
        <v>5.262181454</v>
      </c>
      <c r="H178" s="1">
        <v>4.51</v>
      </c>
      <c r="I178" s="1">
        <v>9378.0</v>
      </c>
      <c r="J178" s="1" t="s">
        <v>721</v>
      </c>
      <c r="K178" s="5" t="s">
        <v>722</v>
      </c>
    </row>
    <row r="179">
      <c r="A179" s="1" t="s">
        <v>723</v>
      </c>
      <c r="B179" s="1" t="s">
        <v>724</v>
      </c>
      <c r="C179" s="1" t="s">
        <v>13</v>
      </c>
      <c r="D179" s="2">
        <v>399.0</v>
      </c>
      <c r="E179" s="2">
        <v>1099.0</v>
      </c>
      <c r="F179" s="3">
        <f t="shared" si="2"/>
        <v>0.6369426752</v>
      </c>
      <c r="G179" s="4">
        <f>IFERROR(__xludf.DUMMYFUNCTION("GOOGLEFINANCE(""CURRENCY:INRBRL"")*D179"),23.859209091479997)</f>
        <v>23.85920909</v>
      </c>
      <c r="H179" s="1">
        <v>4.51</v>
      </c>
      <c r="I179" s="1">
        <v>2685.0</v>
      </c>
      <c r="J179" s="1" t="s">
        <v>725</v>
      </c>
      <c r="K179" s="5" t="s">
        <v>726</v>
      </c>
    </row>
    <row r="180">
      <c r="A180" s="1" t="s">
        <v>727</v>
      </c>
      <c r="B180" s="1" t="s">
        <v>728</v>
      </c>
      <c r="C180" s="1" t="s">
        <v>13</v>
      </c>
      <c r="D180" s="2">
        <v>57.98</v>
      </c>
      <c r="E180" s="2">
        <v>199.0</v>
      </c>
      <c r="F180" s="3">
        <f t="shared" si="2"/>
        <v>0.7086432161</v>
      </c>
      <c r="G180" s="4">
        <f>IFERROR(__xludf.DUMMYFUNCTION("GOOGLEFINANCE(""CURRENCY:INRBRL"")*D180"),3.4670600078295997)</f>
        <v>3.467060008</v>
      </c>
      <c r="H180" s="1">
        <v>4.51</v>
      </c>
      <c r="I180" s="1">
        <v>9378.0</v>
      </c>
      <c r="J180" s="1" t="s">
        <v>729</v>
      </c>
      <c r="K180" s="5" t="s">
        <v>730</v>
      </c>
    </row>
    <row r="181">
      <c r="A181" s="1" t="s">
        <v>731</v>
      </c>
      <c r="B181" s="1" t="s">
        <v>732</v>
      </c>
      <c r="C181" s="1" t="s">
        <v>208</v>
      </c>
      <c r="D181" s="2">
        <v>799.0</v>
      </c>
      <c r="E181" s="2">
        <v>1999.0</v>
      </c>
      <c r="F181" s="3">
        <f t="shared" si="2"/>
        <v>0.6003001501</v>
      </c>
      <c r="G181" s="4">
        <f>IFERROR(__xludf.DUMMYFUNCTION("GOOGLEFINANCE(""CURRENCY:INRBRL"")*D181"),47.77821569948)</f>
        <v>47.7782157</v>
      </c>
      <c r="H181" s="1">
        <v>4.51</v>
      </c>
      <c r="I181" s="1">
        <v>576.0</v>
      </c>
      <c r="J181" s="1" t="s">
        <v>733</v>
      </c>
      <c r="K181" s="5" t="s">
        <v>734</v>
      </c>
    </row>
    <row r="182">
      <c r="A182" s="1" t="s">
        <v>735</v>
      </c>
      <c r="B182" s="1" t="s">
        <v>736</v>
      </c>
      <c r="C182" s="1" t="s">
        <v>208</v>
      </c>
      <c r="D182" s="2">
        <v>205.0</v>
      </c>
      <c r="E182" s="2">
        <v>499.0</v>
      </c>
      <c r="F182" s="3">
        <f t="shared" si="2"/>
        <v>0.5891783567</v>
      </c>
      <c r="G182" s="4">
        <f>IFERROR(__xludf.DUMMYFUNCTION("GOOGLEFINANCE(""CURRENCY:INRBRL"")*D182"),12.258490886599999)</f>
        <v>12.25849089</v>
      </c>
      <c r="H182" s="1">
        <v>4.51</v>
      </c>
      <c r="I182" s="1">
        <v>313.0</v>
      </c>
      <c r="J182" s="1" t="s">
        <v>737</v>
      </c>
      <c r="K182" s="5" t="s">
        <v>738</v>
      </c>
    </row>
    <row r="183">
      <c r="A183" s="1" t="s">
        <v>739</v>
      </c>
      <c r="B183" s="1" t="s">
        <v>740</v>
      </c>
      <c r="C183" s="1" t="s">
        <v>13</v>
      </c>
      <c r="D183" s="2">
        <v>299.0</v>
      </c>
      <c r="E183" s="2">
        <v>699.0</v>
      </c>
      <c r="F183" s="3">
        <f t="shared" si="2"/>
        <v>0.5722460658</v>
      </c>
      <c r="G183" s="4">
        <f>IFERROR(__xludf.DUMMYFUNCTION("GOOGLEFINANCE(""CURRENCY:INRBRL"")*D183"),17.87945743948)</f>
        <v>17.87945744</v>
      </c>
      <c r="H183" s="1">
        <v>4.51</v>
      </c>
      <c r="I183" s="1">
        <v>2957.0</v>
      </c>
      <c r="J183" s="1" t="s">
        <v>741</v>
      </c>
      <c r="K183" s="5" t="s">
        <v>742</v>
      </c>
    </row>
    <row r="184">
      <c r="A184" s="1" t="s">
        <v>743</v>
      </c>
      <c r="B184" s="1" t="s">
        <v>744</v>
      </c>
      <c r="C184" s="1" t="s">
        <v>13</v>
      </c>
      <c r="D184" s="2">
        <v>849.0</v>
      </c>
      <c r="E184" s="2">
        <v>999.0</v>
      </c>
      <c r="F184" s="3">
        <f t="shared" si="2"/>
        <v>0.1501501502</v>
      </c>
      <c r="G184" s="4">
        <f>IFERROR(__xludf.DUMMYFUNCTION("GOOGLEFINANCE(""CURRENCY:INRBRL"")*D184"),50.768091525479996)</f>
        <v>50.76809153</v>
      </c>
      <c r="H184" s="1">
        <v>4.51</v>
      </c>
      <c r="I184" s="1">
        <v>6736.0</v>
      </c>
      <c r="J184" s="1" t="s">
        <v>745</v>
      </c>
      <c r="K184" s="5" t="s">
        <v>746</v>
      </c>
    </row>
    <row r="185">
      <c r="A185" s="1" t="s">
        <v>747</v>
      </c>
      <c r="B185" s="1" t="s">
        <v>748</v>
      </c>
      <c r="C185" s="1" t="s">
        <v>13</v>
      </c>
      <c r="D185" s="2">
        <v>949.0</v>
      </c>
      <c r="E185" s="2">
        <v>1999.0</v>
      </c>
      <c r="F185" s="3">
        <f t="shared" si="2"/>
        <v>0.5252626313</v>
      </c>
      <c r="G185" s="4">
        <f>IFERROR(__xludf.DUMMYFUNCTION("GOOGLEFINANCE(""CURRENCY:INRBRL"")*D185"),56.74784317748)</f>
        <v>56.74784318</v>
      </c>
      <c r="H185" s="1">
        <v>4.51</v>
      </c>
      <c r="I185" s="1">
        <v>13552.0</v>
      </c>
      <c r="J185" s="1" t="s">
        <v>749</v>
      </c>
      <c r="K185" s="5" t="s">
        <v>750</v>
      </c>
    </row>
    <row r="186">
      <c r="A186" s="1" t="s">
        <v>751</v>
      </c>
      <c r="B186" s="1" t="s">
        <v>752</v>
      </c>
      <c r="C186" s="1" t="s">
        <v>13</v>
      </c>
      <c r="D186" s="2">
        <v>499.0</v>
      </c>
      <c r="E186" s="2">
        <v>1200.0</v>
      </c>
      <c r="F186" s="3">
        <f t="shared" si="2"/>
        <v>0.5841666667</v>
      </c>
      <c r="G186" s="4">
        <f>IFERROR(__xludf.DUMMYFUNCTION("GOOGLEFINANCE(""CURRENCY:INRBRL"")*D186"),29.838960743479998)</f>
        <v>29.83896074</v>
      </c>
      <c r="H186" s="1">
        <v>4.51</v>
      </c>
      <c r="I186" s="1">
        <v>5451.0</v>
      </c>
      <c r="J186" s="1" t="s">
        <v>753</v>
      </c>
      <c r="K186" s="5" t="s">
        <v>754</v>
      </c>
    </row>
    <row r="187">
      <c r="A187" s="1" t="s">
        <v>755</v>
      </c>
      <c r="B187" s="1" t="s">
        <v>756</v>
      </c>
      <c r="C187" s="1" t="s">
        <v>13</v>
      </c>
      <c r="D187" s="2">
        <v>299.0</v>
      </c>
      <c r="E187" s="2">
        <v>485.0</v>
      </c>
      <c r="F187" s="3">
        <f t="shared" si="2"/>
        <v>0.3835051546</v>
      </c>
      <c r="G187" s="4">
        <f>IFERROR(__xludf.DUMMYFUNCTION("GOOGLEFINANCE(""CURRENCY:INRBRL"")*D187"),17.87945743948)</f>
        <v>17.87945744</v>
      </c>
      <c r="H187" s="1">
        <v>4.51</v>
      </c>
      <c r="I187" s="1">
        <v>10911.0</v>
      </c>
      <c r="J187" s="1" t="s">
        <v>757</v>
      </c>
      <c r="K187" s="5" t="s">
        <v>758</v>
      </c>
    </row>
    <row r="188">
      <c r="A188" s="1" t="s">
        <v>759</v>
      </c>
      <c r="B188" s="1" t="s">
        <v>760</v>
      </c>
      <c r="C188" s="1" t="s">
        <v>13</v>
      </c>
      <c r="D188" s="2">
        <v>949.0</v>
      </c>
      <c r="E188" s="2">
        <v>1999.0</v>
      </c>
      <c r="F188" s="3">
        <f t="shared" si="2"/>
        <v>0.5252626313</v>
      </c>
      <c r="G188" s="4">
        <f>IFERROR(__xludf.DUMMYFUNCTION("GOOGLEFINANCE(""CURRENCY:INRBRL"")*D188"),56.74784317748)</f>
        <v>56.74784318</v>
      </c>
      <c r="H188" s="1">
        <v>4.51</v>
      </c>
      <c r="I188" s="1">
        <v>13552.0</v>
      </c>
      <c r="J188" s="1" t="s">
        <v>761</v>
      </c>
      <c r="K188" s="5" t="s">
        <v>762</v>
      </c>
    </row>
    <row r="189">
      <c r="A189" s="1" t="s">
        <v>763</v>
      </c>
      <c r="B189" s="1" t="s">
        <v>764</v>
      </c>
      <c r="C189" s="1" t="s">
        <v>13</v>
      </c>
      <c r="D189" s="2">
        <v>379.0</v>
      </c>
      <c r="E189" s="2">
        <v>1099.0</v>
      </c>
      <c r="F189" s="3">
        <f t="shared" si="2"/>
        <v>0.6551410373</v>
      </c>
      <c r="G189" s="4">
        <f>IFERROR(__xludf.DUMMYFUNCTION("GOOGLEFINANCE(""CURRENCY:INRBRL"")*D189"),22.663258761079998)</f>
        <v>22.66325876</v>
      </c>
      <c r="H189" s="1">
        <v>4.51</v>
      </c>
      <c r="I189" s="1">
        <v>2806.0</v>
      </c>
      <c r="J189" s="1" t="s">
        <v>765</v>
      </c>
      <c r="K189" s="5" t="s">
        <v>766</v>
      </c>
    </row>
    <row r="190">
      <c r="A190" s="1" t="s">
        <v>767</v>
      </c>
      <c r="B190" s="1" t="s">
        <v>768</v>
      </c>
      <c r="C190" s="1" t="s">
        <v>79</v>
      </c>
      <c r="D190" s="2">
        <v>8990.0</v>
      </c>
      <c r="E190" s="2">
        <v>18990.0</v>
      </c>
      <c r="F190" s="3">
        <f t="shared" si="2"/>
        <v>0.5265929437</v>
      </c>
      <c r="G190" s="4">
        <f>IFERROR(__xludf.DUMMYFUNCTION("GOOGLEFINANCE(""CURRENCY:INRBRL"")*D190"),537.5796735148)</f>
        <v>537.5796735</v>
      </c>
      <c r="H190" s="1">
        <v>4.51</v>
      </c>
      <c r="I190" s="1">
        <v>350.0</v>
      </c>
      <c r="J190" s="1" t="s">
        <v>769</v>
      </c>
      <c r="K190" s="5" t="s">
        <v>770</v>
      </c>
    </row>
    <row r="191">
      <c r="A191" s="1" t="s">
        <v>771</v>
      </c>
      <c r="B191" s="1" t="s">
        <v>772</v>
      </c>
      <c r="C191" s="1" t="s">
        <v>608</v>
      </c>
      <c r="D191" s="2">
        <v>486.0</v>
      </c>
      <c r="E191" s="2">
        <v>1999.0</v>
      </c>
      <c r="F191" s="3">
        <f t="shared" si="2"/>
        <v>0.7568784392</v>
      </c>
      <c r="G191" s="4">
        <f>IFERROR(__xludf.DUMMYFUNCTION("GOOGLEFINANCE(""CURRENCY:INRBRL"")*D191"),29.061593028719997)</f>
        <v>29.06159303</v>
      </c>
      <c r="H191" s="1">
        <v>4.51</v>
      </c>
      <c r="I191" s="1">
        <v>30023.0</v>
      </c>
      <c r="J191" s="1" t="s">
        <v>773</v>
      </c>
      <c r="K191" s="5" t="s">
        <v>774</v>
      </c>
    </row>
    <row r="192">
      <c r="A192" s="1" t="s">
        <v>775</v>
      </c>
      <c r="B192" s="1" t="s">
        <v>776</v>
      </c>
      <c r="C192" s="1" t="s">
        <v>229</v>
      </c>
      <c r="D192" s="2">
        <v>5699.0</v>
      </c>
      <c r="E192" s="2">
        <v>11000.0</v>
      </c>
      <c r="F192" s="3">
        <f t="shared" si="2"/>
        <v>0.4819090909</v>
      </c>
      <c r="G192" s="4">
        <f>IFERROR(__xludf.DUMMYFUNCTION("GOOGLEFINANCE(""CURRENCY:INRBRL"")*D192"),340.78604664747996)</f>
        <v>340.7860466</v>
      </c>
      <c r="H192" s="1">
        <v>4.51</v>
      </c>
      <c r="I192" s="1">
        <v>4003.0</v>
      </c>
      <c r="J192" s="1" t="s">
        <v>777</v>
      </c>
      <c r="K192" s="5" t="s">
        <v>778</v>
      </c>
    </row>
    <row r="193">
      <c r="A193" s="1" t="s">
        <v>779</v>
      </c>
      <c r="B193" s="1" t="s">
        <v>780</v>
      </c>
      <c r="C193" s="1" t="s">
        <v>13</v>
      </c>
      <c r="D193" s="2">
        <v>709.0</v>
      </c>
      <c r="E193" s="2">
        <v>1999.0</v>
      </c>
      <c r="F193" s="3">
        <f t="shared" si="2"/>
        <v>0.6453226613</v>
      </c>
      <c r="G193" s="4">
        <f>IFERROR(__xludf.DUMMYFUNCTION("GOOGLEFINANCE(""CURRENCY:INRBRL"")*D193"),42.39643921268)</f>
        <v>42.39643921</v>
      </c>
      <c r="H193" s="1">
        <v>4.51</v>
      </c>
      <c r="I193" s="1">
        <v>178817.0</v>
      </c>
      <c r="J193" s="1" t="s">
        <v>781</v>
      </c>
      <c r="K193" s="5" t="s">
        <v>782</v>
      </c>
    </row>
    <row r="194">
      <c r="A194" s="1" t="s">
        <v>783</v>
      </c>
      <c r="B194" s="1" t="s">
        <v>784</v>
      </c>
      <c r="C194" s="1" t="s">
        <v>79</v>
      </c>
      <c r="D194" s="2">
        <v>47990.0</v>
      </c>
      <c r="E194" s="2">
        <v>70900.0</v>
      </c>
      <c r="F194" s="3">
        <f t="shared" si="2"/>
        <v>0.3231311707</v>
      </c>
      <c r="G194" s="4">
        <f>IFERROR(__xludf.DUMMYFUNCTION("GOOGLEFINANCE(""CURRENCY:INRBRL"")*D194"),2869.6828177948)</f>
        <v>2869.682818</v>
      </c>
      <c r="H194" s="1">
        <v>4.51</v>
      </c>
      <c r="I194" s="1">
        <v>7109.0</v>
      </c>
      <c r="J194" s="1" t="s">
        <v>262</v>
      </c>
      <c r="K194" s="5" t="s">
        <v>785</v>
      </c>
    </row>
    <row r="195">
      <c r="A195" s="1" t="s">
        <v>786</v>
      </c>
      <c r="B195" s="1" t="s">
        <v>787</v>
      </c>
      <c r="C195" s="1" t="s">
        <v>208</v>
      </c>
      <c r="D195" s="2">
        <v>299.0</v>
      </c>
      <c r="E195" s="2">
        <v>1199.0</v>
      </c>
      <c r="F195" s="3">
        <f t="shared" si="2"/>
        <v>0.7506255213</v>
      </c>
      <c r="G195" s="4">
        <f>IFERROR(__xludf.DUMMYFUNCTION("GOOGLEFINANCE(""CURRENCY:INRBRL"")*D195"),17.87945743948)</f>
        <v>17.87945744</v>
      </c>
      <c r="H195" s="1">
        <v>4.51</v>
      </c>
      <c r="I195" s="1">
        <v>490.0</v>
      </c>
      <c r="J195" s="1" t="s">
        <v>788</v>
      </c>
      <c r="K195" s="5" t="s">
        <v>789</v>
      </c>
    </row>
    <row r="196">
      <c r="A196" s="1" t="s">
        <v>790</v>
      </c>
      <c r="B196" s="1" t="s">
        <v>791</v>
      </c>
      <c r="C196" s="1" t="s">
        <v>13</v>
      </c>
      <c r="D196" s="2">
        <v>320.0</v>
      </c>
      <c r="E196" s="2">
        <v>599.0</v>
      </c>
      <c r="F196" s="3">
        <f t="shared" si="2"/>
        <v>0.4657762938</v>
      </c>
      <c r="G196" s="4">
        <f>IFERROR(__xludf.DUMMYFUNCTION("GOOGLEFINANCE(""CURRENCY:INRBRL"")*D196"),19.135205286399998)</f>
        <v>19.13520529</v>
      </c>
      <c r="H196" s="1">
        <v>4.51</v>
      </c>
      <c r="I196" s="1">
        <v>491.0</v>
      </c>
      <c r="J196" s="1" t="s">
        <v>792</v>
      </c>
      <c r="K196" s="5" t="s">
        <v>793</v>
      </c>
    </row>
    <row r="197">
      <c r="A197" s="1" t="s">
        <v>794</v>
      </c>
      <c r="B197" s="1" t="s">
        <v>795</v>
      </c>
      <c r="C197" s="1" t="s">
        <v>13</v>
      </c>
      <c r="D197" s="2">
        <v>139.0</v>
      </c>
      <c r="E197" s="2">
        <v>549.0</v>
      </c>
      <c r="F197" s="3">
        <f t="shared" si="2"/>
        <v>0.7468123862</v>
      </c>
      <c r="G197" s="4">
        <f>IFERROR(__xludf.DUMMYFUNCTION("GOOGLEFINANCE(""CURRENCY:INRBRL"")*D197"),8.311854796279999)</f>
        <v>8.311854796</v>
      </c>
      <c r="H197" s="1">
        <v>4.51</v>
      </c>
      <c r="I197" s="1">
        <v>61.0</v>
      </c>
      <c r="J197" s="1" t="s">
        <v>796</v>
      </c>
      <c r="K197" s="5" t="s">
        <v>797</v>
      </c>
    </row>
    <row r="198">
      <c r="A198" s="1" t="s">
        <v>798</v>
      </c>
      <c r="B198" s="1" t="s">
        <v>799</v>
      </c>
      <c r="C198" s="1" t="s">
        <v>13</v>
      </c>
      <c r="D198" s="2">
        <v>129.0</v>
      </c>
      <c r="E198" s="2">
        <v>249.0</v>
      </c>
      <c r="F198" s="3">
        <f t="shared" si="2"/>
        <v>0.4819277108</v>
      </c>
      <c r="G198" s="4">
        <f>IFERROR(__xludf.DUMMYFUNCTION("GOOGLEFINANCE(""CURRENCY:INRBRL"")*D198"),7.713879631079999)</f>
        <v>7.713879631</v>
      </c>
      <c r="H198" s="1">
        <v>4.51</v>
      </c>
      <c r="I198" s="1">
        <v>9378.0</v>
      </c>
      <c r="J198" s="1" t="s">
        <v>800</v>
      </c>
      <c r="K198" s="5" t="s">
        <v>801</v>
      </c>
    </row>
    <row r="199">
      <c r="A199" s="1" t="s">
        <v>802</v>
      </c>
      <c r="B199" s="1" t="s">
        <v>803</v>
      </c>
      <c r="C199" s="1" t="s">
        <v>79</v>
      </c>
      <c r="D199" s="2">
        <v>24999.0</v>
      </c>
      <c r="E199" s="2">
        <v>35999.0</v>
      </c>
      <c r="F199" s="3">
        <f t="shared" si="2"/>
        <v>0.3055640434</v>
      </c>
      <c r="G199" s="4">
        <f>IFERROR(__xludf.DUMMYFUNCTION("GOOGLEFINANCE(""CURRENCY:INRBRL"")*D199"),1494.8781154834799)</f>
        <v>1494.878115</v>
      </c>
      <c r="H199" s="1">
        <v>4.51</v>
      </c>
      <c r="I199" s="1">
        <v>3284.0</v>
      </c>
      <c r="J199" s="1" t="s">
        <v>428</v>
      </c>
      <c r="K199" s="5" t="s">
        <v>804</v>
      </c>
    </row>
    <row r="200">
      <c r="A200" s="1" t="s">
        <v>805</v>
      </c>
      <c r="B200" s="1" t="s">
        <v>806</v>
      </c>
      <c r="C200" s="1" t="s">
        <v>13</v>
      </c>
      <c r="D200" s="2">
        <v>999.0</v>
      </c>
      <c r="E200" s="2">
        <v>1699.0</v>
      </c>
      <c r="F200" s="3">
        <f t="shared" si="2"/>
        <v>0.412007063</v>
      </c>
      <c r="G200" s="4">
        <f>IFERROR(__xludf.DUMMYFUNCTION("GOOGLEFINANCE(""CURRENCY:INRBRL"")*D200"),59.737719003479995)</f>
        <v>59.737719</v>
      </c>
      <c r="H200" s="1">
        <v>4.51</v>
      </c>
      <c r="I200" s="1">
        <v>7318.0</v>
      </c>
      <c r="J200" s="1" t="s">
        <v>807</v>
      </c>
      <c r="K200" s="5" t="s">
        <v>808</v>
      </c>
    </row>
    <row r="201">
      <c r="A201" s="1" t="s">
        <v>809</v>
      </c>
      <c r="B201" s="1" t="s">
        <v>810</v>
      </c>
      <c r="C201" s="1" t="s">
        <v>13</v>
      </c>
      <c r="D201" s="2">
        <v>225.0</v>
      </c>
      <c r="E201" s="2">
        <v>499.0</v>
      </c>
      <c r="F201" s="3">
        <f t="shared" si="2"/>
        <v>0.5490981964</v>
      </c>
      <c r="G201" s="4">
        <f>IFERROR(__xludf.DUMMYFUNCTION("GOOGLEFINANCE(""CURRENCY:INRBRL"")*D201"),13.454441217)</f>
        <v>13.45444122</v>
      </c>
      <c r="H201" s="1">
        <v>4.51</v>
      </c>
      <c r="I201" s="1">
        <v>789.0</v>
      </c>
      <c r="J201" s="1" t="s">
        <v>811</v>
      </c>
      <c r="K201" s="5" t="s">
        <v>812</v>
      </c>
    </row>
    <row r="202">
      <c r="A202" s="1" t="s">
        <v>813</v>
      </c>
      <c r="B202" s="1" t="s">
        <v>814</v>
      </c>
      <c r="C202" s="1" t="s">
        <v>208</v>
      </c>
      <c r="D202" s="2">
        <v>547.0</v>
      </c>
      <c r="E202" s="2">
        <v>2999.0</v>
      </c>
      <c r="F202" s="3">
        <f t="shared" si="2"/>
        <v>0.8176058686</v>
      </c>
      <c r="G202" s="4">
        <f>IFERROR(__xludf.DUMMYFUNCTION("GOOGLEFINANCE(""CURRENCY:INRBRL"")*D202"),32.70924153644)</f>
        <v>32.70924154</v>
      </c>
      <c r="H202" s="1">
        <v>4.51</v>
      </c>
      <c r="I202" s="1">
        <v>407.0</v>
      </c>
      <c r="J202" s="1" t="s">
        <v>815</v>
      </c>
      <c r="K202" s="5" t="s">
        <v>816</v>
      </c>
    </row>
    <row r="203">
      <c r="A203" s="1" t="s">
        <v>817</v>
      </c>
      <c r="B203" s="1" t="s">
        <v>818</v>
      </c>
      <c r="C203" s="1" t="s">
        <v>13</v>
      </c>
      <c r="D203" s="2">
        <v>259.0</v>
      </c>
      <c r="E203" s="2">
        <v>699.0</v>
      </c>
      <c r="F203" s="3">
        <f t="shared" si="2"/>
        <v>0.6294706724</v>
      </c>
      <c r="G203" s="4">
        <f>IFERROR(__xludf.DUMMYFUNCTION("GOOGLEFINANCE(""CURRENCY:INRBRL"")*D203"),15.487556778679998)</f>
        <v>15.48755678</v>
      </c>
      <c r="H203" s="1">
        <v>4.51</v>
      </c>
      <c r="I203" s="1">
        <v>2399.0</v>
      </c>
      <c r="J203" s="1" t="s">
        <v>819</v>
      </c>
      <c r="K203" s="5" t="s">
        <v>820</v>
      </c>
    </row>
    <row r="204">
      <c r="A204" s="1" t="s">
        <v>821</v>
      </c>
      <c r="B204" s="1" t="s">
        <v>822</v>
      </c>
      <c r="C204" s="1" t="s">
        <v>208</v>
      </c>
      <c r="D204" s="2">
        <v>239.0</v>
      </c>
      <c r="E204" s="2">
        <v>699.0</v>
      </c>
      <c r="F204" s="3">
        <f t="shared" si="2"/>
        <v>0.6580829757</v>
      </c>
      <c r="G204" s="4">
        <f>IFERROR(__xludf.DUMMYFUNCTION("GOOGLEFINANCE(""CURRENCY:INRBRL"")*D204"),14.29160644828)</f>
        <v>14.29160645</v>
      </c>
      <c r="H204" s="1">
        <v>4.51</v>
      </c>
      <c r="I204" s="1">
        <v>264.0</v>
      </c>
      <c r="J204" s="1" t="s">
        <v>823</v>
      </c>
      <c r="K204" s="5" t="s">
        <v>824</v>
      </c>
    </row>
    <row r="205">
      <c r="A205" s="1" t="s">
        <v>825</v>
      </c>
      <c r="B205" s="1" t="s">
        <v>826</v>
      </c>
      <c r="C205" s="1" t="s">
        <v>208</v>
      </c>
      <c r="D205" s="2">
        <v>349.0</v>
      </c>
      <c r="E205" s="2">
        <v>999.0</v>
      </c>
      <c r="F205" s="3">
        <f t="shared" si="2"/>
        <v>0.6506506507</v>
      </c>
      <c r="G205" s="4">
        <f>IFERROR(__xludf.DUMMYFUNCTION("GOOGLEFINANCE(""CURRENCY:INRBRL"")*D205"),20.869333265479998)</f>
        <v>20.86933327</v>
      </c>
      <c r="H205" s="1">
        <v>4.51</v>
      </c>
      <c r="I205" s="1">
        <v>839.0</v>
      </c>
      <c r="J205" s="1" t="s">
        <v>827</v>
      </c>
      <c r="K205" s="5" t="s">
        <v>828</v>
      </c>
    </row>
    <row r="206">
      <c r="A206" s="1" t="s">
        <v>829</v>
      </c>
      <c r="B206" s="1" t="s">
        <v>830</v>
      </c>
      <c r="C206" s="1" t="s">
        <v>63</v>
      </c>
      <c r="D206" s="2">
        <v>467.0</v>
      </c>
      <c r="E206" s="2">
        <v>599.0</v>
      </c>
      <c r="F206" s="3">
        <f t="shared" si="2"/>
        <v>0.2203672788</v>
      </c>
      <c r="G206" s="4">
        <f>IFERROR(__xludf.DUMMYFUNCTION("GOOGLEFINANCE(""CURRENCY:INRBRL"")*D206"),27.92544021484)</f>
        <v>27.92544021</v>
      </c>
      <c r="H206" s="1">
        <v>4.51</v>
      </c>
      <c r="I206" s="1">
        <v>44054.0</v>
      </c>
      <c r="J206" s="1" t="s">
        <v>831</v>
      </c>
      <c r="K206" s="5" t="s">
        <v>832</v>
      </c>
    </row>
    <row r="207">
      <c r="A207" s="1" t="s">
        <v>833</v>
      </c>
      <c r="B207" s="1" t="s">
        <v>834</v>
      </c>
      <c r="C207" s="1" t="s">
        <v>13</v>
      </c>
      <c r="D207" s="2">
        <v>449.0</v>
      </c>
      <c r="E207" s="2">
        <v>599.0</v>
      </c>
      <c r="F207" s="3">
        <f t="shared" si="2"/>
        <v>0.2504173623</v>
      </c>
      <c r="G207" s="4">
        <f>IFERROR(__xludf.DUMMYFUNCTION("GOOGLEFINANCE(""CURRENCY:INRBRL"")*D207"),26.84908491748)</f>
        <v>26.84908492</v>
      </c>
      <c r="H207" s="1">
        <v>4.51</v>
      </c>
      <c r="I207" s="1">
        <v>3231.0</v>
      </c>
      <c r="J207" s="1" t="s">
        <v>835</v>
      </c>
      <c r="K207" s="5" t="s">
        <v>836</v>
      </c>
    </row>
    <row r="208">
      <c r="A208" s="1" t="s">
        <v>837</v>
      </c>
      <c r="B208" s="1" t="s">
        <v>838</v>
      </c>
      <c r="C208" s="1" t="s">
        <v>79</v>
      </c>
      <c r="D208" s="2">
        <v>11990.0</v>
      </c>
      <c r="E208" s="2">
        <v>31990.0</v>
      </c>
      <c r="F208" s="3">
        <f t="shared" si="2"/>
        <v>0.6251953736</v>
      </c>
      <c r="G208" s="4">
        <f>IFERROR(__xludf.DUMMYFUNCTION("GOOGLEFINANCE(""CURRENCY:INRBRL"")*D208"),716.9722230748)</f>
        <v>716.9722231</v>
      </c>
      <c r="H208" s="1">
        <v>4.51</v>
      </c>
      <c r="I208" s="1">
        <v>64.0</v>
      </c>
      <c r="J208" s="1" t="s">
        <v>327</v>
      </c>
      <c r="K208" s="5" t="s">
        <v>839</v>
      </c>
    </row>
    <row r="209">
      <c r="A209" s="1" t="s">
        <v>840</v>
      </c>
      <c r="B209" s="1" t="s">
        <v>841</v>
      </c>
      <c r="C209" s="1" t="s">
        <v>13</v>
      </c>
      <c r="D209" s="2">
        <v>350.0</v>
      </c>
      <c r="E209" s="2">
        <v>599.0</v>
      </c>
      <c r="F209" s="3">
        <f t="shared" si="2"/>
        <v>0.4156928214</v>
      </c>
      <c r="G209" s="4">
        <f>IFERROR(__xludf.DUMMYFUNCTION("GOOGLEFINANCE(""CURRENCY:INRBRL"")*D209"),20.929130781999998)</f>
        <v>20.92913078</v>
      </c>
      <c r="H209" s="1">
        <v>4.51</v>
      </c>
      <c r="I209" s="1">
        <v>8314.0</v>
      </c>
      <c r="J209" s="1" t="s">
        <v>842</v>
      </c>
      <c r="K209" s="5" t="s">
        <v>843</v>
      </c>
    </row>
    <row r="210">
      <c r="A210" s="1" t="s">
        <v>844</v>
      </c>
      <c r="B210" s="1" t="s">
        <v>845</v>
      </c>
      <c r="C210" s="1" t="s">
        <v>13</v>
      </c>
      <c r="D210" s="2">
        <v>252.0</v>
      </c>
      <c r="E210" s="2">
        <v>999.0</v>
      </c>
      <c r="F210" s="3">
        <f t="shared" si="2"/>
        <v>0.7477477477</v>
      </c>
      <c r="G210" s="4">
        <f>IFERROR(__xludf.DUMMYFUNCTION("GOOGLEFINANCE(""CURRENCY:INRBRL"")*D210"),15.068974163039998)</f>
        <v>15.06897416</v>
      </c>
      <c r="H210" s="1">
        <v>4.51</v>
      </c>
      <c r="I210" s="1">
        <v>2249.0</v>
      </c>
      <c r="J210" s="1" t="s">
        <v>846</v>
      </c>
      <c r="K210" s="5" t="s">
        <v>847</v>
      </c>
    </row>
    <row r="211">
      <c r="A211" s="1" t="s">
        <v>848</v>
      </c>
      <c r="B211" s="1" t="s">
        <v>849</v>
      </c>
      <c r="C211" s="1" t="s">
        <v>208</v>
      </c>
      <c r="D211" s="2">
        <v>204.0</v>
      </c>
      <c r="E211" s="2">
        <v>599.0</v>
      </c>
      <c r="F211" s="3">
        <f t="shared" si="2"/>
        <v>0.6594323873</v>
      </c>
      <c r="G211" s="4">
        <f>IFERROR(__xludf.DUMMYFUNCTION("GOOGLEFINANCE(""CURRENCY:INRBRL"")*D211"),12.198693370079999)</f>
        <v>12.19869337</v>
      </c>
      <c r="H211" s="1">
        <v>4.51</v>
      </c>
      <c r="I211" s="1">
        <v>339.0</v>
      </c>
      <c r="J211" s="1" t="s">
        <v>850</v>
      </c>
      <c r="K211" s="5" t="s">
        <v>851</v>
      </c>
    </row>
    <row r="212">
      <c r="A212" s="1" t="s">
        <v>852</v>
      </c>
      <c r="B212" s="1" t="s">
        <v>853</v>
      </c>
      <c r="C212" s="1" t="s">
        <v>645</v>
      </c>
      <c r="D212" s="2">
        <v>6490.0</v>
      </c>
      <c r="E212" s="2">
        <v>9990.0</v>
      </c>
      <c r="F212" s="3">
        <f t="shared" si="2"/>
        <v>0.3503503504</v>
      </c>
      <c r="G212" s="4">
        <f>IFERROR(__xludf.DUMMYFUNCTION("GOOGLEFINANCE(""CURRENCY:INRBRL"")*D212"),388.0858822148)</f>
        <v>388.0858822</v>
      </c>
      <c r="H212" s="1">
        <v>4.51</v>
      </c>
      <c r="I212" s="1">
        <v>27.0</v>
      </c>
      <c r="J212" s="1" t="s">
        <v>854</v>
      </c>
      <c r="K212" s="5" t="s">
        <v>855</v>
      </c>
    </row>
    <row r="213">
      <c r="A213" s="1" t="s">
        <v>856</v>
      </c>
      <c r="B213" s="1" t="s">
        <v>857</v>
      </c>
      <c r="C213" s="1" t="s">
        <v>208</v>
      </c>
      <c r="D213" s="2">
        <v>235.0</v>
      </c>
      <c r="E213" s="2">
        <v>599.0</v>
      </c>
      <c r="F213" s="3">
        <f t="shared" si="2"/>
        <v>0.6076794658</v>
      </c>
      <c r="G213" s="4">
        <f>IFERROR(__xludf.DUMMYFUNCTION("GOOGLEFINANCE(""CURRENCY:INRBRL"")*D213"),14.052416382199999)</f>
        <v>14.05241638</v>
      </c>
      <c r="H213" s="1">
        <v>4.51</v>
      </c>
      <c r="I213" s="1">
        <v>197.0</v>
      </c>
      <c r="J213" s="1" t="s">
        <v>858</v>
      </c>
      <c r="K213" s="5" t="s">
        <v>859</v>
      </c>
    </row>
    <row r="214">
      <c r="A214" s="1" t="s">
        <v>860</v>
      </c>
      <c r="B214" s="1" t="s">
        <v>861</v>
      </c>
      <c r="C214" s="1" t="s">
        <v>13</v>
      </c>
      <c r="D214" s="2">
        <v>299.0</v>
      </c>
      <c r="E214" s="2">
        <v>800.0</v>
      </c>
      <c r="F214" s="3">
        <f t="shared" si="2"/>
        <v>0.62625</v>
      </c>
      <c r="G214" s="4">
        <f>IFERROR(__xludf.DUMMYFUNCTION("GOOGLEFINANCE(""CURRENCY:INRBRL"")*D214"),17.87945743948)</f>
        <v>17.87945744</v>
      </c>
      <c r="H214" s="1">
        <v>4.51</v>
      </c>
      <c r="I214" s="1">
        <v>74977.0</v>
      </c>
      <c r="J214" s="1" t="s">
        <v>862</v>
      </c>
      <c r="K214" s="5" t="s">
        <v>863</v>
      </c>
    </row>
    <row r="215">
      <c r="A215" s="1" t="s">
        <v>864</v>
      </c>
      <c r="B215" s="1" t="s">
        <v>865</v>
      </c>
      <c r="C215" s="1" t="s">
        <v>13</v>
      </c>
      <c r="D215" s="2">
        <v>799.0</v>
      </c>
      <c r="E215" s="2">
        <v>1999.0</v>
      </c>
      <c r="F215" s="3">
        <f t="shared" si="2"/>
        <v>0.6003001501</v>
      </c>
      <c r="G215" s="4">
        <f>IFERROR(__xludf.DUMMYFUNCTION("GOOGLEFINANCE(""CURRENCY:INRBRL"")*D215"),47.77821569948)</f>
        <v>47.7782157</v>
      </c>
      <c r="H215" s="1">
        <v>4.51</v>
      </c>
      <c r="I215" s="1">
        <v>8583.0</v>
      </c>
      <c r="J215" s="1" t="s">
        <v>866</v>
      </c>
      <c r="K215" s="5" t="s">
        <v>867</v>
      </c>
    </row>
    <row r="216">
      <c r="A216" s="1" t="s">
        <v>868</v>
      </c>
      <c r="B216" s="1" t="s">
        <v>869</v>
      </c>
      <c r="C216" s="1" t="s">
        <v>208</v>
      </c>
      <c r="D216" s="2">
        <v>299.0</v>
      </c>
      <c r="E216" s="2">
        <v>999.0</v>
      </c>
      <c r="F216" s="3">
        <f t="shared" si="2"/>
        <v>0.7007007007</v>
      </c>
      <c r="G216" s="4">
        <f>IFERROR(__xludf.DUMMYFUNCTION("GOOGLEFINANCE(""CURRENCY:INRBRL"")*D216"),17.87945743948)</f>
        <v>17.87945744</v>
      </c>
      <c r="H216" s="1">
        <v>4.51</v>
      </c>
      <c r="I216" s="1">
        <v>928.0</v>
      </c>
      <c r="J216" s="1" t="s">
        <v>870</v>
      </c>
      <c r="K216" s="5" t="s">
        <v>871</v>
      </c>
    </row>
    <row r="217">
      <c r="A217" s="1" t="s">
        <v>872</v>
      </c>
      <c r="B217" s="1" t="s">
        <v>873</v>
      </c>
      <c r="C217" s="1" t="s">
        <v>229</v>
      </c>
      <c r="D217" s="2">
        <v>6999.0</v>
      </c>
      <c r="E217" s="2">
        <v>16990.0</v>
      </c>
      <c r="F217" s="3">
        <f t="shared" si="2"/>
        <v>0.5880517952</v>
      </c>
      <c r="G217" s="4">
        <f>IFERROR(__xludf.DUMMYFUNCTION("GOOGLEFINANCE(""CURRENCY:INRBRL"")*D217"),418.52281812347996)</f>
        <v>418.5228181</v>
      </c>
      <c r="H217" s="1">
        <v>4.51</v>
      </c>
      <c r="I217" s="1">
        <v>110.0</v>
      </c>
      <c r="J217" s="1" t="s">
        <v>874</v>
      </c>
      <c r="K217" s="5" t="s">
        <v>875</v>
      </c>
    </row>
    <row r="218">
      <c r="A218" s="1" t="s">
        <v>876</v>
      </c>
      <c r="B218" s="1" t="s">
        <v>877</v>
      </c>
      <c r="C218" s="1" t="s">
        <v>79</v>
      </c>
      <c r="D218" s="2">
        <v>42999.0</v>
      </c>
      <c r="E218" s="2">
        <v>59999.0</v>
      </c>
      <c r="F218" s="3">
        <f t="shared" si="2"/>
        <v>0.2833380556</v>
      </c>
      <c r="G218" s="4">
        <f>IFERROR(__xludf.DUMMYFUNCTION("GOOGLEFINANCE(""CURRENCY:INRBRL"")*D218"),2571.23341284348)</f>
        <v>2571.233413</v>
      </c>
      <c r="H218" s="1">
        <v>4.51</v>
      </c>
      <c r="I218" s="1">
        <v>6753.0</v>
      </c>
      <c r="J218" s="1" t="s">
        <v>878</v>
      </c>
      <c r="K218" s="5" t="s">
        <v>879</v>
      </c>
    </row>
    <row r="219">
      <c r="A219" s="1" t="s">
        <v>880</v>
      </c>
      <c r="B219" s="1" t="s">
        <v>881</v>
      </c>
      <c r="C219" s="1" t="s">
        <v>63</v>
      </c>
      <c r="D219" s="2">
        <v>173.0</v>
      </c>
      <c r="E219" s="2">
        <v>999.0</v>
      </c>
      <c r="F219" s="3">
        <f t="shared" si="2"/>
        <v>0.8268268268</v>
      </c>
      <c r="G219" s="4">
        <f>IFERROR(__xludf.DUMMYFUNCTION("GOOGLEFINANCE(""CURRENCY:INRBRL"")*D219"),10.34497035796)</f>
        <v>10.34497036</v>
      </c>
      <c r="H219" s="1">
        <v>4.51</v>
      </c>
      <c r="I219" s="1">
        <v>1237.0</v>
      </c>
      <c r="J219" s="1" t="s">
        <v>882</v>
      </c>
      <c r="K219" s="5" t="s">
        <v>883</v>
      </c>
    </row>
    <row r="220">
      <c r="A220" s="1" t="s">
        <v>884</v>
      </c>
      <c r="B220" s="1" t="s">
        <v>885</v>
      </c>
      <c r="C220" s="1" t="s">
        <v>886</v>
      </c>
      <c r="D220" s="2">
        <v>209.0</v>
      </c>
      <c r="E220" s="2">
        <v>600.0</v>
      </c>
      <c r="F220" s="3">
        <f t="shared" si="2"/>
        <v>0.6516666667</v>
      </c>
      <c r="G220" s="4">
        <f>IFERROR(__xludf.DUMMYFUNCTION("GOOGLEFINANCE(""CURRENCY:INRBRL"")*D220"),12.49768095268)</f>
        <v>12.49768095</v>
      </c>
      <c r="H220" s="1">
        <v>4.51</v>
      </c>
      <c r="I220" s="1">
        <v>18872.0</v>
      </c>
      <c r="J220" s="1" t="s">
        <v>887</v>
      </c>
      <c r="K220" s="5" t="s">
        <v>888</v>
      </c>
    </row>
    <row r="221">
      <c r="A221" s="1" t="s">
        <v>889</v>
      </c>
      <c r="B221" s="1" t="s">
        <v>890</v>
      </c>
      <c r="C221" s="1" t="s">
        <v>13</v>
      </c>
      <c r="D221" s="2">
        <v>848.99</v>
      </c>
      <c r="E221" s="2">
        <v>1490.0</v>
      </c>
      <c r="F221" s="3">
        <f t="shared" si="2"/>
        <v>0.4302080537</v>
      </c>
      <c r="G221" s="4">
        <f>IFERROR(__xludf.DUMMYFUNCTION("GOOGLEFINANCE(""CURRENCY:INRBRL"")*D221"),50.767493550314796)</f>
        <v>50.76749355</v>
      </c>
      <c r="H221" s="1">
        <v>4.51</v>
      </c>
      <c r="I221" s="1">
        <v>356.0</v>
      </c>
      <c r="J221" s="1" t="s">
        <v>891</v>
      </c>
      <c r="K221" s="5" t="s">
        <v>892</v>
      </c>
    </row>
    <row r="222">
      <c r="A222" s="1" t="s">
        <v>893</v>
      </c>
      <c r="B222" s="1" t="s">
        <v>894</v>
      </c>
      <c r="C222" s="1" t="s">
        <v>13</v>
      </c>
      <c r="D222" s="2">
        <v>649.0</v>
      </c>
      <c r="E222" s="2">
        <v>1999.0</v>
      </c>
      <c r="F222" s="3">
        <f t="shared" si="2"/>
        <v>0.6753376688</v>
      </c>
      <c r="G222" s="4">
        <f>IFERROR(__xludf.DUMMYFUNCTION("GOOGLEFINANCE(""CURRENCY:INRBRL"")*D222"),38.80858822148)</f>
        <v>38.80858822</v>
      </c>
      <c r="H222" s="1">
        <v>4.51</v>
      </c>
      <c r="I222" s="1">
        <v>24269.0</v>
      </c>
      <c r="J222" s="1" t="s">
        <v>895</v>
      </c>
      <c r="K222" s="5" t="s">
        <v>896</v>
      </c>
    </row>
    <row r="223">
      <c r="A223" s="1" t="s">
        <v>897</v>
      </c>
      <c r="B223" s="1" t="s">
        <v>898</v>
      </c>
      <c r="C223" s="1" t="s">
        <v>208</v>
      </c>
      <c r="D223" s="2">
        <v>299.0</v>
      </c>
      <c r="E223" s="2">
        <v>899.0</v>
      </c>
      <c r="F223" s="3">
        <f t="shared" si="2"/>
        <v>0.6674082314</v>
      </c>
      <c r="G223" s="4">
        <f>IFERROR(__xludf.DUMMYFUNCTION("GOOGLEFINANCE(""CURRENCY:INRBRL"")*D223"),17.87945743948)</f>
        <v>17.87945744</v>
      </c>
      <c r="H223" s="1">
        <v>4.51</v>
      </c>
      <c r="I223" s="1">
        <v>425.0</v>
      </c>
      <c r="J223" s="1" t="s">
        <v>899</v>
      </c>
      <c r="K223" s="5" t="s">
        <v>900</v>
      </c>
    </row>
    <row r="224">
      <c r="A224" s="1" t="s">
        <v>901</v>
      </c>
      <c r="B224" s="1" t="s">
        <v>902</v>
      </c>
      <c r="C224" s="1" t="s">
        <v>290</v>
      </c>
      <c r="D224" s="2">
        <v>399.0</v>
      </c>
      <c r="E224" s="2">
        <v>799.0</v>
      </c>
      <c r="F224" s="3">
        <f t="shared" si="2"/>
        <v>0.5006257822</v>
      </c>
      <c r="G224" s="4">
        <f>IFERROR(__xludf.DUMMYFUNCTION("GOOGLEFINANCE(""CURRENCY:INRBRL"")*D224"),23.859209091479997)</f>
        <v>23.85920909</v>
      </c>
      <c r="H224" s="1">
        <v>4.51</v>
      </c>
      <c r="I224" s="1">
        <v>1161.0</v>
      </c>
      <c r="J224" s="1" t="s">
        <v>903</v>
      </c>
      <c r="K224" s="5" t="s">
        <v>904</v>
      </c>
    </row>
    <row r="225">
      <c r="A225" s="1" t="s">
        <v>905</v>
      </c>
      <c r="B225" s="1" t="s">
        <v>906</v>
      </c>
      <c r="C225" s="1" t="s">
        <v>13</v>
      </c>
      <c r="D225" s="2">
        <v>249.0</v>
      </c>
      <c r="E225" s="2">
        <v>499.0</v>
      </c>
      <c r="F225" s="3">
        <f t="shared" si="2"/>
        <v>0.501002004</v>
      </c>
      <c r="G225" s="4">
        <f>IFERROR(__xludf.DUMMYFUNCTION("GOOGLEFINANCE(""CURRENCY:INRBRL"")*D225"),14.889581613479999)</f>
        <v>14.88958161</v>
      </c>
      <c r="H225" s="1">
        <v>4.51</v>
      </c>
      <c r="I225" s="1">
        <v>1508.0</v>
      </c>
      <c r="J225" s="1" t="s">
        <v>907</v>
      </c>
      <c r="K225" s="5" t="s">
        <v>908</v>
      </c>
    </row>
    <row r="226">
      <c r="A226" s="1" t="s">
        <v>909</v>
      </c>
      <c r="B226" s="1" t="s">
        <v>910</v>
      </c>
      <c r="C226" s="1" t="s">
        <v>911</v>
      </c>
      <c r="D226" s="2">
        <v>1249.0</v>
      </c>
      <c r="E226" s="2">
        <v>2299.0</v>
      </c>
      <c r="F226" s="3">
        <f t="shared" si="2"/>
        <v>0.4567203132</v>
      </c>
      <c r="G226" s="4">
        <f>IFERROR(__xludf.DUMMYFUNCTION("GOOGLEFINANCE(""CURRENCY:INRBRL"")*D226"),74.68709813347999)</f>
        <v>74.68709813</v>
      </c>
      <c r="H226" s="1">
        <v>4.51</v>
      </c>
      <c r="I226" s="1">
        <v>7636.0</v>
      </c>
      <c r="J226" s="1" t="s">
        <v>912</v>
      </c>
      <c r="K226" s="5" t="s">
        <v>913</v>
      </c>
    </row>
    <row r="227">
      <c r="A227" s="1" t="s">
        <v>914</v>
      </c>
      <c r="B227" s="1" t="s">
        <v>915</v>
      </c>
      <c r="C227" s="1" t="s">
        <v>208</v>
      </c>
      <c r="D227" s="2">
        <v>213.0</v>
      </c>
      <c r="E227" s="2">
        <v>499.0</v>
      </c>
      <c r="F227" s="3">
        <f t="shared" si="2"/>
        <v>0.5731462926</v>
      </c>
      <c r="G227" s="4">
        <f>IFERROR(__xludf.DUMMYFUNCTION("GOOGLEFINANCE(""CURRENCY:INRBRL"")*D227"),12.736871018759999)</f>
        <v>12.73687102</v>
      </c>
      <c r="H227" s="1">
        <v>4.51</v>
      </c>
      <c r="I227" s="1">
        <v>246.0</v>
      </c>
      <c r="J227" s="1" t="s">
        <v>916</v>
      </c>
      <c r="K227" s="5" t="s">
        <v>917</v>
      </c>
    </row>
    <row r="228">
      <c r="A228" s="1" t="s">
        <v>918</v>
      </c>
      <c r="B228" s="1" t="s">
        <v>919</v>
      </c>
      <c r="C228" s="1" t="s">
        <v>208</v>
      </c>
      <c r="D228" s="2">
        <v>209.0</v>
      </c>
      <c r="E228" s="2">
        <v>499.0</v>
      </c>
      <c r="F228" s="3">
        <f t="shared" si="2"/>
        <v>0.5811623246</v>
      </c>
      <c r="G228" s="4">
        <f>IFERROR(__xludf.DUMMYFUNCTION("GOOGLEFINANCE(""CURRENCY:INRBRL"")*D228"),12.49768095268)</f>
        <v>12.49768095</v>
      </c>
      <c r="H228" s="1">
        <v>4.51</v>
      </c>
      <c r="I228" s="1">
        <v>479.0</v>
      </c>
      <c r="J228" s="1" t="s">
        <v>920</v>
      </c>
      <c r="K228" s="5" t="s">
        <v>921</v>
      </c>
    </row>
    <row r="229">
      <c r="A229" s="1" t="s">
        <v>922</v>
      </c>
      <c r="B229" s="1" t="s">
        <v>923</v>
      </c>
      <c r="C229" s="1" t="s">
        <v>63</v>
      </c>
      <c r="D229" s="2">
        <v>598.0</v>
      </c>
      <c r="E229" s="2">
        <v>4999.0</v>
      </c>
      <c r="F229" s="3">
        <f t="shared" si="2"/>
        <v>0.8803760752</v>
      </c>
      <c r="G229" s="4">
        <f>IFERROR(__xludf.DUMMYFUNCTION("GOOGLEFINANCE(""CURRENCY:INRBRL"")*D229"),35.75891487896)</f>
        <v>35.75891488</v>
      </c>
      <c r="H229" s="1">
        <v>4.51</v>
      </c>
      <c r="I229" s="1">
        <v>910.0</v>
      </c>
      <c r="J229" s="1" t="s">
        <v>924</v>
      </c>
      <c r="K229" s="5" t="s">
        <v>925</v>
      </c>
    </row>
    <row r="230">
      <c r="A230" s="1" t="s">
        <v>926</v>
      </c>
      <c r="B230" s="1" t="s">
        <v>927</v>
      </c>
      <c r="C230" s="1" t="s">
        <v>13</v>
      </c>
      <c r="D230" s="2">
        <v>799.0</v>
      </c>
      <c r="E230" s="2">
        <v>1749.0</v>
      </c>
      <c r="F230" s="3">
        <f t="shared" si="2"/>
        <v>0.5431675243</v>
      </c>
      <c r="G230" s="4">
        <f>IFERROR(__xludf.DUMMYFUNCTION("GOOGLEFINANCE(""CURRENCY:INRBRL"")*D230"),47.77821569948)</f>
        <v>47.7782157</v>
      </c>
      <c r="H230" s="1">
        <v>4.51</v>
      </c>
      <c r="I230" s="1">
        <v>5626.0</v>
      </c>
      <c r="J230" s="1" t="s">
        <v>928</v>
      </c>
      <c r="K230" s="5" t="s">
        <v>929</v>
      </c>
    </row>
    <row r="231">
      <c r="A231" s="1" t="s">
        <v>930</v>
      </c>
      <c r="B231" s="1" t="s">
        <v>931</v>
      </c>
      <c r="C231" s="1" t="s">
        <v>13</v>
      </c>
      <c r="D231" s="2">
        <v>159.0</v>
      </c>
      <c r="E231" s="2">
        <v>595.0</v>
      </c>
      <c r="F231" s="3">
        <f t="shared" si="2"/>
        <v>0.7327731092</v>
      </c>
      <c r="G231" s="4">
        <f>IFERROR(__xludf.DUMMYFUNCTION("GOOGLEFINANCE(""CURRENCY:INRBRL"")*D231"),9.50780512668)</f>
        <v>9.507805127</v>
      </c>
      <c r="H231" s="1">
        <v>4.51</v>
      </c>
      <c r="I231" s="1">
        <v>14184.0</v>
      </c>
      <c r="J231" s="1" t="s">
        <v>932</v>
      </c>
      <c r="K231" s="5" t="s">
        <v>933</v>
      </c>
    </row>
    <row r="232">
      <c r="A232" s="1" t="s">
        <v>934</v>
      </c>
      <c r="B232" s="1" t="s">
        <v>935</v>
      </c>
      <c r="C232" s="1" t="s">
        <v>936</v>
      </c>
      <c r="D232" s="2">
        <v>499.0</v>
      </c>
      <c r="E232" s="2">
        <v>1100.0</v>
      </c>
      <c r="F232" s="3">
        <f t="shared" si="2"/>
        <v>0.5463636364</v>
      </c>
      <c r="G232" s="4">
        <f>IFERROR(__xludf.DUMMYFUNCTION("GOOGLEFINANCE(""CURRENCY:INRBRL"")*D232"),29.838960743479998)</f>
        <v>29.83896074</v>
      </c>
      <c r="H232" s="1">
        <v>4.51</v>
      </c>
      <c r="I232" s="1">
        <v>25177.0</v>
      </c>
      <c r="J232" s="1" t="s">
        <v>937</v>
      </c>
      <c r="K232" s="5" t="s">
        <v>938</v>
      </c>
    </row>
    <row r="233">
      <c r="A233" s="1" t="s">
        <v>939</v>
      </c>
      <c r="B233" s="1" t="s">
        <v>940</v>
      </c>
      <c r="C233" s="1" t="s">
        <v>79</v>
      </c>
      <c r="D233" s="2">
        <v>31999.0</v>
      </c>
      <c r="E233" s="2">
        <v>49999.0</v>
      </c>
      <c r="F233" s="3">
        <f t="shared" si="2"/>
        <v>0.3600072001</v>
      </c>
      <c r="G233" s="4">
        <f>IFERROR(__xludf.DUMMYFUNCTION("GOOGLEFINANCE(""CURRENCY:INRBRL"")*D233"),1913.46073112348)</f>
        <v>1913.460731</v>
      </c>
      <c r="H233" s="1">
        <v>4.51</v>
      </c>
      <c r="I233" s="1">
        <v>21252.0</v>
      </c>
      <c r="J233" s="1" t="s">
        <v>941</v>
      </c>
      <c r="K233" s="5" t="s">
        <v>942</v>
      </c>
    </row>
    <row r="234">
      <c r="A234" s="1" t="s">
        <v>943</v>
      </c>
      <c r="B234" s="1" t="s">
        <v>944</v>
      </c>
      <c r="C234" s="1" t="s">
        <v>79</v>
      </c>
      <c r="D234" s="2">
        <v>32990.0</v>
      </c>
      <c r="E234" s="2">
        <v>56790.0</v>
      </c>
      <c r="F234" s="3">
        <f t="shared" si="2"/>
        <v>0.4190878676</v>
      </c>
      <c r="G234" s="4">
        <f>IFERROR(__xludf.DUMMYFUNCTION("GOOGLEFINANCE(""CURRENCY:INRBRL"")*D234"),1972.7200699947998)</f>
        <v>1972.72007</v>
      </c>
      <c r="H234" s="1">
        <v>4.51</v>
      </c>
      <c r="I234" s="1">
        <v>567.0</v>
      </c>
      <c r="J234" s="1" t="s">
        <v>945</v>
      </c>
      <c r="K234" s="5" t="s">
        <v>946</v>
      </c>
    </row>
    <row r="235">
      <c r="A235" s="1" t="s">
        <v>947</v>
      </c>
      <c r="B235" s="1" t="s">
        <v>948</v>
      </c>
      <c r="C235" s="1" t="s">
        <v>208</v>
      </c>
      <c r="D235" s="2">
        <v>299.0</v>
      </c>
      <c r="E235" s="2">
        <v>1199.0</v>
      </c>
      <c r="F235" s="3">
        <f t="shared" si="2"/>
        <v>0.7506255213</v>
      </c>
      <c r="G235" s="4">
        <f>IFERROR(__xludf.DUMMYFUNCTION("GOOGLEFINANCE(""CURRENCY:INRBRL"")*D235"),17.87945743948)</f>
        <v>17.87945744</v>
      </c>
      <c r="H235" s="1">
        <v>4.51</v>
      </c>
      <c r="I235" s="1">
        <v>466.0</v>
      </c>
      <c r="J235" s="1" t="s">
        <v>949</v>
      </c>
      <c r="K235" s="5" t="s">
        <v>950</v>
      </c>
    </row>
    <row r="236">
      <c r="A236" s="1" t="s">
        <v>951</v>
      </c>
      <c r="B236" s="1" t="s">
        <v>952</v>
      </c>
      <c r="C236" s="1" t="s">
        <v>13</v>
      </c>
      <c r="D236" s="2">
        <v>128.31</v>
      </c>
      <c r="E236" s="2">
        <v>549.0</v>
      </c>
      <c r="F236" s="3">
        <f t="shared" si="2"/>
        <v>0.766284153</v>
      </c>
      <c r="G236" s="4">
        <f>IFERROR(__xludf.DUMMYFUNCTION("GOOGLEFINANCE(""CURRENCY:INRBRL"")*D236"),7.6726193446812)</f>
        <v>7.672619345</v>
      </c>
      <c r="H236" s="1">
        <v>4.51</v>
      </c>
      <c r="I236" s="1">
        <v>61.0</v>
      </c>
      <c r="J236" s="1" t="s">
        <v>796</v>
      </c>
      <c r="K236" s="5" t="s">
        <v>953</v>
      </c>
    </row>
    <row r="237">
      <c r="A237" s="1" t="s">
        <v>954</v>
      </c>
      <c r="B237" s="1" t="s">
        <v>955</v>
      </c>
      <c r="C237" s="1" t="s">
        <v>13</v>
      </c>
      <c r="D237" s="2">
        <v>599.0</v>
      </c>
      <c r="E237" s="2">
        <v>849.0</v>
      </c>
      <c r="F237" s="3">
        <f t="shared" si="2"/>
        <v>0.2944640754</v>
      </c>
      <c r="G237" s="4">
        <f>IFERROR(__xludf.DUMMYFUNCTION("GOOGLEFINANCE(""CURRENCY:INRBRL"")*D237"),35.81871239548)</f>
        <v>35.8187124</v>
      </c>
      <c r="H237" s="1">
        <v>4.51</v>
      </c>
      <c r="I237" s="1">
        <v>474.0</v>
      </c>
      <c r="J237" s="1" t="s">
        <v>674</v>
      </c>
      <c r="K237" s="5" t="s">
        <v>956</v>
      </c>
    </row>
    <row r="238">
      <c r="A238" s="1" t="s">
        <v>957</v>
      </c>
      <c r="B238" s="1" t="s">
        <v>958</v>
      </c>
      <c r="C238" s="1" t="s">
        <v>208</v>
      </c>
      <c r="D238" s="2">
        <v>399.0</v>
      </c>
      <c r="E238" s="2">
        <v>899.0</v>
      </c>
      <c r="F238" s="3">
        <f t="shared" si="2"/>
        <v>0.5561735261</v>
      </c>
      <c r="G238" s="4">
        <f>IFERROR(__xludf.DUMMYFUNCTION("GOOGLEFINANCE(""CURRENCY:INRBRL"")*D238"),23.859209091479997)</f>
        <v>23.85920909</v>
      </c>
      <c r="H238" s="1">
        <v>4.51</v>
      </c>
      <c r="I238" s="1">
        <v>431.0</v>
      </c>
      <c r="J238" s="1" t="s">
        <v>959</v>
      </c>
      <c r="K238" s="5" t="s">
        <v>960</v>
      </c>
    </row>
    <row r="239">
      <c r="A239" s="1" t="s">
        <v>961</v>
      </c>
      <c r="B239" s="1" t="s">
        <v>962</v>
      </c>
      <c r="C239" s="1" t="s">
        <v>13</v>
      </c>
      <c r="D239" s="2">
        <v>449.0</v>
      </c>
      <c r="E239" s="2">
        <v>1099.0</v>
      </c>
      <c r="F239" s="3">
        <f t="shared" si="2"/>
        <v>0.5914467698</v>
      </c>
      <c r="G239" s="4">
        <f>IFERROR(__xludf.DUMMYFUNCTION("GOOGLEFINANCE(""CURRENCY:INRBRL"")*D239"),26.84908491748)</f>
        <v>26.84908492</v>
      </c>
      <c r="H239" s="1">
        <v>4.51</v>
      </c>
      <c r="I239" s="1">
        <v>242.0</v>
      </c>
      <c r="J239" s="1" t="s">
        <v>963</v>
      </c>
      <c r="K239" s="5" t="s">
        <v>964</v>
      </c>
    </row>
    <row r="240">
      <c r="A240" s="1" t="s">
        <v>965</v>
      </c>
      <c r="B240" s="1" t="s">
        <v>966</v>
      </c>
      <c r="C240" s="1" t="s">
        <v>13</v>
      </c>
      <c r="D240" s="2">
        <v>254.0</v>
      </c>
      <c r="E240" s="2">
        <v>799.0</v>
      </c>
      <c r="F240" s="3">
        <f t="shared" si="2"/>
        <v>0.6821026283</v>
      </c>
      <c r="G240" s="4">
        <f>IFERROR(__xludf.DUMMYFUNCTION("GOOGLEFINANCE(""CURRENCY:INRBRL"")*D240"),15.18856919608)</f>
        <v>15.1885692</v>
      </c>
      <c r="H240" s="1">
        <v>4.51</v>
      </c>
      <c r="I240" s="1">
        <v>2905.0</v>
      </c>
      <c r="J240" s="1" t="s">
        <v>967</v>
      </c>
      <c r="K240" s="5" t="s">
        <v>968</v>
      </c>
    </row>
    <row r="241">
      <c r="A241" s="1" t="s">
        <v>969</v>
      </c>
      <c r="B241" s="1" t="s">
        <v>970</v>
      </c>
      <c r="C241" s="1" t="s">
        <v>971</v>
      </c>
      <c r="D241" s="2">
        <v>399.0</v>
      </c>
      <c r="E241" s="2">
        <v>795.0</v>
      </c>
      <c r="F241" s="3">
        <f t="shared" si="2"/>
        <v>0.4981132075</v>
      </c>
      <c r="G241" s="4">
        <f>IFERROR(__xludf.DUMMYFUNCTION("GOOGLEFINANCE(""CURRENCY:INRBRL"")*D241"),23.859209091479997)</f>
        <v>23.85920909</v>
      </c>
      <c r="H241" s="1">
        <v>4.51</v>
      </c>
      <c r="I241" s="1">
        <v>12091.0</v>
      </c>
      <c r="J241" s="1" t="s">
        <v>972</v>
      </c>
      <c r="K241" s="5" t="s">
        <v>973</v>
      </c>
    </row>
    <row r="242">
      <c r="A242" s="1" t="s">
        <v>974</v>
      </c>
      <c r="B242" s="1" t="s">
        <v>975</v>
      </c>
      <c r="C242" s="1" t="s">
        <v>13</v>
      </c>
      <c r="D242" s="2">
        <v>179.0</v>
      </c>
      <c r="E242" s="2">
        <v>399.0</v>
      </c>
      <c r="F242" s="3">
        <f t="shared" si="2"/>
        <v>0.5513784461</v>
      </c>
      <c r="G242" s="4">
        <f>IFERROR(__xludf.DUMMYFUNCTION("GOOGLEFINANCE(""CURRENCY:INRBRL"")*D242"),10.70375545708)</f>
        <v>10.70375546</v>
      </c>
      <c r="H242" s="1">
        <v>4.51</v>
      </c>
      <c r="I242" s="1">
        <v>1423.0</v>
      </c>
      <c r="J242" s="1" t="s">
        <v>323</v>
      </c>
      <c r="K242" s="5" t="s">
        <v>976</v>
      </c>
    </row>
    <row r="243">
      <c r="A243" s="1" t="s">
        <v>977</v>
      </c>
      <c r="B243" s="1" t="s">
        <v>978</v>
      </c>
      <c r="C243" s="1" t="s">
        <v>13</v>
      </c>
      <c r="D243" s="2">
        <v>339.0</v>
      </c>
      <c r="E243" s="2">
        <v>999.0</v>
      </c>
      <c r="F243" s="3">
        <f t="shared" si="2"/>
        <v>0.6606606607</v>
      </c>
      <c r="G243" s="4">
        <f>IFERROR(__xludf.DUMMYFUNCTION("GOOGLEFINANCE(""CURRENCY:INRBRL"")*D243"),20.27135810028)</f>
        <v>20.2713581</v>
      </c>
      <c r="H243" s="1">
        <v>4.51</v>
      </c>
      <c r="I243" s="1">
        <v>6255.0</v>
      </c>
      <c r="J243" s="1" t="s">
        <v>662</v>
      </c>
      <c r="K243" s="5" t="s">
        <v>979</v>
      </c>
    </row>
    <row r="244">
      <c r="A244" s="1" t="s">
        <v>980</v>
      </c>
      <c r="B244" s="1" t="s">
        <v>981</v>
      </c>
      <c r="C244" s="1" t="s">
        <v>290</v>
      </c>
      <c r="D244" s="2">
        <v>399.0</v>
      </c>
      <c r="E244" s="2">
        <v>999.0</v>
      </c>
      <c r="F244" s="3">
        <f t="shared" si="2"/>
        <v>0.6006006006</v>
      </c>
      <c r="G244" s="4">
        <f>IFERROR(__xludf.DUMMYFUNCTION("GOOGLEFINANCE(""CURRENCY:INRBRL"")*D244"),23.859209091479997)</f>
        <v>23.85920909</v>
      </c>
      <c r="H244" s="1">
        <v>4.51</v>
      </c>
      <c r="I244" s="1">
        <v>1236.0</v>
      </c>
      <c r="J244" s="1" t="s">
        <v>982</v>
      </c>
      <c r="K244" s="5" t="s">
        <v>983</v>
      </c>
    </row>
    <row r="245">
      <c r="A245" s="1" t="s">
        <v>984</v>
      </c>
      <c r="B245" s="1" t="s">
        <v>985</v>
      </c>
      <c r="C245" s="1" t="s">
        <v>208</v>
      </c>
      <c r="D245" s="2">
        <v>199.0</v>
      </c>
      <c r="E245" s="2">
        <v>399.0</v>
      </c>
      <c r="F245" s="3">
        <f t="shared" si="2"/>
        <v>0.5012531328</v>
      </c>
      <c r="G245" s="4">
        <f>IFERROR(__xludf.DUMMYFUNCTION("GOOGLEFINANCE(""CURRENCY:INRBRL"")*D245"),11.899705787479999)</f>
        <v>11.89970579</v>
      </c>
      <c r="H245" s="1">
        <v>4.51</v>
      </c>
      <c r="I245" s="1">
        <v>1335.0</v>
      </c>
      <c r="J245" s="1" t="s">
        <v>986</v>
      </c>
      <c r="K245" s="5" t="s">
        <v>987</v>
      </c>
    </row>
    <row r="246">
      <c r="A246" s="1" t="s">
        <v>988</v>
      </c>
      <c r="B246" s="1" t="s">
        <v>989</v>
      </c>
      <c r="C246" s="1" t="s">
        <v>208</v>
      </c>
      <c r="D246" s="2">
        <v>349.0</v>
      </c>
      <c r="E246" s="2">
        <v>1999.0</v>
      </c>
      <c r="F246" s="3">
        <f t="shared" si="2"/>
        <v>0.8254127064</v>
      </c>
      <c r="G246" s="4">
        <f>IFERROR(__xludf.DUMMYFUNCTION("GOOGLEFINANCE(""CURRENCY:INRBRL"")*D246"),20.869333265479998)</f>
        <v>20.86933327</v>
      </c>
      <c r="H246" s="1">
        <v>4.51</v>
      </c>
      <c r="I246" s="1">
        <v>197.0</v>
      </c>
      <c r="J246" s="1" t="s">
        <v>990</v>
      </c>
      <c r="K246" s="5" t="s">
        <v>991</v>
      </c>
    </row>
    <row r="247">
      <c r="A247" s="1" t="s">
        <v>992</v>
      </c>
      <c r="B247" s="1" t="s">
        <v>993</v>
      </c>
      <c r="C247" s="1" t="s">
        <v>13</v>
      </c>
      <c r="D247" s="2">
        <v>299.0</v>
      </c>
      <c r="E247" s="2">
        <v>798.0</v>
      </c>
      <c r="F247" s="3">
        <f t="shared" si="2"/>
        <v>0.6253132832</v>
      </c>
      <c r="G247" s="4">
        <f>IFERROR(__xludf.DUMMYFUNCTION("GOOGLEFINANCE(""CURRENCY:INRBRL"")*D247"),17.87945743948)</f>
        <v>17.87945744</v>
      </c>
      <c r="H247" s="1">
        <v>4.51</v>
      </c>
      <c r="I247" s="1">
        <v>28791.0</v>
      </c>
      <c r="J247" s="1" t="s">
        <v>994</v>
      </c>
      <c r="K247" s="5" t="s">
        <v>995</v>
      </c>
    </row>
    <row r="248">
      <c r="A248" s="1" t="s">
        <v>996</v>
      </c>
      <c r="B248" s="1" t="s">
        <v>997</v>
      </c>
      <c r="C248" s="1" t="s">
        <v>13</v>
      </c>
      <c r="D248" s="2">
        <v>89.0</v>
      </c>
      <c r="E248" s="2">
        <v>800.0</v>
      </c>
      <c r="F248" s="3">
        <f t="shared" si="2"/>
        <v>0.88875</v>
      </c>
      <c r="G248" s="4">
        <f>IFERROR(__xludf.DUMMYFUNCTION("GOOGLEFINANCE(""CURRENCY:INRBRL"")*D248"),5.32197897028)</f>
        <v>5.32197897</v>
      </c>
      <c r="H248" s="1">
        <v>4.51</v>
      </c>
      <c r="I248" s="1">
        <v>1075.0</v>
      </c>
      <c r="J248" s="1" t="s">
        <v>998</v>
      </c>
      <c r="K248" s="5" t="s">
        <v>999</v>
      </c>
    </row>
    <row r="249">
      <c r="A249" s="1" t="s">
        <v>1000</v>
      </c>
      <c r="B249" s="1" t="s">
        <v>1001</v>
      </c>
      <c r="C249" s="1" t="s">
        <v>13</v>
      </c>
      <c r="D249" s="2">
        <v>549.0</v>
      </c>
      <c r="E249" s="2">
        <v>995.0</v>
      </c>
      <c r="F249" s="3">
        <f t="shared" si="2"/>
        <v>0.448241206</v>
      </c>
      <c r="G249" s="4">
        <f>IFERROR(__xludf.DUMMYFUNCTION("GOOGLEFINANCE(""CURRENCY:INRBRL"")*D249"),32.828836569479996)</f>
        <v>32.82883657</v>
      </c>
      <c r="H249" s="1">
        <v>4.51</v>
      </c>
      <c r="I249" s="1">
        <v>29746.0</v>
      </c>
      <c r="J249" s="1" t="s">
        <v>1002</v>
      </c>
      <c r="K249" s="5" t="s">
        <v>1003</v>
      </c>
    </row>
    <row r="250">
      <c r="A250" s="1" t="s">
        <v>1004</v>
      </c>
      <c r="B250" s="1" t="s">
        <v>1005</v>
      </c>
      <c r="C250" s="1" t="s">
        <v>13</v>
      </c>
      <c r="D250" s="2">
        <v>129.0</v>
      </c>
      <c r="E250" s="2">
        <v>1000.0</v>
      </c>
      <c r="F250" s="3">
        <f t="shared" si="2"/>
        <v>0.871</v>
      </c>
      <c r="G250" s="4">
        <f>IFERROR(__xludf.DUMMYFUNCTION("GOOGLEFINANCE(""CURRENCY:INRBRL"")*D250"),7.713879631079999)</f>
        <v>7.713879631</v>
      </c>
      <c r="H250" s="1">
        <v>4.51</v>
      </c>
      <c r="I250" s="1">
        <v>295.0</v>
      </c>
      <c r="J250" s="1" t="s">
        <v>1006</v>
      </c>
      <c r="K250" s="5" t="s">
        <v>1007</v>
      </c>
    </row>
    <row r="251">
      <c r="A251" s="1" t="s">
        <v>1008</v>
      </c>
      <c r="B251" s="1" t="s">
        <v>1009</v>
      </c>
      <c r="C251" s="1" t="s">
        <v>79</v>
      </c>
      <c r="D251" s="2">
        <v>77990.0</v>
      </c>
      <c r="E251" s="2">
        <v>139900.0</v>
      </c>
      <c r="F251" s="3">
        <f t="shared" si="2"/>
        <v>0.4425303788</v>
      </c>
      <c r="G251" s="4">
        <f>IFERROR(__xludf.DUMMYFUNCTION("GOOGLEFINANCE(""CURRENCY:INRBRL"")*D251"),4663.6083133948)</f>
        <v>4663.608313</v>
      </c>
      <c r="H251" s="1">
        <v>4.51</v>
      </c>
      <c r="I251" s="1">
        <v>5935.0</v>
      </c>
      <c r="J251" s="1" t="s">
        <v>1010</v>
      </c>
      <c r="K251" s="5" t="s">
        <v>1011</v>
      </c>
    </row>
    <row r="252">
      <c r="A252" s="1" t="s">
        <v>1012</v>
      </c>
      <c r="B252" s="1" t="s">
        <v>1013</v>
      </c>
      <c r="C252" s="1" t="s">
        <v>208</v>
      </c>
      <c r="D252" s="2">
        <v>349.0</v>
      </c>
      <c r="E252" s="2">
        <v>799.0</v>
      </c>
      <c r="F252" s="3">
        <f t="shared" si="2"/>
        <v>0.563204005</v>
      </c>
      <c r="G252" s="4">
        <f>IFERROR(__xludf.DUMMYFUNCTION("GOOGLEFINANCE(""CURRENCY:INRBRL"")*D252"),20.869333265479998)</f>
        <v>20.86933327</v>
      </c>
      <c r="H252" s="1">
        <v>4.51</v>
      </c>
      <c r="I252" s="1">
        <v>323.0</v>
      </c>
      <c r="J252" s="1" t="s">
        <v>1014</v>
      </c>
      <c r="K252" s="5" t="s">
        <v>1015</v>
      </c>
    </row>
    <row r="253">
      <c r="A253" s="1" t="s">
        <v>1016</v>
      </c>
      <c r="B253" s="1" t="s">
        <v>1017</v>
      </c>
      <c r="C253" s="1" t="s">
        <v>208</v>
      </c>
      <c r="D253" s="2">
        <v>499.0</v>
      </c>
      <c r="E253" s="2">
        <v>899.0</v>
      </c>
      <c r="F253" s="3">
        <f t="shared" si="2"/>
        <v>0.4449388209</v>
      </c>
      <c r="G253" s="4">
        <f>IFERROR(__xludf.DUMMYFUNCTION("GOOGLEFINANCE(""CURRENCY:INRBRL"")*D253"),29.838960743479998)</f>
        <v>29.83896074</v>
      </c>
      <c r="H253" s="1">
        <v>4.51</v>
      </c>
      <c r="I253" s="1">
        <v>185.0</v>
      </c>
      <c r="J253" s="1" t="s">
        <v>1018</v>
      </c>
      <c r="K253" s="5" t="s">
        <v>1019</v>
      </c>
    </row>
    <row r="254">
      <c r="A254" s="1" t="s">
        <v>1020</v>
      </c>
      <c r="B254" s="1" t="s">
        <v>1021</v>
      </c>
      <c r="C254" s="1" t="s">
        <v>13</v>
      </c>
      <c r="D254" s="2">
        <v>299.0</v>
      </c>
      <c r="E254" s="2">
        <v>799.0</v>
      </c>
      <c r="F254" s="3">
        <f t="shared" si="2"/>
        <v>0.6257822278</v>
      </c>
      <c r="G254" s="4">
        <f>IFERROR(__xludf.DUMMYFUNCTION("GOOGLEFINANCE(""CURRENCY:INRBRL"")*D254"),17.87945743948)</f>
        <v>17.87945744</v>
      </c>
      <c r="H254" s="1">
        <v>4.51</v>
      </c>
      <c r="I254" s="1">
        <v>2117.0</v>
      </c>
      <c r="J254" s="1" t="s">
        <v>1022</v>
      </c>
      <c r="K254" s="5" t="s">
        <v>1023</v>
      </c>
    </row>
    <row r="255">
      <c r="A255" s="1" t="s">
        <v>1024</v>
      </c>
      <c r="B255" s="1" t="s">
        <v>1025</v>
      </c>
      <c r="C255" s="1" t="s">
        <v>13</v>
      </c>
      <c r="D255" s="2">
        <v>182.0</v>
      </c>
      <c r="E255" s="2">
        <v>599.0</v>
      </c>
      <c r="F255" s="3">
        <f t="shared" si="2"/>
        <v>0.6961602671</v>
      </c>
      <c r="G255" s="4">
        <f>IFERROR(__xludf.DUMMYFUNCTION("GOOGLEFINANCE(""CURRENCY:INRBRL"")*D255"),10.883148006639999)</f>
        <v>10.88314801</v>
      </c>
      <c r="H255" s="1">
        <v>4.51</v>
      </c>
      <c r="I255" s="1">
        <v>9378.0</v>
      </c>
      <c r="J255" s="1" t="s">
        <v>1026</v>
      </c>
      <c r="K255" s="5" t="s">
        <v>1027</v>
      </c>
    </row>
    <row r="256">
      <c r="A256" s="1" t="s">
        <v>1028</v>
      </c>
      <c r="B256" s="1" t="s">
        <v>1029</v>
      </c>
      <c r="C256" s="1" t="s">
        <v>290</v>
      </c>
      <c r="D256" s="2">
        <v>96.0</v>
      </c>
      <c r="E256" s="2">
        <v>399.0</v>
      </c>
      <c r="F256" s="3">
        <f t="shared" si="2"/>
        <v>0.7593984962</v>
      </c>
      <c r="G256" s="4">
        <f>IFERROR(__xludf.DUMMYFUNCTION("GOOGLEFINANCE(""CURRENCY:INRBRL"")*D256"),5.74056158592)</f>
        <v>5.740561586</v>
      </c>
      <c r="H256" s="1">
        <v>4.51</v>
      </c>
      <c r="I256" s="1">
        <v>1796.0</v>
      </c>
      <c r="J256" s="1" t="s">
        <v>1030</v>
      </c>
      <c r="K256" s="5" t="s">
        <v>1031</v>
      </c>
    </row>
    <row r="257">
      <c r="A257" s="1" t="s">
        <v>1032</v>
      </c>
      <c r="B257" s="1" t="s">
        <v>1033</v>
      </c>
      <c r="C257" s="1" t="s">
        <v>79</v>
      </c>
      <c r="D257" s="2">
        <v>54989.0</v>
      </c>
      <c r="E257" s="2">
        <v>84999.0</v>
      </c>
      <c r="F257" s="3">
        <f t="shared" si="2"/>
        <v>0.3530629772</v>
      </c>
      <c r="G257" s="4">
        <f>IFERROR(__xludf.DUMMYFUNCTION("GOOGLEFINANCE(""CURRENCY:INRBRL"")*D257"),3288.2056359182798)</f>
        <v>3288.205636</v>
      </c>
      <c r="H257" s="1">
        <v>4.51</v>
      </c>
      <c r="I257" s="1">
        <v>3587.0</v>
      </c>
      <c r="J257" s="1" t="s">
        <v>448</v>
      </c>
      <c r="K257" s="5" t="s">
        <v>1034</v>
      </c>
    </row>
    <row r="258">
      <c r="A258" s="1" t="s">
        <v>1035</v>
      </c>
      <c r="B258" s="1" t="s">
        <v>1036</v>
      </c>
      <c r="C258" s="1" t="s">
        <v>532</v>
      </c>
      <c r="D258" s="2">
        <v>439.0</v>
      </c>
      <c r="E258" s="2">
        <v>758.0</v>
      </c>
      <c r="F258" s="3">
        <f t="shared" si="2"/>
        <v>0.4208443272</v>
      </c>
      <c r="G258" s="4">
        <f>IFERROR(__xludf.DUMMYFUNCTION("GOOGLEFINANCE(""CURRENCY:INRBRL"")*D258"),26.251109752279998)</f>
        <v>26.25110975</v>
      </c>
      <c r="H258" s="1">
        <v>4.51</v>
      </c>
      <c r="I258" s="1">
        <v>4296.0</v>
      </c>
      <c r="J258" s="1" t="s">
        <v>1037</v>
      </c>
      <c r="K258" s="5" t="s">
        <v>1038</v>
      </c>
    </row>
    <row r="259">
      <c r="A259" s="1" t="s">
        <v>1039</v>
      </c>
      <c r="B259" s="1" t="s">
        <v>1040</v>
      </c>
      <c r="C259" s="1" t="s">
        <v>13</v>
      </c>
      <c r="D259" s="2">
        <v>299.0</v>
      </c>
      <c r="E259" s="2">
        <v>999.0</v>
      </c>
      <c r="F259" s="3">
        <f t="shared" si="2"/>
        <v>0.7007007007</v>
      </c>
      <c r="G259" s="4">
        <f>IFERROR(__xludf.DUMMYFUNCTION("GOOGLEFINANCE(""CURRENCY:INRBRL"")*D259"),17.87945743948)</f>
        <v>17.87945744</v>
      </c>
      <c r="H259" s="1">
        <v>4.51</v>
      </c>
      <c r="I259" s="1">
        <v>2651.0</v>
      </c>
      <c r="J259" s="1" t="s">
        <v>1041</v>
      </c>
      <c r="K259" s="5" t="s">
        <v>1042</v>
      </c>
    </row>
    <row r="260">
      <c r="A260" s="1" t="s">
        <v>1043</v>
      </c>
      <c r="B260" s="1" t="s">
        <v>1044</v>
      </c>
      <c r="C260" s="1" t="s">
        <v>13</v>
      </c>
      <c r="D260" s="2">
        <v>299.0</v>
      </c>
      <c r="E260" s="2">
        <v>799.0</v>
      </c>
      <c r="F260" s="3">
        <f t="shared" si="2"/>
        <v>0.6257822278</v>
      </c>
      <c r="G260" s="4">
        <f>IFERROR(__xludf.DUMMYFUNCTION("GOOGLEFINANCE(""CURRENCY:INRBRL"")*D260"),17.87945743948)</f>
        <v>17.87945744</v>
      </c>
      <c r="H260" s="1">
        <v>4.51</v>
      </c>
      <c r="I260" s="1">
        <v>94363.0</v>
      </c>
      <c r="J260" s="1" t="s">
        <v>1045</v>
      </c>
      <c r="K260" s="5" t="s">
        <v>1046</v>
      </c>
    </row>
    <row r="261">
      <c r="A261" s="1" t="s">
        <v>1047</v>
      </c>
      <c r="B261" s="1" t="s">
        <v>1048</v>
      </c>
      <c r="C261" s="1" t="s">
        <v>13</v>
      </c>
      <c r="D261" s="2">
        <v>789.0</v>
      </c>
      <c r="E261" s="2">
        <v>1999.0</v>
      </c>
      <c r="F261" s="3">
        <f t="shared" si="2"/>
        <v>0.6053026513</v>
      </c>
      <c r="G261" s="4">
        <f>IFERROR(__xludf.DUMMYFUNCTION("GOOGLEFINANCE(""CURRENCY:INRBRL"")*D261"),47.180240534279996)</f>
        <v>47.18024053</v>
      </c>
      <c r="H261" s="1">
        <v>4.51</v>
      </c>
      <c r="I261" s="1">
        <v>3454.0</v>
      </c>
      <c r="J261" s="1" t="s">
        <v>1049</v>
      </c>
      <c r="K261" s="5" t="s">
        <v>1050</v>
      </c>
    </row>
    <row r="262">
      <c r="A262" s="1" t="s">
        <v>1051</v>
      </c>
      <c r="B262" s="1" t="s">
        <v>1052</v>
      </c>
      <c r="C262" s="1" t="s">
        <v>63</v>
      </c>
      <c r="D262" s="2">
        <v>299.0</v>
      </c>
      <c r="E262" s="2">
        <v>700.0</v>
      </c>
      <c r="F262" s="3">
        <f t="shared" si="2"/>
        <v>0.5728571429</v>
      </c>
      <c r="G262" s="4">
        <f>IFERROR(__xludf.DUMMYFUNCTION("GOOGLEFINANCE(""CURRENCY:INRBRL"")*D262"),17.87945743948)</f>
        <v>17.87945744</v>
      </c>
      <c r="H262" s="1">
        <v>4.51</v>
      </c>
      <c r="I262" s="1">
        <v>8714.0</v>
      </c>
      <c r="J262" s="1" t="s">
        <v>1053</v>
      </c>
      <c r="K262" s="5" t="s">
        <v>1054</v>
      </c>
    </row>
    <row r="263">
      <c r="A263" s="1" t="s">
        <v>1055</v>
      </c>
      <c r="B263" s="1" t="s">
        <v>1056</v>
      </c>
      <c r="C263" s="1" t="s">
        <v>13</v>
      </c>
      <c r="D263" s="2">
        <v>325.0</v>
      </c>
      <c r="E263" s="2">
        <v>1099.0</v>
      </c>
      <c r="F263" s="3">
        <f t="shared" si="2"/>
        <v>0.7042766151</v>
      </c>
      <c r="G263" s="4">
        <f>IFERROR(__xludf.DUMMYFUNCTION("GOOGLEFINANCE(""CURRENCY:INRBRL"")*D263"),19.434192869)</f>
        <v>19.43419287</v>
      </c>
      <c r="H263" s="1">
        <v>4.51</v>
      </c>
      <c r="I263" s="1">
        <v>10576.0</v>
      </c>
      <c r="J263" s="1" t="s">
        <v>1057</v>
      </c>
      <c r="K263" s="5" t="s">
        <v>1058</v>
      </c>
    </row>
    <row r="264">
      <c r="A264" s="1" t="s">
        <v>1059</v>
      </c>
      <c r="B264" s="1" t="s">
        <v>1060</v>
      </c>
      <c r="C264" s="1" t="s">
        <v>13</v>
      </c>
      <c r="D264" s="2">
        <v>1299.0</v>
      </c>
      <c r="E264" s="2">
        <v>1999.0</v>
      </c>
      <c r="F264" s="3">
        <f t="shared" si="2"/>
        <v>0.3501750875</v>
      </c>
      <c r="G264" s="4">
        <f>IFERROR(__xludf.DUMMYFUNCTION("GOOGLEFINANCE(""CURRENCY:INRBRL"")*D264"),77.67697395948)</f>
        <v>77.67697396</v>
      </c>
      <c r="H264" s="1">
        <v>4.51</v>
      </c>
      <c r="I264" s="1">
        <v>7318.0</v>
      </c>
      <c r="J264" s="1" t="s">
        <v>1061</v>
      </c>
      <c r="K264" s="5" t="s">
        <v>1062</v>
      </c>
    </row>
    <row r="265">
      <c r="A265" s="1" t="s">
        <v>1063</v>
      </c>
      <c r="B265" s="1" t="s">
        <v>1064</v>
      </c>
      <c r="C265" s="1" t="s">
        <v>208</v>
      </c>
      <c r="D265" s="2">
        <v>790.0</v>
      </c>
      <c r="E265" s="2">
        <v>1999.0</v>
      </c>
      <c r="F265" s="3">
        <f t="shared" si="2"/>
        <v>0.6048024012</v>
      </c>
      <c r="G265" s="4">
        <f>IFERROR(__xludf.DUMMYFUNCTION("GOOGLEFINANCE(""CURRENCY:INRBRL"")*D265"),47.240038050799996)</f>
        <v>47.24003805</v>
      </c>
      <c r="H265" s="1">
        <v>4.51</v>
      </c>
      <c r="I265" s="1">
        <v>103.0</v>
      </c>
      <c r="J265" s="1" t="s">
        <v>1065</v>
      </c>
      <c r="K265" s="5" t="s">
        <v>1066</v>
      </c>
    </row>
    <row r="266">
      <c r="A266" s="1" t="s">
        <v>1067</v>
      </c>
      <c r="B266" s="1" t="s">
        <v>1068</v>
      </c>
      <c r="C266" s="1" t="s">
        <v>1069</v>
      </c>
      <c r="D266" s="2">
        <v>4699.0</v>
      </c>
      <c r="E266" s="2">
        <v>4699.0</v>
      </c>
      <c r="F266" s="3">
        <f t="shared" si="2"/>
        <v>0</v>
      </c>
      <c r="G266" s="4">
        <f>IFERROR(__xludf.DUMMYFUNCTION("GOOGLEFINANCE(""CURRENCY:INRBRL"")*D266"),280.98853012748)</f>
        <v>280.9885301</v>
      </c>
      <c r="H266" s="1">
        <v>4.51</v>
      </c>
      <c r="I266" s="1">
        <v>224.0</v>
      </c>
      <c r="J266" s="1" t="s">
        <v>1070</v>
      </c>
      <c r="K266" s="5" t="s">
        <v>1071</v>
      </c>
    </row>
    <row r="267">
      <c r="A267" s="1" t="s">
        <v>1072</v>
      </c>
      <c r="B267" s="1" t="s">
        <v>1073</v>
      </c>
      <c r="C267" s="1" t="s">
        <v>79</v>
      </c>
      <c r="D267" s="2">
        <v>18999.0</v>
      </c>
      <c r="E267" s="2">
        <v>24990.0</v>
      </c>
      <c r="F267" s="3">
        <f t="shared" si="2"/>
        <v>0.2397358944</v>
      </c>
      <c r="G267" s="4">
        <f>IFERROR(__xludf.DUMMYFUNCTION("GOOGLEFINANCE(""CURRENCY:INRBRL"")*D267"),1136.0930163634798)</f>
        <v>1136.093016</v>
      </c>
      <c r="H267" s="1">
        <v>4.51</v>
      </c>
      <c r="I267" s="1">
        <v>4702.0</v>
      </c>
      <c r="J267" s="1" t="s">
        <v>1074</v>
      </c>
      <c r="K267" s="5" t="s">
        <v>1075</v>
      </c>
    </row>
    <row r="268">
      <c r="A268" s="1" t="s">
        <v>1076</v>
      </c>
      <c r="B268" s="1" t="s">
        <v>1077</v>
      </c>
      <c r="C268" s="1" t="s">
        <v>13</v>
      </c>
      <c r="D268" s="2">
        <v>199.0</v>
      </c>
      <c r="E268" s="2">
        <v>999.0</v>
      </c>
      <c r="F268" s="3">
        <f t="shared" si="2"/>
        <v>0.8008008008</v>
      </c>
      <c r="G268" s="4">
        <f>IFERROR(__xludf.DUMMYFUNCTION("GOOGLEFINANCE(""CURRENCY:INRBRL"")*D268"),11.899705787479999)</f>
        <v>11.89970579</v>
      </c>
      <c r="H268" s="1">
        <v>4.51</v>
      </c>
      <c r="I268" s="1">
        <v>85.0</v>
      </c>
      <c r="J268" s="1" t="s">
        <v>1078</v>
      </c>
      <c r="K268" s="5" t="s">
        <v>1079</v>
      </c>
    </row>
    <row r="269">
      <c r="A269" s="1" t="s">
        <v>1080</v>
      </c>
      <c r="B269" s="1" t="s">
        <v>1081</v>
      </c>
      <c r="C269" s="1" t="s">
        <v>63</v>
      </c>
      <c r="D269" s="2">
        <v>269.0</v>
      </c>
      <c r="E269" s="2">
        <v>650.0</v>
      </c>
      <c r="F269" s="3">
        <f t="shared" si="2"/>
        <v>0.5861538462</v>
      </c>
      <c r="G269" s="4">
        <f>IFERROR(__xludf.DUMMYFUNCTION("GOOGLEFINANCE(""CURRENCY:INRBRL"")*D269"),16.08553194388)</f>
        <v>16.08553194</v>
      </c>
      <c r="H269" s="1">
        <v>4.51</v>
      </c>
      <c r="I269" s="1">
        <v>35877.0</v>
      </c>
      <c r="J269" s="1" t="s">
        <v>1082</v>
      </c>
      <c r="K269" s="5" t="s">
        <v>1083</v>
      </c>
    </row>
    <row r="270">
      <c r="A270" s="1" t="s">
        <v>1084</v>
      </c>
      <c r="B270" s="1" t="s">
        <v>1085</v>
      </c>
      <c r="C270" s="1" t="s">
        <v>1086</v>
      </c>
      <c r="D270" s="2">
        <v>1990.0</v>
      </c>
      <c r="E270" s="2">
        <v>3100.0</v>
      </c>
      <c r="F270" s="3">
        <f t="shared" si="2"/>
        <v>0.3580645161</v>
      </c>
      <c r="G270" s="4">
        <f>IFERROR(__xludf.DUMMYFUNCTION("GOOGLEFINANCE(""CURRENCY:INRBRL"")*D270"),118.99705787479999)</f>
        <v>118.9970579</v>
      </c>
      <c r="H270" s="1">
        <v>4.51</v>
      </c>
      <c r="I270" s="1">
        <v>897.0</v>
      </c>
      <c r="J270" s="1" t="s">
        <v>1087</v>
      </c>
      <c r="K270" s="5" t="s">
        <v>1088</v>
      </c>
    </row>
    <row r="271">
      <c r="A271" s="1" t="s">
        <v>1089</v>
      </c>
      <c r="B271" s="1" t="s">
        <v>1090</v>
      </c>
      <c r="C271" s="1" t="s">
        <v>1091</v>
      </c>
      <c r="D271" s="2">
        <v>2299.0</v>
      </c>
      <c r="E271" s="2">
        <v>3999.0</v>
      </c>
      <c r="F271" s="3">
        <f t="shared" si="2"/>
        <v>0.4251062766</v>
      </c>
      <c r="G271" s="4">
        <f>IFERROR(__xludf.DUMMYFUNCTION("GOOGLEFINANCE(""CURRENCY:INRBRL"")*D271"),137.47449047947998)</f>
        <v>137.4744905</v>
      </c>
      <c r="H271" s="1">
        <v>4.51</v>
      </c>
      <c r="I271" s="1">
        <v>282.0</v>
      </c>
      <c r="J271" s="1" t="s">
        <v>1092</v>
      </c>
      <c r="K271" s="5" t="s">
        <v>1093</v>
      </c>
    </row>
    <row r="272">
      <c r="A272" s="1" t="s">
        <v>1094</v>
      </c>
      <c r="B272" s="1" t="s">
        <v>1095</v>
      </c>
      <c r="C272" s="1" t="s">
        <v>79</v>
      </c>
      <c r="D272" s="2">
        <v>35999.0</v>
      </c>
      <c r="E272" s="2">
        <v>49990.0</v>
      </c>
      <c r="F272" s="3">
        <f t="shared" si="2"/>
        <v>0.2798759752</v>
      </c>
      <c r="G272" s="4">
        <f>IFERROR(__xludf.DUMMYFUNCTION("GOOGLEFINANCE(""CURRENCY:INRBRL"")*D272"),2152.6507972034797)</f>
        <v>2152.650797</v>
      </c>
      <c r="H272" s="1">
        <v>4.51</v>
      </c>
      <c r="I272" s="1">
        <v>1611.0</v>
      </c>
      <c r="J272" s="1" t="s">
        <v>1096</v>
      </c>
      <c r="K272" s="5" t="s">
        <v>1097</v>
      </c>
    </row>
    <row r="273">
      <c r="A273" s="1" t="s">
        <v>1098</v>
      </c>
      <c r="B273" s="1" t="s">
        <v>1099</v>
      </c>
      <c r="C273" s="1" t="s">
        <v>208</v>
      </c>
      <c r="D273" s="2">
        <v>349.0</v>
      </c>
      <c r="E273" s="2">
        <v>999.0</v>
      </c>
      <c r="F273" s="3">
        <f t="shared" si="2"/>
        <v>0.6506506507</v>
      </c>
      <c r="G273" s="4">
        <f>IFERROR(__xludf.DUMMYFUNCTION("GOOGLEFINANCE(""CURRENCY:INRBRL"")*D273"),20.869333265479998)</f>
        <v>20.86933327</v>
      </c>
      <c r="H273" s="1">
        <v>4.51</v>
      </c>
      <c r="I273" s="1">
        <v>513.0</v>
      </c>
      <c r="J273" s="1" t="s">
        <v>1100</v>
      </c>
      <c r="K273" s="5" t="s">
        <v>1101</v>
      </c>
    </row>
    <row r="274">
      <c r="A274" s="1" t="s">
        <v>1102</v>
      </c>
      <c r="B274" s="1" t="s">
        <v>1103</v>
      </c>
      <c r="C274" s="1" t="s">
        <v>13</v>
      </c>
      <c r="D274" s="2">
        <v>719.0</v>
      </c>
      <c r="E274" s="2">
        <v>1499.0</v>
      </c>
      <c r="F274" s="3">
        <f t="shared" si="2"/>
        <v>0.5203468979</v>
      </c>
      <c r="G274" s="4">
        <f>IFERROR(__xludf.DUMMYFUNCTION("GOOGLEFINANCE(""CURRENCY:INRBRL"")*D274"),42.99441437788)</f>
        <v>42.99441438</v>
      </c>
      <c r="H274" s="1">
        <v>4.51</v>
      </c>
      <c r="I274" s="1">
        <v>1045.0</v>
      </c>
      <c r="J274" s="1" t="s">
        <v>1104</v>
      </c>
      <c r="K274" s="5" t="s">
        <v>1105</v>
      </c>
    </row>
    <row r="275">
      <c r="A275" s="1" t="s">
        <v>1106</v>
      </c>
      <c r="B275" s="1" t="s">
        <v>1107</v>
      </c>
      <c r="C275" s="1" t="s">
        <v>79</v>
      </c>
      <c r="D275" s="2">
        <v>8999.0</v>
      </c>
      <c r="E275" s="2">
        <v>18999.0</v>
      </c>
      <c r="F275" s="3">
        <f t="shared" si="2"/>
        <v>0.5263434918</v>
      </c>
      <c r="G275" s="4">
        <f>IFERROR(__xludf.DUMMYFUNCTION("GOOGLEFINANCE(""CURRENCY:INRBRL"")*D275"),538.1178511634799)</f>
        <v>538.1178512</v>
      </c>
      <c r="H275" s="1">
        <v>4.51</v>
      </c>
      <c r="I275" s="1">
        <v>6347.0</v>
      </c>
      <c r="J275" s="1" t="s">
        <v>1108</v>
      </c>
      <c r="K275" s="5" t="s">
        <v>1109</v>
      </c>
    </row>
    <row r="276">
      <c r="A276" s="1" t="s">
        <v>1110</v>
      </c>
      <c r="B276" s="1" t="s">
        <v>1111</v>
      </c>
      <c r="C276" s="1" t="s">
        <v>911</v>
      </c>
      <c r="D276" s="2">
        <v>917.0</v>
      </c>
      <c r="E276" s="2">
        <v>2299.0</v>
      </c>
      <c r="F276" s="3">
        <f t="shared" si="2"/>
        <v>0.6011309265</v>
      </c>
      <c r="G276" s="4">
        <f>IFERROR(__xludf.DUMMYFUNCTION("GOOGLEFINANCE(""CURRENCY:INRBRL"")*D276"),54.83432264883999)</f>
        <v>54.83432265</v>
      </c>
      <c r="H276" s="1">
        <v>4.51</v>
      </c>
      <c r="I276" s="1">
        <v>33.0</v>
      </c>
      <c r="J276" s="1" t="s">
        <v>1112</v>
      </c>
      <c r="K276" s="5" t="s">
        <v>1113</v>
      </c>
    </row>
    <row r="277">
      <c r="A277" s="1" t="s">
        <v>1114</v>
      </c>
      <c r="B277" s="1" t="s">
        <v>1115</v>
      </c>
      <c r="C277" s="1" t="s">
        <v>208</v>
      </c>
      <c r="D277" s="2">
        <v>399.0</v>
      </c>
      <c r="E277" s="2">
        <v>999.0</v>
      </c>
      <c r="F277" s="3">
        <f t="shared" si="2"/>
        <v>0.6006006006</v>
      </c>
      <c r="G277" s="4">
        <f>IFERROR(__xludf.DUMMYFUNCTION("GOOGLEFINANCE(""CURRENCY:INRBRL"")*D277"),23.859209091479997)</f>
        <v>23.85920909</v>
      </c>
      <c r="H277" s="1">
        <v>4.51</v>
      </c>
      <c r="I277" s="1">
        <v>23.0</v>
      </c>
      <c r="J277" s="1" t="s">
        <v>1116</v>
      </c>
      <c r="K277" s="5" t="s">
        <v>1117</v>
      </c>
    </row>
    <row r="278">
      <c r="A278" s="1" t="s">
        <v>1118</v>
      </c>
      <c r="B278" s="1" t="s">
        <v>1119</v>
      </c>
      <c r="C278" s="1" t="s">
        <v>79</v>
      </c>
      <c r="D278" s="2">
        <v>45999.0</v>
      </c>
      <c r="E278" s="2">
        <v>69899.0</v>
      </c>
      <c r="F278" s="3">
        <f t="shared" si="2"/>
        <v>0.3419219159</v>
      </c>
      <c r="G278" s="4">
        <f>IFERROR(__xludf.DUMMYFUNCTION("GOOGLEFINANCE(""CURRENCY:INRBRL"")*D278"),2750.6259624034797)</f>
        <v>2750.625962</v>
      </c>
      <c r="H278" s="1">
        <v>4.51</v>
      </c>
      <c r="I278" s="1">
        <v>7109.0</v>
      </c>
      <c r="J278" s="1" t="s">
        <v>1120</v>
      </c>
      <c r="K278" s="5" t="s">
        <v>1121</v>
      </c>
    </row>
    <row r="279">
      <c r="A279" s="1" t="s">
        <v>1122</v>
      </c>
      <c r="B279" s="1" t="s">
        <v>1123</v>
      </c>
      <c r="C279" s="1" t="s">
        <v>13</v>
      </c>
      <c r="D279" s="2">
        <v>119.0</v>
      </c>
      <c r="E279" s="2">
        <v>299.0</v>
      </c>
      <c r="F279" s="3">
        <f t="shared" si="2"/>
        <v>0.602006689</v>
      </c>
      <c r="G279" s="4">
        <f>IFERROR(__xludf.DUMMYFUNCTION("GOOGLEFINANCE(""CURRENCY:INRBRL"")*D279"),7.11590446588)</f>
        <v>7.115904466</v>
      </c>
      <c r="H279" s="1">
        <v>4.51</v>
      </c>
      <c r="I279" s="1">
        <v>51.0</v>
      </c>
      <c r="J279" s="1" t="s">
        <v>1124</v>
      </c>
      <c r="K279" s="5" t="s">
        <v>1125</v>
      </c>
    </row>
    <row r="280">
      <c r="A280" s="1" t="s">
        <v>1126</v>
      </c>
      <c r="B280" s="1" t="s">
        <v>1127</v>
      </c>
      <c r="C280" s="1" t="s">
        <v>79</v>
      </c>
      <c r="D280" s="2">
        <v>21999.0</v>
      </c>
      <c r="E280" s="2">
        <v>29999.0</v>
      </c>
      <c r="F280" s="3">
        <f t="shared" si="2"/>
        <v>0.2666755559</v>
      </c>
      <c r="G280" s="4">
        <f>IFERROR(__xludf.DUMMYFUNCTION("GOOGLEFINANCE(""CURRENCY:INRBRL"")*D280"),1315.48556592348)</f>
        <v>1315.485566</v>
      </c>
      <c r="H280" s="1">
        <v>4.51</v>
      </c>
      <c r="I280" s="1">
        <v>3284.0</v>
      </c>
      <c r="J280" s="1" t="s">
        <v>1128</v>
      </c>
      <c r="K280" s="5" t="s">
        <v>1129</v>
      </c>
    </row>
    <row r="281">
      <c r="A281" s="1" t="s">
        <v>1130</v>
      </c>
      <c r="B281" s="1" t="s">
        <v>1131</v>
      </c>
      <c r="C281" s="1" t="s">
        <v>208</v>
      </c>
      <c r="D281" s="2">
        <v>299.0</v>
      </c>
      <c r="E281" s="2">
        <v>599.0</v>
      </c>
      <c r="F281" s="3">
        <f t="shared" si="2"/>
        <v>0.5008347245</v>
      </c>
      <c r="G281" s="4">
        <f>IFERROR(__xludf.DUMMYFUNCTION("GOOGLEFINANCE(""CURRENCY:INRBRL"")*D281"),17.87945743948)</f>
        <v>17.87945744</v>
      </c>
      <c r="H281" s="1">
        <v>4.51</v>
      </c>
      <c r="I281" s="1">
        <v>708.0</v>
      </c>
      <c r="J281" s="1" t="s">
        <v>1132</v>
      </c>
      <c r="K281" s="5" t="s">
        <v>1133</v>
      </c>
    </row>
    <row r="282">
      <c r="A282" s="1" t="s">
        <v>1134</v>
      </c>
      <c r="B282" s="1" t="s">
        <v>1135</v>
      </c>
      <c r="C282" s="1" t="s">
        <v>79</v>
      </c>
      <c r="D282" s="2">
        <v>21990.0</v>
      </c>
      <c r="E282" s="2">
        <v>34990.0</v>
      </c>
      <c r="F282" s="3">
        <f t="shared" si="2"/>
        <v>0.3715347242</v>
      </c>
      <c r="G282" s="4">
        <f>IFERROR(__xludf.DUMMYFUNCTION("GOOGLEFINANCE(""CURRENCY:INRBRL"")*D282"),1314.9473882748)</f>
        <v>1314.947388</v>
      </c>
      <c r="H282" s="1">
        <v>4.51</v>
      </c>
      <c r="I282" s="1">
        <v>1657.0</v>
      </c>
      <c r="J282" s="1" t="s">
        <v>1136</v>
      </c>
      <c r="K282" s="5" t="s">
        <v>1137</v>
      </c>
    </row>
    <row r="283">
      <c r="A283" s="1" t="s">
        <v>1138</v>
      </c>
      <c r="B283" s="1" t="s">
        <v>1139</v>
      </c>
      <c r="C283" s="1" t="s">
        <v>13</v>
      </c>
      <c r="D283" s="2">
        <v>417.44</v>
      </c>
      <c r="E283" s="2">
        <v>670.0</v>
      </c>
      <c r="F283" s="3">
        <f t="shared" si="2"/>
        <v>0.3769552239</v>
      </c>
      <c r="G283" s="4">
        <f>IFERROR(__xludf.DUMMYFUNCTION("GOOGLEFINANCE(""CURRENCY:INRBRL"")*D283"),24.961875296108797)</f>
        <v>24.9618753</v>
      </c>
      <c r="H283" s="1">
        <v>4.51</v>
      </c>
      <c r="I283" s="1">
        <v>523.0</v>
      </c>
      <c r="J283" s="1" t="s">
        <v>1140</v>
      </c>
      <c r="K283" s="5" t="s">
        <v>1141</v>
      </c>
    </row>
    <row r="284">
      <c r="A284" s="1" t="s">
        <v>1142</v>
      </c>
      <c r="B284" s="1" t="s">
        <v>1143</v>
      </c>
      <c r="C284" s="1" t="s">
        <v>13</v>
      </c>
      <c r="D284" s="2">
        <v>199.0</v>
      </c>
      <c r="E284" s="2">
        <v>999.0</v>
      </c>
      <c r="F284" s="3">
        <f t="shared" si="2"/>
        <v>0.8008008008</v>
      </c>
      <c r="G284" s="4">
        <f>IFERROR(__xludf.DUMMYFUNCTION("GOOGLEFINANCE(""CURRENCY:INRBRL"")*D284"),11.899705787479999)</f>
        <v>11.89970579</v>
      </c>
      <c r="H284" s="1">
        <v>4.51</v>
      </c>
      <c r="I284" s="1">
        <v>0.0</v>
      </c>
      <c r="J284" s="1" t="s">
        <v>1144</v>
      </c>
      <c r="K284" s="5" t="s">
        <v>1145</v>
      </c>
    </row>
    <row r="285">
      <c r="A285" s="1" t="s">
        <v>1146</v>
      </c>
      <c r="B285" s="1" t="s">
        <v>1147</v>
      </c>
      <c r="C285" s="1" t="s">
        <v>79</v>
      </c>
      <c r="D285" s="2">
        <v>47990.0</v>
      </c>
      <c r="E285" s="2">
        <v>79990.0</v>
      </c>
      <c r="F285" s="3">
        <f t="shared" si="2"/>
        <v>0.4000500063</v>
      </c>
      <c r="G285" s="4">
        <f>IFERROR(__xludf.DUMMYFUNCTION("GOOGLEFINANCE(""CURRENCY:INRBRL"")*D285"),2869.6828177948)</f>
        <v>2869.682818</v>
      </c>
      <c r="H285" s="1">
        <v>4.51</v>
      </c>
      <c r="I285" s="1">
        <v>1376.0</v>
      </c>
      <c r="J285" s="1" t="s">
        <v>557</v>
      </c>
      <c r="K285" s="5" t="s">
        <v>1148</v>
      </c>
    </row>
    <row r="286">
      <c r="A286" s="1" t="s">
        <v>1149</v>
      </c>
      <c r="B286" s="1" t="s">
        <v>1150</v>
      </c>
      <c r="C286" s="1" t="s">
        <v>208</v>
      </c>
      <c r="D286" s="2">
        <v>215.0</v>
      </c>
      <c r="E286" s="2">
        <v>499.0</v>
      </c>
      <c r="F286" s="3">
        <f t="shared" si="2"/>
        <v>0.5691382766</v>
      </c>
      <c r="G286" s="4">
        <f>IFERROR(__xludf.DUMMYFUNCTION("GOOGLEFINANCE(""CURRENCY:INRBRL"")*D286"),12.8564660518)</f>
        <v>12.85646605</v>
      </c>
      <c r="H286" s="1">
        <v>4.51</v>
      </c>
      <c r="I286" s="1">
        <v>121.0</v>
      </c>
      <c r="J286" s="1" t="s">
        <v>1151</v>
      </c>
      <c r="K286" s="5" t="s">
        <v>1152</v>
      </c>
    </row>
    <row r="287">
      <c r="A287" s="1" t="s">
        <v>1153</v>
      </c>
      <c r="B287" s="1" t="s">
        <v>1154</v>
      </c>
      <c r="C287" s="1" t="s">
        <v>13</v>
      </c>
      <c r="D287" s="2">
        <v>99.0</v>
      </c>
      <c r="E287" s="2">
        <v>800.0</v>
      </c>
      <c r="F287" s="3">
        <f t="shared" si="2"/>
        <v>0.87625</v>
      </c>
      <c r="G287" s="4">
        <f>IFERROR(__xludf.DUMMYFUNCTION("GOOGLEFINANCE(""CURRENCY:INRBRL"")*D287"),5.919954135479999)</f>
        <v>5.919954135</v>
      </c>
      <c r="H287" s="1">
        <v>4.51</v>
      </c>
      <c r="I287" s="1">
        <v>1075.0</v>
      </c>
      <c r="J287" s="1" t="s">
        <v>452</v>
      </c>
      <c r="K287" s="5" t="s">
        <v>1155</v>
      </c>
    </row>
    <row r="288">
      <c r="A288" s="1" t="s">
        <v>1156</v>
      </c>
      <c r="B288" s="1" t="s">
        <v>1157</v>
      </c>
      <c r="C288" s="1" t="s">
        <v>79</v>
      </c>
      <c r="D288" s="2">
        <v>18999.0</v>
      </c>
      <c r="E288" s="2">
        <v>35000.0</v>
      </c>
      <c r="F288" s="3">
        <f t="shared" si="2"/>
        <v>0.4571714286</v>
      </c>
      <c r="G288" s="4">
        <f>IFERROR(__xludf.DUMMYFUNCTION("GOOGLEFINANCE(""CURRENCY:INRBRL"")*D288"),1136.0930163634798)</f>
        <v>1136.093016</v>
      </c>
      <c r="H288" s="1">
        <v>4.51</v>
      </c>
      <c r="I288" s="1">
        <v>1001.0</v>
      </c>
      <c r="J288" s="1" t="s">
        <v>1158</v>
      </c>
      <c r="K288" s="5" t="s">
        <v>1159</v>
      </c>
    </row>
    <row r="289">
      <c r="A289" s="1" t="s">
        <v>1160</v>
      </c>
      <c r="B289" s="1" t="s">
        <v>1161</v>
      </c>
      <c r="C289" s="1" t="s">
        <v>13</v>
      </c>
      <c r="D289" s="2">
        <v>249.0</v>
      </c>
      <c r="E289" s="2">
        <v>999.0</v>
      </c>
      <c r="F289" s="3">
        <f t="shared" si="2"/>
        <v>0.7507507508</v>
      </c>
      <c r="G289" s="4">
        <f>IFERROR(__xludf.DUMMYFUNCTION("GOOGLEFINANCE(""CURRENCY:INRBRL"")*D289"),14.889581613479999)</f>
        <v>14.88958161</v>
      </c>
      <c r="H289" s="1">
        <v>4.51</v>
      </c>
      <c r="I289" s="1">
        <v>112.0</v>
      </c>
      <c r="J289" s="1" t="s">
        <v>1162</v>
      </c>
      <c r="K289" s="5" t="s">
        <v>1163</v>
      </c>
    </row>
    <row r="290">
      <c r="A290" s="1" t="s">
        <v>1164</v>
      </c>
      <c r="B290" s="1" t="s">
        <v>1165</v>
      </c>
      <c r="C290" s="1" t="s">
        <v>229</v>
      </c>
      <c r="D290" s="2">
        <v>7999.0</v>
      </c>
      <c r="E290" s="2">
        <v>15999.0</v>
      </c>
      <c r="F290" s="3">
        <f t="shared" si="2"/>
        <v>0.500031252</v>
      </c>
      <c r="G290" s="4">
        <f>IFERROR(__xludf.DUMMYFUNCTION("GOOGLEFINANCE(""CURRENCY:INRBRL"")*D290"),478.32033464347995)</f>
        <v>478.3203346</v>
      </c>
      <c r="H290" s="1">
        <v>4.51</v>
      </c>
      <c r="I290" s="1">
        <v>3022.0</v>
      </c>
      <c r="J290" s="1" t="s">
        <v>1166</v>
      </c>
      <c r="K290" s="5" t="s">
        <v>1167</v>
      </c>
    </row>
    <row r="291">
      <c r="A291" s="1" t="s">
        <v>1168</v>
      </c>
      <c r="B291" s="1" t="s">
        <v>1169</v>
      </c>
      <c r="C291" s="1" t="s">
        <v>13</v>
      </c>
      <c r="D291" s="2">
        <v>649.0</v>
      </c>
      <c r="E291" s="2">
        <v>1600.0</v>
      </c>
      <c r="F291" s="3">
        <f t="shared" si="2"/>
        <v>0.594375</v>
      </c>
      <c r="G291" s="4">
        <f>IFERROR(__xludf.DUMMYFUNCTION("GOOGLEFINANCE(""CURRENCY:INRBRL"")*D291"),38.80858822148)</f>
        <v>38.80858822</v>
      </c>
      <c r="H291" s="1">
        <v>4.51</v>
      </c>
      <c r="I291" s="1">
        <v>5451.0</v>
      </c>
      <c r="J291" s="1" t="s">
        <v>1170</v>
      </c>
      <c r="K291" s="5" t="s">
        <v>1171</v>
      </c>
    </row>
    <row r="292">
      <c r="A292" s="1" t="s">
        <v>1172</v>
      </c>
      <c r="B292" s="1" t="s">
        <v>334</v>
      </c>
      <c r="C292" s="1" t="s">
        <v>208</v>
      </c>
      <c r="D292" s="2">
        <v>1289.0</v>
      </c>
      <c r="E292" s="2">
        <v>2500.0</v>
      </c>
      <c r="F292" s="3">
        <f t="shared" si="2"/>
        <v>0.4844</v>
      </c>
      <c r="G292" s="4">
        <f>IFERROR(__xludf.DUMMYFUNCTION("GOOGLEFINANCE(""CURRENCY:INRBRL"")*D292"),77.07899879428)</f>
        <v>77.07899879</v>
      </c>
      <c r="H292" s="1">
        <v>4.51</v>
      </c>
      <c r="I292" s="1">
        <v>73.0</v>
      </c>
      <c r="J292" s="1" t="s">
        <v>1173</v>
      </c>
      <c r="K292" s="5" t="s">
        <v>1174</v>
      </c>
    </row>
    <row r="293">
      <c r="A293" s="1" t="s">
        <v>1175</v>
      </c>
      <c r="B293" s="1" t="s">
        <v>1176</v>
      </c>
      <c r="C293" s="1" t="s">
        <v>63</v>
      </c>
      <c r="D293" s="2">
        <v>609.0</v>
      </c>
      <c r="E293" s="2">
        <v>1500.0</v>
      </c>
      <c r="F293" s="3">
        <f t="shared" si="2"/>
        <v>0.594</v>
      </c>
      <c r="G293" s="4">
        <f>IFERROR(__xludf.DUMMYFUNCTION("GOOGLEFINANCE(""CURRENCY:INRBRL"")*D293"),36.416687560679996)</f>
        <v>36.41668756</v>
      </c>
      <c r="H293" s="1">
        <v>4.51</v>
      </c>
      <c r="I293" s="1">
        <v>1029.0</v>
      </c>
      <c r="J293" s="1" t="s">
        <v>1177</v>
      </c>
      <c r="K293" s="5" t="s">
        <v>1178</v>
      </c>
    </row>
    <row r="294">
      <c r="A294" s="1" t="s">
        <v>1179</v>
      </c>
      <c r="B294" s="1" t="s">
        <v>1180</v>
      </c>
      <c r="C294" s="1" t="s">
        <v>79</v>
      </c>
      <c r="D294" s="2">
        <v>32990.0</v>
      </c>
      <c r="E294" s="2">
        <v>54990.0</v>
      </c>
      <c r="F294" s="3">
        <f t="shared" si="2"/>
        <v>0.4000727405</v>
      </c>
      <c r="G294" s="4">
        <f>IFERROR(__xludf.DUMMYFUNCTION("GOOGLEFINANCE(""CURRENCY:INRBRL"")*D294"),1972.7200699947998)</f>
        <v>1972.72007</v>
      </c>
      <c r="H294" s="1">
        <v>4.51</v>
      </c>
      <c r="I294" s="1">
        <v>1555.0</v>
      </c>
      <c r="J294" s="1" t="s">
        <v>1181</v>
      </c>
      <c r="K294" s="5" t="s">
        <v>1182</v>
      </c>
    </row>
    <row r="295">
      <c r="A295" s="1" t="s">
        <v>1183</v>
      </c>
      <c r="B295" s="1" t="s">
        <v>1184</v>
      </c>
      <c r="C295" s="1" t="s">
        <v>63</v>
      </c>
      <c r="D295" s="2">
        <v>599.0</v>
      </c>
      <c r="E295" s="2">
        <v>1999.0</v>
      </c>
      <c r="F295" s="3">
        <f t="shared" si="2"/>
        <v>0.7003501751</v>
      </c>
      <c r="G295" s="4">
        <f>IFERROR(__xludf.DUMMYFUNCTION("GOOGLEFINANCE(""CURRENCY:INRBRL"")*D295"),35.81871239548)</f>
        <v>35.8187124</v>
      </c>
      <c r="H295" s="1">
        <v>4.51</v>
      </c>
      <c r="I295" s="1">
        <v>47.0</v>
      </c>
      <c r="J295" s="1" t="s">
        <v>1185</v>
      </c>
      <c r="K295" s="5" t="s">
        <v>1186</v>
      </c>
    </row>
    <row r="296">
      <c r="A296" s="1" t="s">
        <v>1187</v>
      </c>
      <c r="B296" s="1" t="s">
        <v>1188</v>
      </c>
      <c r="C296" s="1" t="s">
        <v>13</v>
      </c>
      <c r="D296" s="2">
        <v>349.0</v>
      </c>
      <c r="E296" s="2">
        <v>899.0</v>
      </c>
      <c r="F296" s="3">
        <f t="shared" si="2"/>
        <v>0.6117908788</v>
      </c>
      <c r="G296" s="4">
        <f>IFERROR(__xludf.DUMMYFUNCTION("GOOGLEFINANCE(""CURRENCY:INRBRL"")*D296"),20.869333265479998)</f>
        <v>20.86933327</v>
      </c>
      <c r="H296" s="1">
        <v>4.51</v>
      </c>
      <c r="I296" s="1">
        <v>14896.0</v>
      </c>
      <c r="J296" s="1" t="s">
        <v>1189</v>
      </c>
      <c r="K296" s="5" t="s">
        <v>1190</v>
      </c>
    </row>
    <row r="297">
      <c r="A297" s="1" t="s">
        <v>1191</v>
      </c>
      <c r="B297" s="1" t="s">
        <v>1192</v>
      </c>
      <c r="C297" s="1" t="s">
        <v>79</v>
      </c>
      <c r="D297" s="2">
        <v>29999.0</v>
      </c>
      <c r="E297" s="2">
        <v>50999.0</v>
      </c>
      <c r="F297" s="3">
        <f t="shared" si="2"/>
        <v>0.4117727799</v>
      </c>
      <c r="G297" s="4">
        <f>IFERROR(__xludf.DUMMYFUNCTION("GOOGLEFINANCE(""CURRENCY:INRBRL"")*D297"),1793.8656980834799)</f>
        <v>1793.865698</v>
      </c>
      <c r="H297" s="1">
        <v>4.51</v>
      </c>
      <c r="I297" s="1">
        <v>1712.0</v>
      </c>
      <c r="J297" s="1" t="s">
        <v>1193</v>
      </c>
      <c r="K297" s="5" t="s">
        <v>1194</v>
      </c>
    </row>
    <row r="298">
      <c r="A298" s="1" t="s">
        <v>1195</v>
      </c>
      <c r="B298" s="1" t="s">
        <v>985</v>
      </c>
      <c r="C298" s="1" t="s">
        <v>208</v>
      </c>
      <c r="D298" s="2">
        <v>199.0</v>
      </c>
      <c r="E298" s="2">
        <v>399.0</v>
      </c>
      <c r="F298" s="3">
        <f t="shared" si="2"/>
        <v>0.5012531328</v>
      </c>
      <c r="G298" s="4">
        <f>IFERROR(__xludf.DUMMYFUNCTION("GOOGLEFINANCE(""CURRENCY:INRBRL"")*D298"),11.899705787479999)</f>
        <v>11.89970579</v>
      </c>
      <c r="H298" s="1">
        <v>4.51</v>
      </c>
      <c r="I298" s="1">
        <v>1335.0</v>
      </c>
      <c r="J298" s="1" t="s">
        <v>986</v>
      </c>
      <c r="K298" s="5" t="s">
        <v>1196</v>
      </c>
    </row>
    <row r="299">
      <c r="A299" s="1" t="s">
        <v>1197</v>
      </c>
      <c r="B299" s="1" t="s">
        <v>1198</v>
      </c>
      <c r="C299" s="1" t="s">
        <v>208</v>
      </c>
      <c r="D299" s="2">
        <v>349.0</v>
      </c>
      <c r="E299" s="2">
        <v>699.0</v>
      </c>
      <c r="F299" s="3">
        <f t="shared" si="2"/>
        <v>0.5007153076</v>
      </c>
      <c r="G299" s="4">
        <f>IFERROR(__xludf.DUMMYFUNCTION("GOOGLEFINANCE(""CURRENCY:INRBRL"")*D299"),20.869333265479998)</f>
        <v>20.86933327</v>
      </c>
      <c r="H299" s="1">
        <v>4.51</v>
      </c>
      <c r="I299" s="1">
        <v>214.0</v>
      </c>
      <c r="J299" s="1" t="s">
        <v>1199</v>
      </c>
      <c r="K299" s="5" t="s">
        <v>1200</v>
      </c>
    </row>
    <row r="300">
      <c r="A300" s="1" t="s">
        <v>1201</v>
      </c>
      <c r="B300" s="1" t="s">
        <v>1202</v>
      </c>
      <c r="C300" s="1" t="s">
        <v>290</v>
      </c>
      <c r="D300" s="2">
        <v>1850.0</v>
      </c>
      <c r="E300" s="2">
        <v>4500.0</v>
      </c>
      <c r="F300" s="3">
        <f t="shared" si="2"/>
        <v>0.5888888889</v>
      </c>
      <c r="G300" s="4">
        <f>IFERROR(__xludf.DUMMYFUNCTION("GOOGLEFINANCE(""CURRENCY:INRBRL"")*D300"),110.625405562)</f>
        <v>110.6254056</v>
      </c>
      <c r="H300" s="1">
        <v>4.51</v>
      </c>
      <c r="I300" s="1">
        <v>184.0</v>
      </c>
      <c r="J300" s="1" t="s">
        <v>1203</v>
      </c>
      <c r="K300" s="5" t="s">
        <v>1204</v>
      </c>
    </row>
    <row r="301">
      <c r="A301" s="1" t="s">
        <v>1205</v>
      </c>
      <c r="B301" s="1" t="s">
        <v>1206</v>
      </c>
      <c r="C301" s="1" t="s">
        <v>645</v>
      </c>
      <c r="D301" s="2">
        <v>13990.0</v>
      </c>
      <c r="E301" s="2">
        <v>28900.0</v>
      </c>
      <c r="F301" s="3">
        <f t="shared" si="2"/>
        <v>0.515916955</v>
      </c>
      <c r="G301" s="4">
        <f>IFERROR(__xludf.DUMMYFUNCTION("GOOGLEFINANCE(""CURRENCY:INRBRL"")*D301"),836.5672561148)</f>
        <v>836.5672561</v>
      </c>
      <c r="H301" s="1">
        <v>4.51</v>
      </c>
      <c r="I301" s="1">
        <v>7.0</v>
      </c>
      <c r="J301" s="1" t="s">
        <v>1207</v>
      </c>
      <c r="K301" s="5" t="s">
        <v>1208</v>
      </c>
    </row>
    <row r="302">
      <c r="A302" s="1" t="s">
        <v>1209</v>
      </c>
      <c r="B302" s="1" t="s">
        <v>1210</v>
      </c>
      <c r="C302" s="1" t="s">
        <v>13</v>
      </c>
      <c r="D302" s="2">
        <v>129.0</v>
      </c>
      <c r="E302" s="2">
        <v>449.0</v>
      </c>
      <c r="F302" s="3">
        <f t="shared" si="2"/>
        <v>0.7126948775</v>
      </c>
      <c r="G302" s="4">
        <f>IFERROR(__xludf.DUMMYFUNCTION("GOOGLEFINANCE(""CURRENCY:INRBRL"")*D302"),7.713879631079999)</f>
        <v>7.713879631</v>
      </c>
      <c r="H302" s="1">
        <v>4.51</v>
      </c>
      <c r="I302" s="1">
        <v>41.0</v>
      </c>
      <c r="J302" s="1" t="s">
        <v>1211</v>
      </c>
      <c r="K302" s="5" t="s">
        <v>1212</v>
      </c>
    </row>
    <row r="303">
      <c r="A303" s="1" t="s">
        <v>1213</v>
      </c>
      <c r="B303" s="1" t="s">
        <v>1214</v>
      </c>
      <c r="C303" s="1" t="s">
        <v>63</v>
      </c>
      <c r="D303" s="2">
        <v>379.0</v>
      </c>
      <c r="E303" s="2">
        <v>999.0</v>
      </c>
      <c r="F303" s="3">
        <f t="shared" si="2"/>
        <v>0.6206206206</v>
      </c>
      <c r="G303" s="4">
        <f>IFERROR(__xludf.DUMMYFUNCTION("GOOGLEFINANCE(""CURRENCY:INRBRL"")*D303"),22.663258761079998)</f>
        <v>22.66325876</v>
      </c>
      <c r="H303" s="1">
        <v>4.51</v>
      </c>
      <c r="I303" s="1">
        <v>12153.0</v>
      </c>
      <c r="J303" s="1" t="s">
        <v>1215</v>
      </c>
      <c r="K303" s="5" t="s">
        <v>1216</v>
      </c>
    </row>
    <row r="304">
      <c r="A304" s="1" t="s">
        <v>1217</v>
      </c>
      <c r="B304" s="1" t="s">
        <v>1218</v>
      </c>
      <c r="C304" s="1" t="s">
        <v>63</v>
      </c>
      <c r="D304" s="2">
        <v>185.0</v>
      </c>
      <c r="E304" s="2">
        <v>499.0</v>
      </c>
      <c r="F304" s="3">
        <f t="shared" si="2"/>
        <v>0.629258517</v>
      </c>
      <c r="G304" s="4">
        <f>IFERROR(__xludf.DUMMYFUNCTION("GOOGLEFINANCE(""CURRENCY:INRBRL"")*D304"),11.0625405562)</f>
        <v>11.06254056</v>
      </c>
      <c r="H304" s="1">
        <v>4.51</v>
      </c>
      <c r="I304" s="1">
        <v>25.0</v>
      </c>
      <c r="J304" s="1" t="s">
        <v>1219</v>
      </c>
      <c r="K304" s="5" t="s">
        <v>1220</v>
      </c>
    </row>
    <row r="305">
      <c r="A305" s="1" t="s">
        <v>1221</v>
      </c>
      <c r="B305" s="1" t="s">
        <v>1222</v>
      </c>
      <c r="C305" s="1" t="s">
        <v>46</v>
      </c>
      <c r="D305" s="2">
        <v>218.0</v>
      </c>
      <c r="E305" s="2">
        <v>999.0</v>
      </c>
      <c r="F305" s="3">
        <f t="shared" si="2"/>
        <v>0.7817817818</v>
      </c>
      <c r="G305" s="4">
        <f>IFERROR(__xludf.DUMMYFUNCTION("GOOGLEFINANCE(""CURRENCY:INRBRL"")*D305"),13.03585860136)</f>
        <v>13.0358586</v>
      </c>
      <c r="H305" s="1">
        <v>4.51</v>
      </c>
      <c r="I305" s="1">
        <v>163.0</v>
      </c>
      <c r="J305" s="1" t="s">
        <v>1223</v>
      </c>
      <c r="K305" s="5" t="s">
        <v>1224</v>
      </c>
    </row>
    <row r="306">
      <c r="A306" s="1" t="s">
        <v>1225</v>
      </c>
      <c r="B306" s="1" t="s">
        <v>1226</v>
      </c>
      <c r="C306" s="1" t="s">
        <v>13</v>
      </c>
      <c r="D306" s="2">
        <v>199.0</v>
      </c>
      <c r="E306" s="2">
        <v>999.0</v>
      </c>
      <c r="F306" s="3">
        <f t="shared" si="2"/>
        <v>0.8008008008</v>
      </c>
      <c r="G306" s="4">
        <f>IFERROR(__xludf.DUMMYFUNCTION("GOOGLEFINANCE(""CURRENCY:INRBRL"")*D306"),11.899705787479999)</f>
        <v>11.89970579</v>
      </c>
      <c r="H306" s="1">
        <v>4.51</v>
      </c>
      <c r="I306" s="1">
        <v>87.0</v>
      </c>
      <c r="J306" s="1" t="s">
        <v>1227</v>
      </c>
      <c r="K306" s="5" t="s">
        <v>1228</v>
      </c>
    </row>
    <row r="307">
      <c r="A307" s="1" t="s">
        <v>1229</v>
      </c>
      <c r="B307" s="1" t="s">
        <v>1230</v>
      </c>
      <c r="C307" s="1" t="s">
        <v>63</v>
      </c>
      <c r="D307" s="2">
        <v>499.0</v>
      </c>
      <c r="E307" s="2">
        <v>900.0</v>
      </c>
      <c r="F307" s="3">
        <f t="shared" si="2"/>
        <v>0.4455555556</v>
      </c>
      <c r="G307" s="4">
        <f>IFERROR(__xludf.DUMMYFUNCTION("GOOGLEFINANCE(""CURRENCY:INRBRL"")*D307"),29.838960743479998)</f>
        <v>29.83896074</v>
      </c>
      <c r="H307" s="1">
        <v>4.51</v>
      </c>
      <c r="I307" s="1">
        <v>2165.0</v>
      </c>
      <c r="J307" s="1" t="s">
        <v>1231</v>
      </c>
      <c r="K307" s="5" t="s">
        <v>1232</v>
      </c>
    </row>
    <row r="308">
      <c r="A308" s="1" t="s">
        <v>1233</v>
      </c>
      <c r="B308" s="1" t="s">
        <v>1234</v>
      </c>
      <c r="C308" s="1" t="s">
        <v>79</v>
      </c>
      <c r="D308" s="2">
        <v>26999.0</v>
      </c>
      <c r="E308" s="2">
        <v>42999.0</v>
      </c>
      <c r="F308" s="3">
        <f t="shared" si="2"/>
        <v>0.3721016768</v>
      </c>
      <c r="G308" s="4">
        <f>IFERROR(__xludf.DUMMYFUNCTION("GOOGLEFINANCE(""CURRENCY:INRBRL"")*D308"),1614.47314852348)</f>
        <v>1614.473149</v>
      </c>
      <c r="H308" s="1">
        <v>4.51</v>
      </c>
      <c r="I308" s="1">
        <v>151.0</v>
      </c>
      <c r="J308" s="1" t="s">
        <v>1235</v>
      </c>
      <c r="K308" s="5" t="s">
        <v>1236</v>
      </c>
    </row>
    <row r="309">
      <c r="A309" s="1" t="s">
        <v>1237</v>
      </c>
      <c r="B309" s="1" t="s">
        <v>1238</v>
      </c>
      <c r="C309" s="1" t="s">
        <v>290</v>
      </c>
      <c r="D309" s="2">
        <v>893.0</v>
      </c>
      <c r="E309" s="2">
        <v>1052.0</v>
      </c>
      <c r="F309" s="3">
        <f t="shared" si="2"/>
        <v>0.1511406844</v>
      </c>
      <c r="G309" s="4">
        <f>IFERROR(__xludf.DUMMYFUNCTION("GOOGLEFINANCE(""CURRENCY:INRBRL"")*D309"),53.39918225236)</f>
        <v>53.39918225</v>
      </c>
      <c r="H309" s="1">
        <v>4.51</v>
      </c>
      <c r="I309" s="1">
        <v>106.0</v>
      </c>
      <c r="J309" s="1" t="s">
        <v>1239</v>
      </c>
      <c r="K309" s="5" t="s">
        <v>1240</v>
      </c>
    </row>
    <row r="310">
      <c r="A310" s="1" t="s">
        <v>1241</v>
      </c>
      <c r="B310" s="1" t="s">
        <v>1242</v>
      </c>
      <c r="C310" s="1" t="s">
        <v>79</v>
      </c>
      <c r="D310" s="2">
        <v>10990.0</v>
      </c>
      <c r="E310" s="2">
        <v>19990.0</v>
      </c>
      <c r="F310" s="3">
        <f t="shared" si="2"/>
        <v>0.4502251126</v>
      </c>
      <c r="G310" s="4">
        <f>IFERROR(__xludf.DUMMYFUNCTION("GOOGLEFINANCE(""CURRENCY:INRBRL"")*D310"),657.1747065548)</f>
        <v>657.1747066</v>
      </c>
      <c r="H310" s="1">
        <v>4.51</v>
      </c>
      <c r="I310" s="1">
        <v>129.0</v>
      </c>
      <c r="J310" s="1" t="s">
        <v>1243</v>
      </c>
      <c r="K310" s="5" t="s">
        <v>1244</v>
      </c>
    </row>
    <row r="311">
      <c r="A311" s="1" t="s">
        <v>1245</v>
      </c>
      <c r="B311" s="1" t="s">
        <v>1246</v>
      </c>
      <c r="C311" s="1" t="s">
        <v>13</v>
      </c>
      <c r="D311" s="2">
        <v>379.0</v>
      </c>
      <c r="E311" s="2">
        <v>1099.0</v>
      </c>
      <c r="F311" s="3">
        <f t="shared" si="2"/>
        <v>0.6551410373</v>
      </c>
      <c r="G311" s="4">
        <f>IFERROR(__xludf.DUMMYFUNCTION("GOOGLEFINANCE(""CURRENCY:INRBRL"")*D311"),22.663258761079998)</f>
        <v>22.66325876</v>
      </c>
      <c r="H311" s="1">
        <v>4.51</v>
      </c>
      <c r="I311" s="1">
        <v>3049.0</v>
      </c>
      <c r="J311" s="1" t="s">
        <v>1247</v>
      </c>
      <c r="K311" s="5" t="s">
        <v>1248</v>
      </c>
    </row>
    <row r="312">
      <c r="A312" s="1" t="s">
        <v>1249</v>
      </c>
      <c r="B312" s="1" t="s">
        <v>1250</v>
      </c>
      <c r="C312" s="1" t="s">
        <v>79</v>
      </c>
      <c r="D312" s="2">
        <v>16999.0</v>
      </c>
      <c r="E312" s="2">
        <v>25999.0</v>
      </c>
      <c r="F312" s="3">
        <f t="shared" si="2"/>
        <v>0.3461671603</v>
      </c>
      <c r="G312" s="4">
        <f>IFERROR(__xludf.DUMMYFUNCTION("GOOGLEFINANCE(""CURRENCY:INRBRL"")*D312"),1016.49798332348)</f>
        <v>1016.497983</v>
      </c>
      <c r="H312" s="1">
        <v>4.51</v>
      </c>
      <c r="I312" s="1">
        <v>3284.0</v>
      </c>
      <c r="J312" s="1" t="s">
        <v>1251</v>
      </c>
      <c r="K312" s="5" t="s">
        <v>1252</v>
      </c>
    </row>
    <row r="313">
      <c r="A313" s="1" t="s">
        <v>1253</v>
      </c>
      <c r="B313" s="1" t="s">
        <v>1254</v>
      </c>
      <c r="C313" s="1" t="s">
        <v>63</v>
      </c>
      <c r="D313" s="2">
        <v>699.0</v>
      </c>
      <c r="E313" s="2">
        <v>1899.0</v>
      </c>
      <c r="F313" s="3">
        <f t="shared" si="2"/>
        <v>0.6319115324</v>
      </c>
      <c r="G313" s="4">
        <f>IFERROR(__xludf.DUMMYFUNCTION("GOOGLEFINANCE(""CURRENCY:INRBRL"")*D313"),41.798464047479996)</f>
        <v>41.79846405</v>
      </c>
      <c r="H313" s="1">
        <v>4.51</v>
      </c>
      <c r="I313" s="1">
        <v>390.0</v>
      </c>
      <c r="J313" s="1" t="s">
        <v>1255</v>
      </c>
      <c r="K313" s="5" t="s">
        <v>1256</v>
      </c>
    </row>
    <row r="314">
      <c r="A314" s="1" t="s">
        <v>1257</v>
      </c>
      <c r="B314" s="1" t="s">
        <v>1258</v>
      </c>
      <c r="C314" s="1" t="s">
        <v>1259</v>
      </c>
      <c r="D314" s="2">
        <v>2699.0</v>
      </c>
      <c r="E314" s="2">
        <v>3500.0</v>
      </c>
      <c r="F314" s="3">
        <f t="shared" si="2"/>
        <v>0.2288571429</v>
      </c>
      <c r="G314" s="4">
        <f>IFERROR(__xludf.DUMMYFUNCTION("GOOGLEFINANCE(""CURRENCY:INRBRL"")*D314"),161.39349708748)</f>
        <v>161.3934971</v>
      </c>
      <c r="H314" s="1">
        <v>4.51</v>
      </c>
      <c r="I314" s="1">
        <v>621.0</v>
      </c>
      <c r="J314" s="1" t="s">
        <v>1260</v>
      </c>
      <c r="K314" s="5" t="s">
        <v>1261</v>
      </c>
    </row>
    <row r="315">
      <c r="A315" s="1" t="s">
        <v>1262</v>
      </c>
      <c r="B315" s="1" t="s">
        <v>1263</v>
      </c>
      <c r="C315" s="1" t="s">
        <v>13</v>
      </c>
      <c r="D315" s="2">
        <v>129.0</v>
      </c>
      <c r="E315" s="2">
        <v>599.0</v>
      </c>
      <c r="F315" s="3">
        <f t="shared" si="2"/>
        <v>0.7846410684</v>
      </c>
      <c r="G315" s="4">
        <f>IFERROR(__xludf.DUMMYFUNCTION("GOOGLEFINANCE(""CURRENCY:INRBRL"")*D315"),7.713879631079999)</f>
        <v>7.713879631</v>
      </c>
      <c r="H315" s="1">
        <v>4.51</v>
      </c>
      <c r="I315" s="1">
        <v>265.0</v>
      </c>
      <c r="J315" s="1" t="s">
        <v>1264</v>
      </c>
      <c r="K315" s="5" t="s">
        <v>1265</v>
      </c>
    </row>
    <row r="316">
      <c r="A316" s="1" t="s">
        <v>1266</v>
      </c>
      <c r="B316" s="1" t="s">
        <v>1267</v>
      </c>
      <c r="C316" s="1" t="s">
        <v>13</v>
      </c>
      <c r="D316" s="2">
        <v>389.0</v>
      </c>
      <c r="E316" s="2">
        <v>999.0</v>
      </c>
      <c r="F316" s="3">
        <f t="shared" si="2"/>
        <v>0.6106106106</v>
      </c>
      <c r="G316" s="4">
        <f>IFERROR(__xludf.DUMMYFUNCTION("GOOGLEFINANCE(""CURRENCY:INRBRL"")*D316"),23.26123392628)</f>
        <v>23.26123393</v>
      </c>
      <c r="H316" s="1">
        <v>4.51</v>
      </c>
      <c r="I316" s="1">
        <v>838.0</v>
      </c>
      <c r="J316" s="1" t="s">
        <v>1268</v>
      </c>
      <c r="K316" s="5" t="s">
        <v>1269</v>
      </c>
    </row>
    <row r="317">
      <c r="A317" s="1" t="s">
        <v>1270</v>
      </c>
      <c r="B317" s="1" t="s">
        <v>1271</v>
      </c>
      <c r="C317" s="1" t="s">
        <v>208</v>
      </c>
      <c r="D317" s="2">
        <v>246.0</v>
      </c>
      <c r="E317" s="2">
        <v>600.0</v>
      </c>
      <c r="F317" s="3">
        <f t="shared" si="2"/>
        <v>0.59</v>
      </c>
      <c r="G317" s="4">
        <f>IFERROR(__xludf.DUMMYFUNCTION("GOOGLEFINANCE(""CURRENCY:INRBRL"")*D317"),14.71018906392)</f>
        <v>14.71018906</v>
      </c>
      <c r="H317" s="1">
        <v>4.51</v>
      </c>
      <c r="I317" s="1">
        <v>143.0</v>
      </c>
      <c r="J317" s="1" t="s">
        <v>1272</v>
      </c>
      <c r="K317" s="5" t="s">
        <v>1273</v>
      </c>
    </row>
    <row r="318">
      <c r="A318" s="1" t="s">
        <v>1274</v>
      </c>
      <c r="B318" s="1" t="s">
        <v>1275</v>
      </c>
      <c r="C318" s="1" t="s">
        <v>13</v>
      </c>
      <c r="D318" s="2">
        <v>299.0</v>
      </c>
      <c r="E318" s="2">
        <v>799.0</v>
      </c>
      <c r="F318" s="3">
        <f t="shared" si="2"/>
        <v>0.6257822278</v>
      </c>
      <c r="G318" s="4">
        <f>IFERROR(__xludf.DUMMYFUNCTION("GOOGLEFINANCE(""CURRENCY:INRBRL"")*D318"),17.87945743948)</f>
        <v>17.87945744</v>
      </c>
      <c r="H318" s="1">
        <v>4.51</v>
      </c>
      <c r="I318" s="1">
        <v>151.0</v>
      </c>
      <c r="J318" s="1" t="s">
        <v>1276</v>
      </c>
      <c r="K318" s="5" t="s">
        <v>1277</v>
      </c>
    </row>
    <row r="319">
      <c r="A319" s="1" t="s">
        <v>1278</v>
      </c>
      <c r="B319" s="1" t="s">
        <v>1279</v>
      </c>
      <c r="C319" s="1" t="s">
        <v>208</v>
      </c>
      <c r="D319" s="2">
        <v>247.0</v>
      </c>
      <c r="E319" s="2">
        <v>399.0</v>
      </c>
      <c r="F319" s="3">
        <f t="shared" si="2"/>
        <v>0.380952381</v>
      </c>
      <c r="G319" s="4">
        <f>IFERROR(__xludf.DUMMYFUNCTION("GOOGLEFINANCE(""CURRENCY:INRBRL"")*D319"),14.76998658044)</f>
        <v>14.76998658</v>
      </c>
      <c r="H319" s="1">
        <v>4.51</v>
      </c>
      <c r="I319" s="1">
        <v>200.0</v>
      </c>
      <c r="J319" s="1" t="s">
        <v>1280</v>
      </c>
      <c r="K319" s="5" t="s">
        <v>1281</v>
      </c>
    </row>
    <row r="320">
      <c r="A320" s="1" t="s">
        <v>1282</v>
      </c>
      <c r="B320" s="1" t="s">
        <v>1283</v>
      </c>
      <c r="C320" s="1" t="s">
        <v>208</v>
      </c>
      <c r="D320" s="2">
        <v>1369.0</v>
      </c>
      <c r="E320" s="2">
        <v>2999.0</v>
      </c>
      <c r="F320" s="3">
        <f t="shared" si="2"/>
        <v>0.5435145048</v>
      </c>
      <c r="G320" s="4">
        <f>IFERROR(__xludf.DUMMYFUNCTION("GOOGLEFINANCE(""CURRENCY:INRBRL"")*D320"),81.86280011587999)</f>
        <v>81.86280012</v>
      </c>
      <c r="H320" s="1">
        <v>4.51</v>
      </c>
      <c r="I320" s="1">
        <v>227.0</v>
      </c>
      <c r="J320" s="1" t="s">
        <v>1284</v>
      </c>
      <c r="K320" s="5" t="s">
        <v>1285</v>
      </c>
    </row>
    <row r="321">
      <c r="A321" s="1" t="s">
        <v>1286</v>
      </c>
      <c r="B321" s="1" t="s">
        <v>1287</v>
      </c>
      <c r="C321" s="1" t="s">
        <v>208</v>
      </c>
      <c r="D321" s="2">
        <v>199.0</v>
      </c>
      <c r="E321" s="2">
        <v>499.0</v>
      </c>
      <c r="F321" s="3">
        <f t="shared" si="2"/>
        <v>0.6012024048</v>
      </c>
      <c r="G321" s="4">
        <f>IFERROR(__xludf.DUMMYFUNCTION("GOOGLEFINANCE(""CURRENCY:INRBRL"")*D321"),11.899705787479999)</f>
        <v>11.89970579</v>
      </c>
      <c r="H321" s="1">
        <v>4.51</v>
      </c>
      <c r="I321" s="1">
        <v>538.0</v>
      </c>
      <c r="J321" s="1" t="s">
        <v>1288</v>
      </c>
      <c r="K321" s="5" t="s">
        <v>1289</v>
      </c>
    </row>
    <row r="322">
      <c r="A322" s="1" t="s">
        <v>1290</v>
      </c>
      <c r="B322" s="1" t="s">
        <v>1291</v>
      </c>
      <c r="C322" s="1" t="s">
        <v>63</v>
      </c>
      <c r="D322" s="2">
        <v>299.0</v>
      </c>
      <c r="E322" s="2">
        <v>599.0</v>
      </c>
      <c r="F322" s="3">
        <f t="shared" si="2"/>
        <v>0.5008347245</v>
      </c>
      <c r="G322" s="4">
        <f>IFERROR(__xludf.DUMMYFUNCTION("GOOGLEFINANCE(""CURRENCY:INRBRL"")*D322"),17.87945743948)</f>
        <v>17.87945744</v>
      </c>
      <c r="H322" s="1">
        <v>4.51</v>
      </c>
      <c r="I322" s="1">
        <v>171.0</v>
      </c>
      <c r="J322" s="1" t="s">
        <v>1292</v>
      </c>
      <c r="K322" s="5" t="s">
        <v>1293</v>
      </c>
    </row>
    <row r="323">
      <c r="A323" s="1" t="s">
        <v>1294</v>
      </c>
      <c r="B323" s="1" t="s">
        <v>1295</v>
      </c>
      <c r="C323" s="1" t="s">
        <v>79</v>
      </c>
      <c r="D323" s="2">
        <v>14999.0</v>
      </c>
      <c r="E323" s="2">
        <v>14999.0</v>
      </c>
      <c r="F323" s="3">
        <f t="shared" si="2"/>
        <v>0</v>
      </c>
      <c r="G323" s="4">
        <f>IFERROR(__xludf.DUMMYFUNCTION("GOOGLEFINANCE(""CURRENCY:INRBRL"")*D323"),896.90295028348)</f>
        <v>896.9029503</v>
      </c>
      <c r="H323" s="1">
        <v>4.51</v>
      </c>
      <c r="I323" s="1">
        <v>27508.0</v>
      </c>
      <c r="J323" s="1" t="s">
        <v>1296</v>
      </c>
      <c r="K323" s="5" t="s">
        <v>1297</v>
      </c>
    </row>
    <row r="324">
      <c r="A324" s="1" t="s">
        <v>1298</v>
      </c>
      <c r="B324" s="1" t="s">
        <v>1299</v>
      </c>
      <c r="C324" s="1" t="s">
        <v>13</v>
      </c>
      <c r="D324" s="2">
        <v>299.0</v>
      </c>
      <c r="E324" s="2">
        <v>699.0</v>
      </c>
      <c r="F324" s="3">
        <f t="shared" si="2"/>
        <v>0.5722460658</v>
      </c>
      <c r="G324" s="4">
        <f>IFERROR(__xludf.DUMMYFUNCTION("GOOGLEFINANCE(""CURRENCY:INRBRL"")*D324"),17.87945743948)</f>
        <v>17.87945744</v>
      </c>
      <c r="H324" s="1">
        <v>4.51</v>
      </c>
      <c r="I324" s="1">
        <v>1454.0</v>
      </c>
      <c r="J324" s="1" t="s">
        <v>1300</v>
      </c>
      <c r="K324" s="5" t="s">
        <v>1301</v>
      </c>
    </row>
    <row r="325">
      <c r="A325" s="1" t="s">
        <v>1302</v>
      </c>
      <c r="B325" s="1" t="s">
        <v>1303</v>
      </c>
      <c r="C325" s="1" t="s">
        <v>79</v>
      </c>
      <c r="D325" s="2">
        <v>24990.0</v>
      </c>
      <c r="E325" s="2">
        <v>51990.0</v>
      </c>
      <c r="F325" s="3">
        <f t="shared" si="2"/>
        <v>0.5193306405</v>
      </c>
      <c r="G325" s="4">
        <f>IFERROR(__xludf.DUMMYFUNCTION("GOOGLEFINANCE(""CURRENCY:INRBRL"")*D325"),1494.3399378348)</f>
        <v>1494.339938</v>
      </c>
      <c r="H325" s="1">
        <v>4.51</v>
      </c>
      <c r="I325" s="1">
        <v>2951.0</v>
      </c>
      <c r="J325" s="1" t="s">
        <v>1304</v>
      </c>
      <c r="K325" s="5" t="s">
        <v>1305</v>
      </c>
    </row>
    <row r="326">
      <c r="A326" s="1" t="s">
        <v>1306</v>
      </c>
      <c r="B326" s="1" t="s">
        <v>1307</v>
      </c>
      <c r="C326" s="1" t="s">
        <v>13</v>
      </c>
      <c r="D326" s="2">
        <v>249.0</v>
      </c>
      <c r="E326" s="2">
        <v>999.0</v>
      </c>
      <c r="F326" s="3">
        <f t="shared" si="2"/>
        <v>0.7507507508</v>
      </c>
      <c r="G326" s="4">
        <f>IFERROR(__xludf.DUMMYFUNCTION("GOOGLEFINANCE(""CURRENCY:INRBRL"")*D326"),14.889581613479999)</f>
        <v>14.88958161</v>
      </c>
      <c r="H326" s="1">
        <v>4.51</v>
      </c>
      <c r="I326" s="1">
        <v>0.0</v>
      </c>
      <c r="J326" s="1" t="s">
        <v>1308</v>
      </c>
      <c r="K326" s="5" t="s">
        <v>1309</v>
      </c>
    </row>
    <row r="327">
      <c r="A327" s="1" t="s">
        <v>1310</v>
      </c>
      <c r="B327" s="1" t="s">
        <v>1311</v>
      </c>
      <c r="C327" s="1" t="s">
        <v>79</v>
      </c>
      <c r="D327" s="2">
        <v>61999.0</v>
      </c>
      <c r="E327" s="2">
        <v>69999.0</v>
      </c>
      <c r="F327" s="3">
        <f t="shared" si="2"/>
        <v>0.114287347</v>
      </c>
      <c r="G327" s="4">
        <f>IFERROR(__xludf.DUMMYFUNCTION("GOOGLEFINANCE(""CURRENCY:INRBRL"")*D327"),3707.38622672348)</f>
        <v>3707.386227</v>
      </c>
      <c r="H327" s="1">
        <v>4.51</v>
      </c>
      <c r="I327" s="1">
        <v>6753.0</v>
      </c>
      <c r="J327" s="1" t="s">
        <v>1312</v>
      </c>
      <c r="K327" s="5" t="s">
        <v>1313</v>
      </c>
    </row>
    <row r="328">
      <c r="A328" s="1" t="s">
        <v>1314</v>
      </c>
      <c r="B328" s="1" t="s">
        <v>1315</v>
      </c>
      <c r="C328" s="1" t="s">
        <v>79</v>
      </c>
      <c r="D328" s="2">
        <v>24499.0</v>
      </c>
      <c r="E328" s="2">
        <v>50000.0</v>
      </c>
      <c r="F328" s="3">
        <f t="shared" si="2"/>
        <v>0.51002</v>
      </c>
      <c r="G328" s="4">
        <f>IFERROR(__xludf.DUMMYFUNCTION("GOOGLEFINANCE(""CURRENCY:INRBRL"")*D328"),1464.9793572234798)</f>
        <v>1464.979357</v>
      </c>
      <c r="H328" s="1">
        <v>4.51</v>
      </c>
      <c r="I328" s="1">
        <v>3518.0</v>
      </c>
      <c r="J328" s="1" t="s">
        <v>1316</v>
      </c>
      <c r="K328" s="5" t="s">
        <v>1317</v>
      </c>
    </row>
    <row r="329">
      <c r="A329" s="1" t="s">
        <v>1318</v>
      </c>
      <c r="B329" s="1" t="s">
        <v>1319</v>
      </c>
      <c r="C329" s="1" t="s">
        <v>79</v>
      </c>
      <c r="D329" s="2">
        <v>10499.0</v>
      </c>
      <c r="E329" s="2">
        <v>19499.0</v>
      </c>
      <c r="F329" s="3">
        <f t="shared" si="2"/>
        <v>0.4615621314</v>
      </c>
      <c r="G329" s="4">
        <f>IFERROR(__xludf.DUMMYFUNCTION("GOOGLEFINANCE(""CURRENCY:INRBRL"")*D329"),627.81412594348)</f>
        <v>627.8141259</v>
      </c>
      <c r="H329" s="1">
        <v>4.51</v>
      </c>
      <c r="I329" s="1">
        <v>151.0</v>
      </c>
      <c r="J329" s="1" t="s">
        <v>1320</v>
      </c>
      <c r="K329" s="5" t="s">
        <v>1321</v>
      </c>
    </row>
    <row r="330">
      <c r="A330" s="1" t="s">
        <v>1322</v>
      </c>
      <c r="B330" s="1" t="s">
        <v>1323</v>
      </c>
      <c r="C330" s="1" t="s">
        <v>13</v>
      </c>
      <c r="D330" s="2">
        <v>349.0</v>
      </c>
      <c r="E330" s="2">
        <v>999.0</v>
      </c>
      <c r="F330" s="3">
        <f t="shared" si="2"/>
        <v>0.6506506507</v>
      </c>
      <c r="G330" s="4">
        <f>IFERROR(__xludf.DUMMYFUNCTION("GOOGLEFINANCE(""CURRENCY:INRBRL"")*D330"),20.869333265479998)</f>
        <v>20.86933327</v>
      </c>
      <c r="H330" s="1">
        <v>4.51</v>
      </c>
      <c r="I330" s="1">
        <v>838.0</v>
      </c>
      <c r="J330" s="1" t="s">
        <v>1324</v>
      </c>
      <c r="K330" s="5" t="s">
        <v>1325</v>
      </c>
    </row>
    <row r="331">
      <c r="A331" s="1" t="s">
        <v>1326</v>
      </c>
      <c r="B331" s="1" t="s">
        <v>1327</v>
      </c>
      <c r="C331" s="1" t="s">
        <v>208</v>
      </c>
      <c r="D331" s="2">
        <v>197.0</v>
      </c>
      <c r="E331" s="2">
        <v>499.0</v>
      </c>
      <c r="F331" s="3">
        <f t="shared" si="2"/>
        <v>0.6052104208</v>
      </c>
      <c r="G331" s="4">
        <f>IFERROR(__xludf.DUMMYFUNCTION("GOOGLEFINANCE(""CURRENCY:INRBRL"")*D331"),11.780110754439999)</f>
        <v>11.78011075</v>
      </c>
      <c r="H331" s="1">
        <v>4.51</v>
      </c>
      <c r="I331" s="1">
        <v>136.0</v>
      </c>
      <c r="J331" s="1" t="s">
        <v>1328</v>
      </c>
      <c r="K331" s="5" t="s">
        <v>1329</v>
      </c>
    </row>
    <row r="332">
      <c r="A332" s="1" t="s">
        <v>1330</v>
      </c>
      <c r="B332" s="1" t="s">
        <v>1331</v>
      </c>
      <c r="C332" s="1" t="s">
        <v>911</v>
      </c>
      <c r="D332" s="2">
        <v>1299.0</v>
      </c>
      <c r="E332" s="2">
        <v>2499.0</v>
      </c>
      <c r="F332" s="3">
        <f t="shared" si="2"/>
        <v>0.4801920768</v>
      </c>
      <c r="G332" s="4">
        <f>IFERROR(__xludf.DUMMYFUNCTION("GOOGLEFINANCE(""CURRENCY:INRBRL"")*D332"),77.67697395948)</f>
        <v>77.67697396</v>
      </c>
      <c r="H332" s="1">
        <v>4.51</v>
      </c>
      <c r="I332" s="1">
        <v>301.0</v>
      </c>
      <c r="J332" s="1" t="s">
        <v>1332</v>
      </c>
      <c r="K332" s="5" t="s">
        <v>1333</v>
      </c>
    </row>
    <row r="333">
      <c r="A333" s="1" t="s">
        <v>1334</v>
      </c>
      <c r="B333" s="1" t="s">
        <v>1335</v>
      </c>
      <c r="C333" s="1" t="s">
        <v>13</v>
      </c>
      <c r="D333" s="2">
        <v>1519.0</v>
      </c>
      <c r="E333" s="2">
        <v>1899.0</v>
      </c>
      <c r="F333" s="3">
        <f t="shared" si="2"/>
        <v>0.2001053186</v>
      </c>
      <c r="G333" s="4">
        <f>IFERROR(__xludf.DUMMYFUNCTION("GOOGLEFINANCE(""CURRENCY:INRBRL"")*D333"),90.83242759388)</f>
        <v>90.83242759</v>
      </c>
      <c r="H333" s="1">
        <v>4.51</v>
      </c>
      <c r="I333" s="1">
        <v>19763.0</v>
      </c>
      <c r="J333" s="1" t="s">
        <v>1336</v>
      </c>
      <c r="K333" s="5" t="s">
        <v>1337</v>
      </c>
    </row>
    <row r="334">
      <c r="A334" s="1" t="s">
        <v>1338</v>
      </c>
      <c r="B334" s="1" t="s">
        <v>1339</v>
      </c>
      <c r="C334" s="1" t="s">
        <v>79</v>
      </c>
      <c r="D334" s="2">
        <v>46999.0</v>
      </c>
      <c r="E334" s="2">
        <v>69999.0</v>
      </c>
      <c r="F334" s="3">
        <f t="shared" si="2"/>
        <v>0.3285761225</v>
      </c>
      <c r="G334" s="4">
        <f>IFERROR(__xludf.DUMMYFUNCTION("GOOGLEFINANCE(""CURRENCY:INRBRL"")*D334"),2810.4234789234797)</f>
        <v>2810.423479</v>
      </c>
      <c r="H334" s="1">
        <v>4.51</v>
      </c>
      <c r="I334" s="1">
        <v>21252.0</v>
      </c>
      <c r="J334" s="1" t="s">
        <v>1340</v>
      </c>
      <c r="K334" s="5" t="s">
        <v>1341</v>
      </c>
    </row>
    <row r="335">
      <c r="A335" s="1" t="s">
        <v>1342</v>
      </c>
      <c r="B335" s="1" t="s">
        <v>1343</v>
      </c>
      <c r="C335" s="1" t="s">
        <v>13</v>
      </c>
      <c r="D335" s="2">
        <v>299.0</v>
      </c>
      <c r="E335" s="2">
        <v>799.0</v>
      </c>
      <c r="F335" s="3">
        <f>((D335-E335)/E335)*-1</f>
        <v>0.6257822278</v>
      </c>
      <c r="G335" s="4">
        <f>IFERROR(__xludf.DUMMYFUNCTION("GOOGLEFINANCE(""CURRENCY:INRBRL"")*D335"),17.87945743948)</f>
        <v>17.87945744</v>
      </c>
      <c r="H335" s="1">
        <v>4.51</v>
      </c>
      <c r="I335" s="1">
        <v>1902.0</v>
      </c>
      <c r="J335" s="1" t="s">
        <v>1344</v>
      </c>
      <c r="K335" s="5" t="s">
        <v>1345</v>
      </c>
    </row>
    <row r="336">
      <c r="A336" s="1" t="s">
        <v>1346</v>
      </c>
      <c r="B336" s="1" t="s">
        <v>1347</v>
      </c>
      <c r="C336" s="1" t="s">
        <v>1348</v>
      </c>
      <c r="D336" s="2">
        <v>1799.0</v>
      </c>
      <c r="E336" s="2">
        <v>1999.0</v>
      </c>
      <c r="F336" s="3">
        <f t="shared" ref="F336:F492" si="3">((D336-E336)/-E336)</f>
        <v>0.100050025</v>
      </c>
      <c r="G336" s="4">
        <f>IFERROR(__xludf.DUMMYFUNCTION("GOOGLEFINANCE(""CURRENCY:INRBRL"")*D336"),107.57573221947999)</f>
        <v>107.5757322</v>
      </c>
      <c r="H336" s="1">
        <v>4.51</v>
      </c>
      <c r="I336" s="1">
        <v>13937.0</v>
      </c>
      <c r="J336" s="1" t="s">
        <v>1349</v>
      </c>
      <c r="K336" s="5" t="s">
        <v>1350</v>
      </c>
    </row>
    <row r="337">
      <c r="A337" s="1" t="s">
        <v>1351</v>
      </c>
      <c r="B337" s="1" t="s">
        <v>1352</v>
      </c>
      <c r="C337" s="1" t="s">
        <v>1348</v>
      </c>
      <c r="D337" s="2">
        <v>1998.0</v>
      </c>
      <c r="E337" s="2">
        <v>9999.0</v>
      </c>
      <c r="F337" s="3">
        <f t="shared" si="3"/>
        <v>0.800180018</v>
      </c>
      <c r="G337" s="4">
        <f>IFERROR(__xludf.DUMMYFUNCTION("GOOGLEFINANCE(""CURRENCY:INRBRL"")*D337"),119.47543800695999)</f>
        <v>119.475438</v>
      </c>
      <c r="H337" s="1">
        <v>4.51</v>
      </c>
      <c r="I337" s="1">
        <v>27696.0</v>
      </c>
      <c r="J337" s="1" t="s">
        <v>1353</v>
      </c>
      <c r="K337" s="5" t="s">
        <v>1354</v>
      </c>
    </row>
    <row r="338">
      <c r="A338" s="1" t="s">
        <v>1355</v>
      </c>
      <c r="B338" s="1" t="s">
        <v>1356</v>
      </c>
      <c r="C338" s="1" t="s">
        <v>1348</v>
      </c>
      <c r="D338" s="2">
        <v>1999.0</v>
      </c>
      <c r="E338" s="2">
        <v>7990.0</v>
      </c>
      <c r="F338" s="3">
        <f t="shared" si="3"/>
        <v>0.7498122653</v>
      </c>
      <c r="G338" s="4">
        <f>IFERROR(__xludf.DUMMYFUNCTION("GOOGLEFINANCE(""CURRENCY:INRBRL"")*D338"),119.53523552348)</f>
        <v>119.5352355</v>
      </c>
      <c r="H338" s="1">
        <v>4.51</v>
      </c>
      <c r="I338" s="1">
        <v>17831.0</v>
      </c>
      <c r="J338" s="1" t="s">
        <v>1357</v>
      </c>
      <c r="K338" s="5" t="s">
        <v>1358</v>
      </c>
    </row>
    <row r="339">
      <c r="A339" s="1" t="s">
        <v>1359</v>
      </c>
      <c r="B339" s="1" t="s">
        <v>1360</v>
      </c>
      <c r="C339" s="1" t="s">
        <v>1361</v>
      </c>
      <c r="D339" s="2">
        <v>2049.0</v>
      </c>
      <c r="E339" s="2">
        <v>2199.0</v>
      </c>
      <c r="F339" s="3">
        <f t="shared" si="3"/>
        <v>0.06821282401</v>
      </c>
      <c r="G339" s="4">
        <f>IFERROR(__xludf.DUMMYFUNCTION("GOOGLEFINANCE(""CURRENCY:INRBRL"")*D339"),122.52511134948)</f>
        <v>122.5251113</v>
      </c>
      <c r="H339" s="1">
        <v>4.51</v>
      </c>
      <c r="I339" s="1">
        <v>178912.0</v>
      </c>
      <c r="J339" s="1" t="s">
        <v>1362</v>
      </c>
      <c r="K339" s="5" t="s">
        <v>1363</v>
      </c>
    </row>
    <row r="340">
      <c r="A340" s="1" t="s">
        <v>1364</v>
      </c>
      <c r="B340" s="1" t="s">
        <v>1365</v>
      </c>
      <c r="C340" s="1" t="s">
        <v>1366</v>
      </c>
      <c r="D340" s="2">
        <v>6499.0</v>
      </c>
      <c r="E340" s="2">
        <v>8999.0</v>
      </c>
      <c r="F340" s="3">
        <f t="shared" si="3"/>
        <v>0.2778086454</v>
      </c>
      <c r="G340" s="4">
        <f>IFERROR(__xludf.DUMMYFUNCTION("GOOGLEFINANCE(""CURRENCY:INRBRL"")*D340"),388.62405986348)</f>
        <v>388.6240599</v>
      </c>
      <c r="H340" s="1">
        <v>4.51</v>
      </c>
      <c r="I340" s="1">
        <v>7807.0</v>
      </c>
      <c r="J340" s="1" t="s">
        <v>1367</v>
      </c>
      <c r="K340" s="5" t="s">
        <v>1368</v>
      </c>
    </row>
    <row r="341">
      <c r="A341" s="1" t="s">
        <v>1369</v>
      </c>
      <c r="B341" s="1" t="s">
        <v>1370</v>
      </c>
      <c r="C341" s="1" t="s">
        <v>1366</v>
      </c>
      <c r="D341" s="2">
        <v>28999.0</v>
      </c>
      <c r="E341" s="2">
        <v>28999.0</v>
      </c>
      <c r="F341" s="3">
        <f t="shared" si="3"/>
        <v>0</v>
      </c>
      <c r="G341" s="4">
        <f>IFERROR(__xludf.DUMMYFUNCTION("GOOGLEFINANCE(""CURRENCY:INRBRL"")*D341"),1734.0681815634798)</f>
        <v>1734.068182</v>
      </c>
      <c r="H341" s="1">
        <v>4.51</v>
      </c>
      <c r="I341" s="1">
        <v>17415.0</v>
      </c>
      <c r="J341" s="1" t="s">
        <v>1371</v>
      </c>
      <c r="K341" s="5" t="s">
        <v>1372</v>
      </c>
    </row>
    <row r="342">
      <c r="A342" s="1" t="s">
        <v>1373</v>
      </c>
      <c r="B342" s="1" t="s">
        <v>1374</v>
      </c>
      <c r="C342" s="1" t="s">
        <v>1366</v>
      </c>
      <c r="D342" s="2">
        <v>28999.0</v>
      </c>
      <c r="E342" s="2">
        <v>28999.0</v>
      </c>
      <c r="F342" s="3">
        <f t="shared" si="3"/>
        <v>0</v>
      </c>
      <c r="G342" s="4">
        <f>IFERROR(__xludf.DUMMYFUNCTION("GOOGLEFINANCE(""CURRENCY:INRBRL"")*D342"),1734.0681815634798)</f>
        <v>1734.068182</v>
      </c>
      <c r="H342" s="1">
        <v>4.51</v>
      </c>
      <c r="I342" s="1">
        <v>17415.0</v>
      </c>
      <c r="J342" s="1" t="s">
        <v>1375</v>
      </c>
      <c r="K342" s="5" t="s">
        <v>1376</v>
      </c>
    </row>
    <row r="343">
      <c r="A343" s="1" t="s">
        <v>1377</v>
      </c>
      <c r="B343" s="1" t="s">
        <v>1378</v>
      </c>
      <c r="C343" s="1" t="s">
        <v>1366</v>
      </c>
      <c r="D343" s="2">
        <v>6499.0</v>
      </c>
      <c r="E343" s="2">
        <v>8999.0</v>
      </c>
      <c r="F343" s="3">
        <f t="shared" si="3"/>
        <v>0.2778086454</v>
      </c>
      <c r="G343" s="4">
        <f>IFERROR(__xludf.DUMMYFUNCTION("GOOGLEFINANCE(""CURRENCY:INRBRL"")*D343"),388.62405986348)</f>
        <v>388.6240599</v>
      </c>
      <c r="H343" s="1">
        <v>4.51</v>
      </c>
      <c r="I343" s="1">
        <v>7807.0</v>
      </c>
      <c r="J343" s="1" t="s">
        <v>1367</v>
      </c>
      <c r="K343" s="5" t="s">
        <v>1379</v>
      </c>
    </row>
    <row r="344">
      <c r="A344" s="1" t="s">
        <v>1380</v>
      </c>
      <c r="B344" s="1" t="s">
        <v>1381</v>
      </c>
      <c r="C344" s="1" t="s">
        <v>1366</v>
      </c>
      <c r="D344" s="2">
        <v>6499.0</v>
      </c>
      <c r="E344" s="2">
        <v>8999.0</v>
      </c>
      <c r="F344" s="3">
        <f t="shared" si="3"/>
        <v>0.2778086454</v>
      </c>
      <c r="G344" s="4">
        <f>IFERROR(__xludf.DUMMYFUNCTION("GOOGLEFINANCE(""CURRENCY:INRBRL"")*D344"),388.62405986348)</f>
        <v>388.6240599</v>
      </c>
      <c r="H344" s="1">
        <v>4.51</v>
      </c>
      <c r="I344" s="1">
        <v>7807.0</v>
      </c>
      <c r="J344" s="1" t="s">
        <v>1367</v>
      </c>
      <c r="K344" s="5" t="s">
        <v>1382</v>
      </c>
    </row>
    <row r="345">
      <c r="A345" s="1" t="s">
        <v>1383</v>
      </c>
      <c r="B345" s="1" t="s">
        <v>1384</v>
      </c>
      <c r="C345" s="1" t="s">
        <v>1385</v>
      </c>
      <c r="D345" s="2">
        <v>569.0</v>
      </c>
      <c r="E345" s="2">
        <v>1000.0</v>
      </c>
      <c r="F345" s="3">
        <f t="shared" si="3"/>
        <v>0.431</v>
      </c>
      <c r="G345" s="4">
        <f>IFERROR(__xludf.DUMMYFUNCTION("GOOGLEFINANCE(""CURRENCY:INRBRL"")*D345"),34.02478689988)</f>
        <v>34.0247869</v>
      </c>
      <c r="H345" s="1">
        <v>4.51</v>
      </c>
      <c r="I345" s="1">
        <v>67259.0</v>
      </c>
      <c r="J345" s="1" t="s">
        <v>1386</v>
      </c>
      <c r="K345" s="5" t="s">
        <v>1387</v>
      </c>
    </row>
    <row r="346">
      <c r="A346" s="1" t="s">
        <v>1388</v>
      </c>
      <c r="B346" s="1" t="s">
        <v>1389</v>
      </c>
      <c r="C346" s="1" t="s">
        <v>1348</v>
      </c>
      <c r="D346" s="2">
        <v>1898.0</v>
      </c>
      <c r="E346" s="2">
        <v>4999.0</v>
      </c>
      <c r="F346" s="3">
        <f t="shared" si="3"/>
        <v>0.6203240648</v>
      </c>
      <c r="G346" s="4">
        <f>IFERROR(__xludf.DUMMYFUNCTION("GOOGLEFINANCE(""CURRENCY:INRBRL"")*D346"),113.49568635496)</f>
        <v>113.4956864</v>
      </c>
      <c r="H346" s="1">
        <v>4.51</v>
      </c>
      <c r="I346" s="1">
        <v>10689.0</v>
      </c>
      <c r="J346" s="1" t="s">
        <v>1390</v>
      </c>
      <c r="K346" s="5" t="s">
        <v>1391</v>
      </c>
    </row>
    <row r="347">
      <c r="A347" s="1" t="s">
        <v>1392</v>
      </c>
      <c r="B347" s="1" t="s">
        <v>1393</v>
      </c>
      <c r="C347" s="1" t="s">
        <v>1394</v>
      </c>
      <c r="D347" s="2">
        <v>1299.0</v>
      </c>
      <c r="E347" s="2">
        <v>1599.0</v>
      </c>
      <c r="F347" s="3">
        <f t="shared" si="3"/>
        <v>0.1876172608</v>
      </c>
      <c r="G347" s="4">
        <f>IFERROR(__xludf.DUMMYFUNCTION("GOOGLEFINANCE(""CURRENCY:INRBRL"")*D347"),77.67697395948)</f>
        <v>77.67697396</v>
      </c>
      <c r="H347" s="1">
        <v>4.51</v>
      </c>
      <c r="I347" s="1">
        <v>128311.0</v>
      </c>
      <c r="J347" s="1" t="s">
        <v>1395</v>
      </c>
      <c r="K347" s="5" t="s">
        <v>1396</v>
      </c>
    </row>
    <row r="348">
      <c r="A348" s="1" t="s">
        <v>1397</v>
      </c>
      <c r="B348" s="1" t="s">
        <v>1398</v>
      </c>
      <c r="C348" s="1" t="s">
        <v>1348</v>
      </c>
      <c r="D348" s="2">
        <v>1499.0</v>
      </c>
      <c r="E348" s="2">
        <v>6990.0</v>
      </c>
      <c r="F348" s="3">
        <f t="shared" si="3"/>
        <v>0.7855507868</v>
      </c>
      <c r="G348" s="4">
        <f>IFERROR(__xludf.DUMMYFUNCTION("GOOGLEFINANCE(""CURRENCY:INRBRL"")*D348"),89.63647726347999)</f>
        <v>89.63647726</v>
      </c>
      <c r="H348" s="1">
        <v>4.51</v>
      </c>
      <c r="I348" s="1">
        <v>21796.0</v>
      </c>
      <c r="J348" s="1" t="s">
        <v>1399</v>
      </c>
      <c r="K348" s="5" t="s">
        <v>1400</v>
      </c>
    </row>
    <row r="349">
      <c r="A349" s="1" t="s">
        <v>1401</v>
      </c>
      <c r="B349" s="1" t="s">
        <v>1402</v>
      </c>
      <c r="C349" s="1" t="s">
        <v>1403</v>
      </c>
      <c r="D349" s="2">
        <v>599.0</v>
      </c>
      <c r="E349" s="2">
        <v>999.0</v>
      </c>
      <c r="F349" s="3">
        <f t="shared" si="3"/>
        <v>0.4004004004</v>
      </c>
      <c r="G349" s="4">
        <f>IFERROR(__xludf.DUMMYFUNCTION("GOOGLEFINANCE(""CURRENCY:INRBRL"")*D349"),35.81871239548)</f>
        <v>35.8187124</v>
      </c>
      <c r="H349" s="1">
        <v>4.51</v>
      </c>
      <c r="I349" s="1">
        <v>192590.0</v>
      </c>
      <c r="J349" s="1" t="s">
        <v>1404</v>
      </c>
      <c r="K349" s="5" t="s">
        <v>1405</v>
      </c>
    </row>
    <row r="350">
      <c r="A350" s="1" t="s">
        <v>1406</v>
      </c>
      <c r="B350" s="1" t="s">
        <v>1407</v>
      </c>
      <c r="C350" s="1" t="s">
        <v>1366</v>
      </c>
      <c r="D350" s="2">
        <v>9499.0</v>
      </c>
      <c r="E350" s="2">
        <v>11999.0</v>
      </c>
      <c r="F350" s="3">
        <f t="shared" si="3"/>
        <v>0.2083506959</v>
      </c>
      <c r="G350" s="4">
        <f>IFERROR(__xludf.DUMMYFUNCTION("GOOGLEFINANCE(""CURRENCY:INRBRL"")*D350"),568.01660942348)</f>
        <v>568.0166094</v>
      </c>
      <c r="H350" s="1">
        <v>4.51</v>
      </c>
      <c r="I350" s="1">
        <v>284.0</v>
      </c>
      <c r="J350" s="1" t="s">
        <v>1408</v>
      </c>
      <c r="K350" s="5" t="s">
        <v>1409</v>
      </c>
    </row>
    <row r="351">
      <c r="A351" s="1" t="s">
        <v>1410</v>
      </c>
      <c r="B351" s="1" t="s">
        <v>1411</v>
      </c>
      <c r="C351" s="1" t="s">
        <v>1403</v>
      </c>
      <c r="D351" s="2">
        <v>599.0</v>
      </c>
      <c r="E351" s="2">
        <v>2499.0</v>
      </c>
      <c r="F351" s="3">
        <f t="shared" si="3"/>
        <v>0.7603041216</v>
      </c>
      <c r="G351" s="4">
        <f>IFERROR(__xludf.DUMMYFUNCTION("GOOGLEFINANCE(""CURRENCY:INRBRL"")*D351"),35.81871239548)</f>
        <v>35.8187124</v>
      </c>
      <c r="H351" s="1">
        <v>4.51</v>
      </c>
      <c r="I351" s="1">
        <v>58162.0</v>
      </c>
      <c r="J351" s="1" t="s">
        <v>1412</v>
      </c>
      <c r="K351" s="5" t="s">
        <v>1413</v>
      </c>
    </row>
    <row r="352">
      <c r="A352" s="1" t="s">
        <v>1414</v>
      </c>
      <c r="B352" s="1" t="s">
        <v>1415</v>
      </c>
      <c r="C352" s="1" t="s">
        <v>1366</v>
      </c>
      <c r="D352" s="2">
        <v>8999.0</v>
      </c>
      <c r="E352" s="2">
        <v>11999.0</v>
      </c>
      <c r="F352" s="3">
        <f t="shared" si="3"/>
        <v>0.2500208351</v>
      </c>
      <c r="G352" s="4">
        <f>IFERROR(__xludf.DUMMYFUNCTION("GOOGLEFINANCE(""CURRENCY:INRBRL"")*D352"),538.1178511634799)</f>
        <v>538.1178512</v>
      </c>
      <c r="H352" s="1">
        <v>4.51</v>
      </c>
      <c r="I352" s="1">
        <v>12796.0</v>
      </c>
      <c r="J352" s="1" t="s">
        <v>1416</v>
      </c>
      <c r="K352" s="5" t="s">
        <v>1417</v>
      </c>
    </row>
    <row r="353">
      <c r="A353" s="1" t="s">
        <v>1418</v>
      </c>
      <c r="B353" s="1" t="s">
        <v>1419</v>
      </c>
      <c r="C353" s="1" t="s">
        <v>1420</v>
      </c>
      <c r="D353" s="2">
        <v>349.0</v>
      </c>
      <c r="E353" s="2">
        <v>1299.0</v>
      </c>
      <c r="F353" s="3">
        <f t="shared" si="3"/>
        <v>0.7313317937</v>
      </c>
      <c r="G353" s="4">
        <f>IFERROR(__xludf.DUMMYFUNCTION("GOOGLEFINANCE(""CURRENCY:INRBRL"")*D353"),20.869333265479998)</f>
        <v>20.86933327</v>
      </c>
      <c r="H353" s="1">
        <v>4.51</v>
      </c>
      <c r="I353" s="1">
        <v>14282.0</v>
      </c>
      <c r="J353" s="1" t="s">
        <v>1421</v>
      </c>
      <c r="K353" s="5" t="s">
        <v>1422</v>
      </c>
    </row>
    <row r="354">
      <c r="A354" s="1" t="s">
        <v>1423</v>
      </c>
      <c r="B354" s="1" t="s">
        <v>1424</v>
      </c>
      <c r="C354" s="1" t="s">
        <v>1403</v>
      </c>
      <c r="D354" s="2">
        <v>349.0</v>
      </c>
      <c r="E354" s="2">
        <v>999.0</v>
      </c>
      <c r="F354" s="3">
        <f t="shared" si="3"/>
        <v>0.6506506507</v>
      </c>
      <c r="G354" s="4">
        <f>IFERROR(__xludf.DUMMYFUNCTION("GOOGLEFINANCE(""CURRENCY:INRBRL"")*D354"),20.869333265479998)</f>
        <v>20.86933327</v>
      </c>
      <c r="H354" s="1">
        <v>4.51</v>
      </c>
      <c r="I354" s="1">
        <v>363713.0</v>
      </c>
      <c r="J354" s="1" t="s">
        <v>1425</v>
      </c>
      <c r="K354" s="5" t="s">
        <v>1426</v>
      </c>
    </row>
    <row r="355">
      <c r="A355" s="1" t="s">
        <v>1427</v>
      </c>
      <c r="B355" s="1" t="s">
        <v>1428</v>
      </c>
      <c r="C355" s="1" t="s">
        <v>1385</v>
      </c>
      <c r="D355" s="2">
        <v>959.0</v>
      </c>
      <c r="E355" s="2">
        <v>1800.0</v>
      </c>
      <c r="F355" s="3">
        <f t="shared" si="3"/>
        <v>0.4672222222</v>
      </c>
      <c r="G355" s="4">
        <f>IFERROR(__xludf.DUMMYFUNCTION("GOOGLEFINANCE(""CURRENCY:INRBRL"")*D355"),57.34581834268)</f>
        <v>57.34581834</v>
      </c>
      <c r="H355" s="1">
        <v>4.51</v>
      </c>
      <c r="I355" s="1">
        <v>67259.0</v>
      </c>
      <c r="J355" s="1" t="s">
        <v>1386</v>
      </c>
      <c r="K355" s="5" t="s">
        <v>1429</v>
      </c>
    </row>
    <row r="356">
      <c r="A356" s="1" t="s">
        <v>1430</v>
      </c>
      <c r="B356" s="1" t="s">
        <v>1431</v>
      </c>
      <c r="C356" s="1" t="s">
        <v>1366</v>
      </c>
      <c r="D356" s="2">
        <v>9499.0</v>
      </c>
      <c r="E356" s="2">
        <v>11999.0</v>
      </c>
      <c r="F356" s="3">
        <f t="shared" si="3"/>
        <v>0.2083506959</v>
      </c>
      <c r="G356" s="4">
        <f>IFERROR(__xludf.DUMMYFUNCTION("GOOGLEFINANCE(""CURRENCY:INRBRL"")*D356"),568.01660942348)</f>
        <v>568.0166094</v>
      </c>
      <c r="H356" s="1">
        <v>4.51</v>
      </c>
      <c r="I356" s="1">
        <v>284.0</v>
      </c>
      <c r="J356" s="1" t="s">
        <v>1408</v>
      </c>
      <c r="K356" s="5" t="s">
        <v>1432</v>
      </c>
    </row>
    <row r="357">
      <c r="A357" s="1" t="s">
        <v>1433</v>
      </c>
      <c r="B357" s="1" t="s">
        <v>1434</v>
      </c>
      <c r="C357" s="1" t="s">
        <v>1361</v>
      </c>
      <c r="D357" s="2">
        <v>1499.0</v>
      </c>
      <c r="E357" s="2">
        <v>2499.0</v>
      </c>
      <c r="F357" s="3">
        <f t="shared" si="3"/>
        <v>0.400160064</v>
      </c>
      <c r="G357" s="4">
        <f>IFERROR(__xludf.DUMMYFUNCTION("GOOGLEFINANCE(""CURRENCY:INRBRL"")*D357"),89.63647726347999)</f>
        <v>89.63647726</v>
      </c>
      <c r="H357" s="1">
        <v>4.51</v>
      </c>
      <c r="I357" s="1">
        <v>1597.0</v>
      </c>
      <c r="J357" s="1" t="s">
        <v>1435</v>
      </c>
      <c r="K357" s="5" t="s">
        <v>1436</v>
      </c>
    </row>
    <row r="358">
      <c r="A358" s="1" t="s">
        <v>1437</v>
      </c>
      <c r="B358" s="1" t="s">
        <v>1438</v>
      </c>
      <c r="C358" s="1" t="s">
        <v>1361</v>
      </c>
      <c r="D358" s="2">
        <v>1149.0</v>
      </c>
      <c r="E358" s="2">
        <v>2199.0</v>
      </c>
      <c r="F358" s="3">
        <f t="shared" si="3"/>
        <v>0.4774897681</v>
      </c>
      <c r="G358" s="4">
        <f>IFERROR(__xludf.DUMMYFUNCTION("GOOGLEFINANCE(""CURRENCY:INRBRL"")*D358"),68.70734648148)</f>
        <v>68.70734648</v>
      </c>
      <c r="H358" s="1">
        <v>4.51</v>
      </c>
      <c r="I358" s="1">
        <v>178912.0</v>
      </c>
      <c r="J358" s="1" t="s">
        <v>1439</v>
      </c>
      <c r="K358" s="5" t="s">
        <v>1440</v>
      </c>
    </row>
    <row r="359">
      <c r="A359" s="1" t="s">
        <v>1441</v>
      </c>
      <c r="B359" s="1" t="s">
        <v>1442</v>
      </c>
      <c r="C359" s="1" t="s">
        <v>1443</v>
      </c>
      <c r="D359" s="2">
        <v>349.0</v>
      </c>
      <c r="E359" s="2">
        <v>999.0</v>
      </c>
      <c r="F359" s="3">
        <f t="shared" si="3"/>
        <v>0.6506506507</v>
      </c>
      <c r="G359" s="4">
        <f>IFERROR(__xludf.DUMMYFUNCTION("GOOGLEFINANCE(""CURRENCY:INRBRL"")*D359"),20.869333265479998)</f>
        <v>20.86933327</v>
      </c>
      <c r="H359" s="1">
        <v>4.51</v>
      </c>
      <c r="I359" s="1">
        <v>46399.0</v>
      </c>
      <c r="J359" s="1" t="s">
        <v>1444</v>
      </c>
      <c r="K359" s="5" t="s">
        <v>1445</v>
      </c>
    </row>
    <row r="360">
      <c r="A360" s="1" t="s">
        <v>1446</v>
      </c>
      <c r="B360" s="1" t="s">
        <v>1447</v>
      </c>
      <c r="C360" s="1" t="s">
        <v>1448</v>
      </c>
      <c r="D360" s="2">
        <v>1219.0</v>
      </c>
      <c r="E360" s="2">
        <v>1699.0</v>
      </c>
      <c r="F360" s="3">
        <f t="shared" si="3"/>
        <v>0.2825191289</v>
      </c>
      <c r="G360" s="4">
        <f>IFERROR(__xludf.DUMMYFUNCTION("GOOGLEFINANCE(""CURRENCY:INRBRL"")*D360"),72.89317263788)</f>
        <v>72.89317264</v>
      </c>
      <c r="H360" s="1">
        <v>4.51</v>
      </c>
      <c r="I360" s="1">
        <v>8891.0</v>
      </c>
      <c r="J360" s="1" t="s">
        <v>1449</v>
      </c>
      <c r="K360" s="5" t="s">
        <v>1450</v>
      </c>
    </row>
    <row r="361">
      <c r="A361" s="1" t="s">
        <v>1451</v>
      </c>
      <c r="B361" s="1" t="s">
        <v>1452</v>
      </c>
      <c r="C361" s="1" t="s">
        <v>1348</v>
      </c>
      <c r="D361" s="2">
        <v>1599.0</v>
      </c>
      <c r="E361" s="2">
        <v>3999.0</v>
      </c>
      <c r="F361" s="3">
        <f t="shared" si="3"/>
        <v>0.6001500375</v>
      </c>
      <c r="G361" s="4">
        <f>IFERROR(__xludf.DUMMYFUNCTION("GOOGLEFINANCE(""CURRENCY:INRBRL"")*D361"),95.61622891548)</f>
        <v>95.61622892</v>
      </c>
      <c r="H361" s="1">
        <v>4.51</v>
      </c>
      <c r="I361" s="1">
        <v>30254.0</v>
      </c>
      <c r="J361" s="1" t="s">
        <v>1453</v>
      </c>
      <c r="K361" s="5" t="s">
        <v>1454</v>
      </c>
    </row>
    <row r="362">
      <c r="A362" s="1" t="s">
        <v>1455</v>
      </c>
      <c r="B362" s="1" t="s">
        <v>1456</v>
      </c>
      <c r="C362" s="1" t="s">
        <v>1348</v>
      </c>
      <c r="D362" s="2">
        <v>1499.0</v>
      </c>
      <c r="E362" s="2">
        <v>7999.0</v>
      </c>
      <c r="F362" s="3">
        <f t="shared" si="3"/>
        <v>0.8126015752</v>
      </c>
      <c r="G362" s="4">
        <f>IFERROR(__xludf.DUMMYFUNCTION("GOOGLEFINANCE(""CURRENCY:INRBRL"")*D362"),89.63647726347999)</f>
        <v>89.63647726</v>
      </c>
      <c r="H362" s="1">
        <v>4.51</v>
      </c>
      <c r="I362" s="1">
        <v>22636.0</v>
      </c>
      <c r="J362" s="1" t="s">
        <v>1457</v>
      </c>
      <c r="K362" s="5" t="s">
        <v>1458</v>
      </c>
    </row>
    <row r="363">
      <c r="A363" s="1" t="s">
        <v>1459</v>
      </c>
      <c r="B363" s="1" t="s">
        <v>1460</v>
      </c>
      <c r="C363" s="1" t="s">
        <v>1366</v>
      </c>
      <c r="D363" s="2">
        <v>18499.0</v>
      </c>
      <c r="E363" s="2">
        <v>25999.0</v>
      </c>
      <c r="F363" s="3">
        <f t="shared" si="3"/>
        <v>0.2884726336</v>
      </c>
      <c r="G363" s="4">
        <f>IFERROR(__xludf.DUMMYFUNCTION("GOOGLEFINANCE(""CURRENCY:INRBRL"")*D363"),1106.19425810348)</f>
        <v>1106.194258</v>
      </c>
      <c r="H363" s="1">
        <v>4.51</v>
      </c>
      <c r="I363" s="1">
        <v>22318.0</v>
      </c>
      <c r="J363" s="1" t="s">
        <v>1461</v>
      </c>
      <c r="K363" s="5" t="s">
        <v>1462</v>
      </c>
    </row>
    <row r="364">
      <c r="A364" s="1" t="s">
        <v>1463</v>
      </c>
      <c r="B364" s="1" t="s">
        <v>1464</v>
      </c>
      <c r="C364" s="1" t="s">
        <v>1385</v>
      </c>
      <c r="D364" s="2">
        <v>369.0</v>
      </c>
      <c r="E364" s="2">
        <v>700.0</v>
      </c>
      <c r="F364" s="3">
        <f t="shared" si="3"/>
        <v>0.4728571429</v>
      </c>
      <c r="G364" s="4">
        <f>IFERROR(__xludf.DUMMYFUNCTION("GOOGLEFINANCE(""CURRENCY:INRBRL"")*D364"),22.06528359588)</f>
        <v>22.0652836</v>
      </c>
      <c r="H364" s="1">
        <v>4.51</v>
      </c>
      <c r="I364" s="1">
        <v>67259.0</v>
      </c>
      <c r="J364" s="1" t="s">
        <v>1465</v>
      </c>
      <c r="K364" s="5" t="s">
        <v>1466</v>
      </c>
    </row>
    <row r="365">
      <c r="A365" s="1" t="s">
        <v>1467</v>
      </c>
      <c r="B365" s="1" t="s">
        <v>1468</v>
      </c>
      <c r="C365" s="1" t="s">
        <v>1366</v>
      </c>
      <c r="D365" s="2">
        <v>12999.0</v>
      </c>
      <c r="E365" s="2">
        <v>17999.0</v>
      </c>
      <c r="F365" s="3">
        <f t="shared" si="3"/>
        <v>0.2777932107</v>
      </c>
      <c r="G365" s="4">
        <f>IFERROR(__xludf.DUMMYFUNCTION("GOOGLEFINANCE(""CURRENCY:INRBRL"")*D365"),777.30791724348)</f>
        <v>777.3079172</v>
      </c>
      <c r="H365" s="1">
        <v>4.51</v>
      </c>
      <c r="I365" s="1">
        <v>18998.0</v>
      </c>
      <c r="J365" s="1" t="s">
        <v>1469</v>
      </c>
      <c r="K365" s="5" t="s">
        <v>1470</v>
      </c>
    </row>
    <row r="366">
      <c r="A366" s="1" t="s">
        <v>1471</v>
      </c>
      <c r="B366" s="1" t="s">
        <v>1347</v>
      </c>
      <c r="C366" s="1" t="s">
        <v>1348</v>
      </c>
      <c r="D366" s="2">
        <v>1799.0</v>
      </c>
      <c r="E366" s="2">
        <v>19999.0</v>
      </c>
      <c r="F366" s="3">
        <f t="shared" si="3"/>
        <v>0.9100455023</v>
      </c>
      <c r="G366" s="4">
        <f>IFERROR(__xludf.DUMMYFUNCTION("GOOGLEFINANCE(""CURRENCY:INRBRL"")*D366"),107.57573221947999)</f>
        <v>107.5757322</v>
      </c>
      <c r="H366" s="1">
        <v>4.51</v>
      </c>
      <c r="I366" s="1">
        <v>13937.0</v>
      </c>
      <c r="J366" s="1" t="s">
        <v>1472</v>
      </c>
      <c r="K366" s="5" t="s">
        <v>1473</v>
      </c>
    </row>
    <row r="367">
      <c r="A367" s="1" t="s">
        <v>1474</v>
      </c>
      <c r="B367" s="1" t="s">
        <v>1475</v>
      </c>
      <c r="C367" s="1" t="s">
        <v>1348</v>
      </c>
      <c r="D367" s="2">
        <v>2199.0</v>
      </c>
      <c r="E367" s="2">
        <v>9999.0</v>
      </c>
      <c r="F367" s="3">
        <f t="shared" si="3"/>
        <v>0.7800780078</v>
      </c>
      <c r="G367" s="4">
        <f>IFERROR(__xludf.DUMMYFUNCTION("GOOGLEFINANCE(""CURRENCY:INRBRL"")*D367"),131.49473882748)</f>
        <v>131.4947388</v>
      </c>
      <c r="H367" s="1">
        <v>4.51</v>
      </c>
      <c r="I367" s="1">
        <v>29471.0</v>
      </c>
      <c r="J367" s="1" t="s">
        <v>1476</v>
      </c>
      <c r="K367" s="5" t="s">
        <v>1477</v>
      </c>
    </row>
    <row r="368">
      <c r="A368" s="1" t="s">
        <v>1478</v>
      </c>
      <c r="B368" s="1" t="s">
        <v>1479</v>
      </c>
      <c r="C368" s="1" t="s">
        <v>1366</v>
      </c>
      <c r="D368" s="2">
        <v>16999.0</v>
      </c>
      <c r="E368" s="2">
        <v>24999.0</v>
      </c>
      <c r="F368" s="3">
        <f t="shared" si="3"/>
        <v>0.3200128005</v>
      </c>
      <c r="G368" s="4">
        <f>IFERROR(__xludf.DUMMYFUNCTION("GOOGLEFINANCE(""CURRENCY:INRBRL"")*D368"),1016.49798332348)</f>
        <v>1016.497983</v>
      </c>
      <c r="H368" s="1">
        <v>4.51</v>
      </c>
      <c r="I368" s="1">
        <v>22318.0</v>
      </c>
      <c r="J368" s="1" t="s">
        <v>1480</v>
      </c>
      <c r="K368" s="5" t="s">
        <v>1481</v>
      </c>
    </row>
    <row r="369">
      <c r="A369" s="1" t="s">
        <v>1482</v>
      </c>
      <c r="B369" s="1" t="s">
        <v>1483</v>
      </c>
      <c r="C369" s="1" t="s">
        <v>1366</v>
      </c>
      <c r="D369" s="2">
        <v>16499.0</v>
      </c>
      <c r="E369" s="2">
        <v>20999.0</v>
      </c>
      <c r="F369" s="3">
        <f t="shared" si="3"/>
        <v>0.2142959189</v>
      </c>
      <c r="G369" s="4">
        <f>IFERROR(__xludf.DUMMYFUNCTION("GOOGLEFINANCE(""CURRENCY:INRBRL"")*D369"),986.5992250634799)</f>
        <v>986.5992251</v>
      </c>
      <c r="H369" s="1">
        <v>4.51</v>
      </c>
      <c r="I369" s="1">
        <v>2135.0</v>
      </c>
      <c r="J369" s="1" t="s">
        <v>1484</v>
      </c>
      <c r="K369" s="5" t="s">
        <v>1485</v>
      </c>
    </row>
    <row r="370">
      <c r="A370" s="1" t="s">
        <v>1486</v>
      </c>
      <c r="B370" s="1" t="s">
        <v>1347</v>
      </c>
      <c r="C370" s="1" t="s">
        <v>1348</v>
      </c>
      <c r="D370" s="2">
        <v>1799.0</v>
      </c>
      <c r="E370" s="2">
        <v>19999.0</v>
      </c>
      <c r="F370" s="3">
        <f t="shared" si="3"/>
        <v>0.9100455023</v>
      </c>
      <c r="G370" s="4">
        <f>IFERROR(__xludf.DUMMYFUNCTION("GOOGLEFINANCE(""CURRENCY:INRBRL"")*D370"),107.57573221947999)</f>
        <v>107.5757322</v>
      </c>
      <c r="H370" s="1">
        <v>4.51</v>
      </c>
      <c r="I370" s="1">
        <v>13937.0</v>
      </c>
      <c r="J370" s="1" t="s">
        <v>1472</v>
      </c>
      <c r="K370" s="5" t="s">
        <v>1487</v>
      </c>
    </row>
    <row r="371">
      <c r="A371" s="1" t="s">
        <v>11</v>
      </c>
      <c r="B371" s="1" t="s">
        <v>12</v>
      </c>
      <c r="C371" s="1" t="s">
        <v>13</v>
      </c>
      <c r="D371" s="2">
        <v>399.0</v>
      </c>
      <c r="E371" s="2">
        <v>1099.0</v>
      </c>
      <c r="F371" s="3">
        <f t="shared" si="3"/>
        <v>0.6369426752</v>
      </c>
      <c r="G371" s="4">
        <f>IFERROR(__xludf.DUMMYFUNCTION("GOOGLEFINANCE(""CURRENCY:INRBRL"")*D371"),23.859209091479997)</f>
        <v>23.85920909</v>
      </c>
      <c r="H371" s="1">
        <v>4.51</v>
      </c>
      <c r="I371" s="1">
        <v>2427.0</v>
      </c>
      <c r="J371" s="1" t="s">
        <v>14</v>
      </c>
      <c r="K371" s="5" t="s">
        <v>1488</v>
      </c>
    </row>
    <row r="372">
      <c r="A372" s="1" t="s">
        <v>1489</v>
      </c>
      <c r="B372" s="1" t="s">
        <v>1490</v>
      </c>
      <c r="C372" s="1" t="s">
        <v>1366</v>
      </c>
      <c r="D372" s="2">
        <v>8499.0</v>
      </c>
      <c r="E372" s="2">
        <v>10999.0</v>
      </c>
      <c r="F372" s="3">
        <f t="shared" si="3"/>
        <v>0.2272933903</v>
      </c>
      <c r="G372" s="4">
        <f>IFERROR(__xludf.DUMMYFUNCTION("GOOGLEFINANCE(""CURRENCY:INRBRL"")*D372"),508.21909290348)</f>
        <v>508.2190929</v>
      </c>
      <c r="H372" s="1">
        <v>4.51</v>
      </c>
      <c r="I372" s="1">
        <v>313836.0</v>
      </c>
      <c r="J372" s="1" t="s">
        <v>1491</v>
      </c>
      <c r="K372" s="5" t="s">
        <v>1492</v>
      </c>
    </row>
    <row r="373">
      <c r="A373" s="1" t="s">
        <v>1493</v>
      </c>
      <c r="B373" s="1" t="s">
        <v>1494</v>
      </c>
      <c r="C373" s="1" t="s">
        <v>1366</v>
      </c>
      <c r="D373" s="2">
        <v>6499.0</v>
      </c>
      <c r="E373" s="2">
        <v>8499.0</v>
      </c>
      <c r="F373" s="3">
        <f t="shared" si="3"/>
        <v>0.2353218026</v>
      </c>
      <c r="G373" s="4">
        <f>IFERROR(__xludf.DUMMYFUNCTION("GOOGLEFINANCE(""CURRENCY:INRBRL"")*D373"),388.62405986348)</f>
        <v>388.6240599</v>
      </c>
      <c r="H373" s="1">
        <v>4.51</v>
      </c>
      <c r="I373" s="1">
        <v>313836.0</v>
      </c>
      <c r="J373" s="1" t="s">
        <v>1495</v>
      </c>
      <c r="K373" s="5" t="s">
        <v>1496</v>
      </c>
    </row>
    <row r="374">
      <c r="A374" s="1" t="s">
        <v>1497</v>
      </c>
      <c r="B374" s="1" t="s">
        <v>1347</v>
      </c>
      <c r="C374" s="1" t="s">
        <v>1348</v>
      </c>
      <c r="D374" s="2">
        <v>1799.0</v>
      </c>
      <c r="E374" s="2">
        <v>19999.0</v>
      </c>
      <c r="F374" s="3">
        <f t="shared" si="3"/>
        <v>0.9100455023</v>
      </c>
      <c r="G374" s="4">
        <f>IFERROR(__xludf.DUMMYFUNCTION("GOOGLEFINANCE(""CURRENCY:INRBRL"")*D374"),107.57573221947999)</f>
        <v>107.5757322</v>
      </c>
      <c r="H374" s="1">
        <v>4.51</v>
      </c>
      <c r="I374" s="1">
        <v>13937.0</v>
      </c>
      <c r="J374" s="1" t="s">
        <v>1498</v>
      </c>
      <c r="K374" s="5" t="s">
        <v>1499</v>
      </c>
    </row>
    <row r="375">
      <c r="A375" s="1" t="s">
        <v>1500</v>
      </c>
      <c r="B375" s="1" t="s">
        <v>1501</v>
      </c>
      <c r="C375" s="1" t="s">
        <v>1366</v>
      </c>
      <c r="D375" s="2">
        <v>8999.0</v>
      </c>
      <c r="E375" s="2">
        <v>11999.0</v>
      </c>
      <c r="F375" s="3">
        <f t="shared" si="3"/>
        <v>0.2500208351</v>
      </c>
      <c r="G375" s="4">
        <f>IFERROR(__xludf.DUMMYFUNCTION("GOOGLEFINANCE(""CURRENCY:INRBRL"")*D375"),538.1178511634799)</f>
        <v>538.1178512</v>
      </c>
      <c r="H375" s="1">
        <v>4.51</v>
      </c>
      <c r="I375" s="1">
        <v>12796.0</v>
      </c>
      <c r="J375" s="1" t="s">
        <v>1416</v>
      </c>
      <c r="K375" s="5" t="s">
        <v>1502</v>
      </c>
    </row>
    <row r="376">
      <c r="A376" s="1" t="s">
        <v>1503</v>
      </c>
      <c r="B376" s="1" t="s">
        <v>1504</v>
      </c>
      <c r="C376" s="1" t="s">
        <v>1505</v>
      </c>
      <c r="D376" s="2">
        <v>139.0</v>
      </c>
      <c r="E376" s="2">
        <v>495.0</v>
      </c>
      <c r="F376" s="3">
        <f t="shared" si="3"/>
        <v>0.7191919192</v>
      </c>
      <c r="G376" s="4">
        <f>IFERROR(__xludf.DUMMYFUNCTION("GOOGLEFINANCE(""CURRENCY:INRBRL"")*D376"),8.311854796279999)</f>
        <v>8.311854796</v>
      </c>
      <c r="H376" s="1">
        <v>4.51</v>
      </c>
      <c r="I376" s="1">
        <v>14185.0</v>
      </c>
      <c r="J376" s="1" t="s">
        <v>1506</v>
      </c>
      <c r="K376" s="5" t="s">
        <v>1507</v>
      </c>
    </row>
    <row r="377">
      <c r="A377" s="1" t="s">
        <v>1508</v>
      </c>
      <c r="B377" s="1" t="s">
        <v>1509</v>
      </c>
      <c r="C377" s="1" t="s">
        <v>1348</v>
      </c>
      <c r="D377" s="2">
        <v>3999.0</v>
      </c>
      <c r="E377" s="2">
        <v>16999.0</v>
      </c>
      <c r="F377" s="3">
        <f t="shared" si="3"/>
        <v>0.7647508677</v>
      </c>
      <c r="G377" s="4">
        <f>IFERROR(__xludf.DUMMYFUNCTION("GOOGLEFINANCE(""CURRENCY:INRBRL"")*D377"),239.13026856347997)</f>
        <v>239.1302686</v>
      </c>
      <c r="H377" s="1">
        <v>4.51</v>
      </c>
      <c r="I377" s="1">
        <v>17159.0</v>
      </c>
      <c r="J377" s="1" t="s">
        <v>1510</v>
      </c>
      <c r="K377" s="5" t="s">
        <v>1511</v>
      </c>
    </row>
    <row r="378">
      <c r="A378" s="1" t="s">
        <v>1512</v>
      </c>
      <c r="B378" s="1" t="s">
        <v>1513</v>
      </c>
      <c r="C378" s="1" t="s">
        <v>1348</v>
      </c>
      <c r="D378" s="2">
        <v>2998.0</v>
      </c>
      <c r="E378" s="2">
        <v>5999.0</v>
      </c>
      <c r="F378" s="3">
        <f t="shared" si="3"/>
        <v>0.5002500417</v>
      </c>
      <c r="G378" s="4">
        <f>IFERROR(__xludf.DUMMYFUNCTION("GOOGLEFINANCE(""CURRENCY:INRBRL"")*D378"),179.27295452695998)</f>
        <v>179.2729545</v>
      </c>
      <c r="H378" s="1">
        <v>4.51</v>
      </c>
      <c r="I378" s="1">
        <v>5179.0</v>
      </c>
      <c r="J378" s="1" t="s">
        <v>1514</v>
      </c>
      <c r="K378" s="5" t="s">
        <v>1515</v>
      </c>
    </row>
    <row r="379">
      <c r="A379" s="1" t="s">
        <v>16</v>
      </c>
      <c r="B379" s="1" t="s">
        <v>17</v>
      </c>
      <c r="C379" s="1" t="s">
        <v>13</v>
      </c>
      <c r="D379" s="2">
        <v>199.0</v>
      </c>
      <c r="E379" s="2">
        <v>349.0</v>
      </c>
      <c r="F379" s="3">
        <f t="shared" si="3"/>
        <v>0.4297994269</v>
      </c>
      <c r="G379" s="4">
        <f>IFERROR(__xludf.DUMMYFUNCTION("GOOGLEFINANCE(""CURRENCY:INRBRL"")*D379"),11.899705787479999)</f>
        <v>11.89970579</v>
      </c>
      <c r="H379" s="1">
        <v>4.51</v>
      </c>
      <c r="I379" s="1">
        <v>43993.0</v>
      </c>
      <c r="J379" s="1" t="s">
        <v>18</v>
      </c>
      <c r="K379" s="5" t="s">
        <v>1516</v>
      </c>
    </row>
    <row r="380">
      <c r="A380" s="1" t="s">
        <v>1517</v>
      </c>
      <c r="B380" s="1" t="s">
        <v>1518</v>
      </c>
      <c r="C380" s="1" t="s">
        <v>1366</v>
      </c>
      <c r="D380" s="2">
        <v>15499.0</v>
      </c>
      <c r="E380" s="2">
        <v>18999.0</v>
      </c>
      <c r="F380" s="3">
        <f t="shared" si="3"/>
        <v>0.1842202221</v>
      </c>
      <c r="G380" s="4">
        <f>IFERROR(__xludf.DUMMYFUNCTION("GOOGLEFINANCE(""CURRENCY:INRBRL"")*D380"),926.8017085434799)</f>
        <v>926.8017085</v>
      </c>
      <c r="H380" s="1">
        <v>4.51</v>
      </c>
      <c r="I380" s="1">
        <v>19252.0</v>
      </c>
      <c r="J380" s="1" t="s">
        <v>1519</v>
      </c>
      <c r="K380" s="5" t="s">
        <v>1520</v>
      </c>
    </row>
    <row r="381">
      <c r="A381" s="1" t="s">
        <v>20</v>
      </c>
      <c r="B381" s="1" t="s">
        <v>21</v>
      </c>
      <c r="C381" s="1" t="s">
        <v>13</v>
      </c>
      <c r="D381" s="2">
        <v>199.0</v>
      </c>
      <c r="E381" s="2">
        <v>999.0</v>
      </c>
      <c r="F381" s="3">
        <f t="shared" si="3"/>
        <v>0.8008008008</v>
      </c>
      <c r="G381" s="4">
        <f>IFERROR(__xludf.DUMMYFUNCTION("GOOGLEFINANCE(""CURRENCY:INRBRL"")*D381"),11.899705787479999)</f>
        <v>11.89970579</v>
      </c>
      <c r="H381" s="1">
        <v>4.51</v>
      </c>
      <c r="I381" s="1">
        <v>7928.0</v>
      </c>
      <c r="J381" s="1" t="s">
        <v>1521</v>
      </c>
      <c r="K381" s="5" t="s">
        <v>1522</v>
      </c>
    </row>
    <row r="382">
      <c r="A382" s="1" t="s">
        <v>1523</v>
      </c>
      <c r="B382" s="1" t="s">
        <v>1347</v>
      </c>
      <c r="C382" s="1" t="s">
        <v>1348</v>
      </c>
      <c r="D382" s="2">
        <v>1799.0</v>
      </c>
      <c r="E382" s="2">
        <v>19999.0</v>
      </c>
      <c r="F382" s="3">
        <f t="shared" si="3"/>
        <v>0.9100455023</v>
      </c>
      <c r="G382" s="4">
        <f>IFERROR(__xludf.DUMMYFUNCTION("GOOGLEFINANCE(""CURRENCY:INRBRL"")*D382"),107.57573221947999)</f>
        <v>107.5757322</v>
      </c>
      <c r="H382" s="1">
        <v>4.51</v>
      </c>
      <c r="I382" s="1">
        <v>13937.0</v>
      </c>
      <c r="J382" s="1" t="s">
        <v>1349</v>
      </c>
      <c r="K382" s="5" t="s">
        <v>1524</v>
      </c>
    </row>
    <row r="383">
      <c r="A383" s="1" t="s">
        <v>1525</v>
      </c>
      <c r="B383" s="1" t="s">
        <v>1526</v>
      </c>
      <c r="C383" s="1" t="s">
        <v>1366</v>
      </c>
      <c r="D383" s="2">
        <v>8999.0</v>
      </c>
      <c r="E383" s="2">
        <v>11999.0</v>
      </c>
      <c r="F383" s="3">
        <f t="shared" si="3"/>
        <v>0.2500208351</v>
      </c>
      <c r="G383" s="4">
        <f>IFERROR(__xludf.DUMMYFUNCTION("GOOGLEFINANCE(""CURRENCY:INRBRL"")*D383"),538.1178511634799)</f>
        <v>538.1178512</v>
      </c>
      <c r="H383" s="1">
        <v>4.51</v>
      </c>
      <c r="I383" s="1">
        <v>12796.0</v>
      </c>
      <c r="J383" s="1" t="s">
        <v>1416</v>
      </c>
      <c r="K383" s="5" t="s">
        <v>1527</v>
      </c>
    </row>
    <row r="384">
      <c r="A384" s="1" t="s">
        <v>1528</v>
      </c>
      <c r="B384" s="1" t="s">
        <v>1529</v>
      </c>
      <c r="C384" s="1" t="s">
        <v>1420</v>
      </c>
      <c r="D384" s="2">
        <v>873.0</v>
      </c>
      <c r="E384" s="2">
        <v>1699.0</v>
      </c>
      <c r="F384" s="3">
        <f t="shared" si="3"/>
        <v>0.4861683343</v>
      </c>
      <c r="G384" s="4">
        <f>IFERROR(__xludf.DUMMYFUNCTION("GOOGLEFINANCE(""CURRENCY:INRBRL"")*D384"),52.20323192196)</f>
        <v>52.20323192</v>
      </c>
      <c r="H384" s="1">
        <v>4.51</v>
      </c>
      <c r="I384" s="1">
        <v>168.0</v>
      </c>
      <c r="J384" s="1" t="s">
        <v>1530</v>
      </c>
      <c r="K384" s="5" t="s">
        <v>1531</v>
      </c>
    </row>
    <row r="385">
      <c r="A385" s="1" t="s">
        <v>1532</v>
      </c>
      <c r="B385" s="1" t="s">
        <v>1533</v>
      </c>
      <c r="C385" s="1" t="s">
        <v>1366</v>
      </c>
      <c r="D385" s="2">
        <v>12999.0</v>
      </c>
      <c r="E385" s="2">
        <v>15999.0</v>
      </c>
      <c r="F385" s="3">
        <f t="shared" si="3"/>
        <v>0.1875117195</v>
      </c>
      <c r="G385" s="4">
        <f>IFERROR(__xludf.DUMMYFUNCTION("GOOGLEFINANCE(""CURRENCY:INRBRL"")*D385"),777.30791724348)</f>
        <v>777.3079172</v>
      </c>
      <c r="H385" s="1">
        <v>4.51</v>
      </c>
      <c r="I385" s="1">
        <v>13246.0</v>
      </c>
      <c r="J385" s="1" t="s">
        <v>1534</v>
      </c>
      <c r="K385" s="5" t="s">
        <v>1535</v>
      </c>
    </row>
    <row r="386">
      <c r="A386" s="1" t="s">
        <v>1536</v>
      </c>
      <c r="B386" s="1" t="s">
        <v>1537</v>
      </c>
      <c r="C386" s="1" t="s">
        <v>1538</v>
      </c>
      <c r="D386" s="2">
        <v>539.0</v>
      </c>
      <c r="E386" s="2">
        <v>1599.0</v>
      </c>
      <c r="F386" s="3">
        <f t="shared" si="3"/>
        <v>0.6629143215</v>
      </c>
      <c r="G386" s="4">
        <f>IFERROR(__xludf.DUMMYFUNCTION("GOOGLEFINANCE(""CURRENCY:INRBRL"")*D386"),32.23086140428)</f>
        <v>32.2308614</v>
      </c>
      <c r="H386" s="1">
        <v>4.51</v>
      </c>
      <c r="I386" s="1">
        <v>14648.0</v>
      </c>
      <c r="J386" s="1" t="s">
        <v>1539</v>
      </c>
      <c r="K386" s="5" t="s">
        <v>1540</v>
      </c>
    </row>
    <row r="387">
      <c r="A387" s="1" t="s">
        <v>1541</v>
      </c>
      <c r="B387" s="1" t="s">
        <v>1352</v>
      </c>
      <c r="C387" s="1" t="s">
        <v>1348</v>
      </c>
      <c r="D387" s="2">
        <v>1999.0</v>
      </c>
      <c r="E387" s="2">
        <v>9999.0</v>
      </c>
      <c r="F387" s="3">
        <f t="shared" si="3"/>
        <v>0.800080008</v>
      </c>
      <c r="G387" s="4">
        <f>IFERROR(__xludf.DUMMYFUNCTION("GOOGLEFINANCE(""CURRENCY:INRBRL"")*D387"),119.53523552348)</f>
        <v>119.5352355</v>
      </c>
      <c r="H387" s="1">
        <v>4.51</v>
      </c>
      <c r="I387" s="1">
        <v>27696.0</v>
      </c>
      <c r="J387" s="1" t="s">
        <v>1542</v>
      </c>
      <c r="K387" s="5" t="s">
        <v>1543</v>
      </c>
    </row>
    <row r="388">
      <c r="A388" s="1" t="s">
        <v>1544</v>
      </c>
      <c r="B388" s="1" t="s">
        <v>1545</v>
      </c>
      <c r="C388" s="1" t="s">
        <v>1366</v>
      </c>
      <c r="D388" s="2">
        <v>15490.0</v>
      </c>
      <c r="E388" s="2">
        <v>20990.0</v>
      </c>
      <c r="F388" s="3">
        <f t="shared" si="3"/>
        <v>0.2620295379</v>
      </c>
      <c r="G388" s="4">
        <f>IFERROR(__xludf.DUMMYFUNCTION("GOOGLEFINANCE(""CURRENCY:INRBRL"")*D388"),926.2635308947999)</f>
        <v>926.2635309</v>
      </c>
      <c r="H388" s="1">
        <v>4.51</v>
      </c>
      <c r="I388" s="1">
        <v>32916.0</v>
      </c>
      <c r="J388" s="1" t="s">
        <v>1546</v>
      </c>
      <c r="K388" s="5" t="s">
        <v>1547</v>
      </c>
    </row>
    <row r="389">
      <c r="A389" s="1" t="s">
        <v>1548</v>
      </c>
      <c r="B389" s="1" t="s">
        <v>1549</v>
      </c>
      <c r="C389" s="1" t="s">
        <v>1366</v>
      </c>
      <c r="D389" s="2">
        <v>19999.0</v>
      </c>
      <c r="E389" s="2">
        <v>24999.0</v>
      </c>
      <c r="F389" s="3">
        <f t="shared" si="3"/>
        <v>0.2000080003</v>
      </c>
      <c r="G389" s="4">
        <f>IFERROR(__xludf.DUMMYFUNCTION("GOOGLEFINANCE(""CURRENCY:INRBRL"")*D389"),1195.8905328834799)</f>
        <v>1195.890533</v>
      </c>
      <c r="H389" s="1">
        <v>4.51</v>
      </c>
      <c r="I389" s="1">
        <v>25824.0</v>
      </c>
      <c r="J389" s="1" t="s">
        <v>1550</v>
      </c>
      <c r="K389" s="5" t="s">
        <v>1551</v>
      </c>
    </row>
    <row r="390">
      <c r="A390" s="1" t="s">
        <v>1552</v>
      </c>
      <c r="B390" s="1" t="s">
        <v>1553</v>
      </c>
      <c r="C390" s="1" t="s">
        <v>1448</v>
      </c>
      <c r="D390" s="2">
        <v>1075.0</v>
      </c>
      <c r="E390" s="2">
        <v>1699.0</v>
      </c>
      <c r="F390" s="3">
        <f t="shared" si="3"/>
        <v>0.3672748676</v>
      </c>
      <c r="G390" s="4">
        <f>IFERROR(__xludf.DUMMYFUNCTION("GOOGLEFINANCE(""CURRENCY:INRBRL"")*D390"),64.28233025899999)</f>
        <v>64.28233026</v>
      </c>
      <c r="H390" s="1">
        <v>4.51</v>
      </c>
      <c r="I390" s="1">
        <v>7462.0</v>
      </c>
      <c r="J390" s="1" t="s">
        <v>1554</v>
      </c>
      <c r="K390" s="5" t="s">
        <v>1555</v>
      </c>
    </row>
    <row r="391">
      <c r="A391" s="1" t="s">
        <v>1556</v>
      </c>
      <c r="B391" s="1" t="s">
        <v>1557</v>
      </c>
      <c r="C391" s="1" t="s">
        <v>1403</v>
      </c>
      <c r="D391" s="2">
        <v>399.0</v>
      </c>
      <c r="E391" s="2">
        <v>699.0</v>
      </c>
      <c r="F391" s="3">
        <f t="shared" si="3"/>
        <v>0.4291845494</v>
      </c>
      <c r="G391" s="4">
        <f>IFERROR(__xludf.DUMMYFUNCTION("GOOGLEFINANCE(""CURRENCY:INRBRL"")*D391"),23.859209091479997)</f>
        <v>23.85920909</v>
      </c>
      <c r="H391" s="1">
        <v>4.51</v>
      </c>
      <c r="I391" s="1">
        <v>37817.0</v>
      </c>
      <c r="J391" s="1" t="s">
        <v>1558</v>
      </c>
      <c r="K391" s="5" t="s">
        <v>1559</v>
      </c>
    </row>
    <row r="392">
      <c r="A392" s="1" t="s">
        <v>1560</v>
      </c>
      <c r="B392" s="1" t="s">
        <v>1561</v>
      </c>
      <c r="C392" s="1" t="s">
        <v>1348</v>
      </c>
      <c r="D392" s="2">
        <v>1999.0</v>
      </c>
      <c r="E392" s="2">
        <v>3990.0</v>
      </c>
      <c r="F392" s="3">
        <f t="shared" si="3"/>
        <v>0.4989974937</v>
      </c>
      <c r="G392" s="4">
        <f>IFERROR(__xludf.DUMMYFUNCTION("GOOGLEFINANCE(""CURRENCY:INRBRL"")*D392"),119.53523552348)</f>
        <v>119.5352355</v>
      </c>
      <c r="H392" s="1">
        <v>4.51</v>
      </c>
      <c r="I392" s="1">
        <v>30254.0</v>
      </c>
      <c r="J392" s="1" t="s">
        <v>1562</v>
      </c>
      <c r="K392" s="5" t="s">
        <v>1563</v>
      </c>
    </row>
    <row r="393">
      <c r="A393" s="1" t="s">
        <v>1564</v>
      </c>
      <c r="B393" s="1" t="s">
        <v>1565</v>
      </c>
      <c r="C393" s="1" t="s">
        <v>1348</v>
      </c>
      <c r="D393" s="2">
        <v>1999.0</v>
      </c>
      <c r="E393" s="2">
        <v>7990.0</v>
      </c>
      <c r="F393" s="3">
        <f t="shared" si="3"/>
        <v>0.7498122653</v>
      </c>
      <c r="G393" s="4">
        <f>IFERROR(__xludf.DUMMYFUNCTION("GOOGLEFINANCE(""CURRENCY:INRBRL"")*D393"),119.53523552348)</f>
        <v>119.5352355</v>
      </c>
      <c r="H393" s="1">
        <v>4.51</v>
      </c>
      <c r="I393" s="1">
        <v>17831.0</v>
      </c>
      <c r="J393" s="1" t="s">
        <v>1357</v>
      </c>
      <c r="K393" s="5" t="s">
        <v>1566</v>
      </c>
    </row>
    <row r="394">
      <c r="A394" s="1" t="s">
        <v>24</v>
      </c>
      <c r="B394" s="1" t="s">
        <v>25</v>
      </c>
      <c r="C394" s="1" t="s">
        <v>13</v>
      </c>
      <c r="D394" s="2">
        <v>329.0</v>
      </c>
      <c r="E394" s="2">
        <v>699.0</v>
      </c>
      <c r="F394" s="3">
        <f t="shared" si="3"/>
        <v>0.5293276109</v>
      </c>
      <c r="G394" s="4">
        <f>IFERROR(__xludf.DUMMYFUNCTION("GOOGLEFINANCE(""CURRENCY:INRBRL"")*D394"),19.67338293508)</f>
        <v>19.67338294</v>
      </c>
      <c r="H394" s="1">
        <v>4.51</v>
      </c>
      <c r="I394" s="1">
        <v>94364.0</v>
      </c>
      <c r="J394" s="1" t="s">
        <v>26</v>
      </c>
      <c r="K394" s="5" t="s">
        <v>1567</v>
      </c>
    </row>
    <row r="395">
      <c r="A395" s="1" t="s">
        <v>28</v>
      </c>
      <c r="B395" s="1" t="s">
        <v>29</v>
      </c>
      <c r="C395" s="1" t="s">
        <v>13</v>
      </c>
      <c r="D395" s="2">
        <v>154.0</v>
      </c>
      <c r="E395" s="2">
        <v>399.0</v>
      </c>
      <c r="F395" s="3">
        <f t="shared" si="3"/>
        <v>0.6140350877</v>
      </c>
      <c r="G395" s="4">
        <f>IFERROR(__xludf.DUMMYFUNCTION("GOOGLEFINANCE(""CURRENCY:INRBRL"")*D395"),9.208817544079999)</f>
        <v>9.208817544</v>
      </c>
      <c r="H395" s="1">
        <v>4.51</v>
      </c>
      <c r="I395" s="1">
        <v>16905.0</v>
      </c>
      <c r="J395" s="1" t="s">
        <v>30</v>
      </c>
      <c r="K395" s="5" t="s">
        <v>1568</v>
      </c>
    </row>
    <row r="396">
      <c r="A396" s="1" t="s">
        <v>1569</v>
      </c>
      <c r="B396" s="1" t="s">
        <v>1570</v>
      </c>
      <c r="C396" s="1" t="s">
        <v>1366</v>
      </c>
      <c r="D396" s="2">
        <v>28999.0</v>
      </c>
      <c r="E396" s="2">
        <v>34999.0</v>
      </c>
      <c r="F396" s="3">
        <f t="shared" si="3"/>
        <v>0.1714334695</v>
      </c>
      <c r="G396" s="4">
        <f>IFERROR(__xludf.DUMMYFUNCTION("GOOGLEFINANCE(""CURRENCY:INRBRL"")*D396"),1734.0681815634798)</f>
        <v>1734.068182</v>
      </c>
      <c r="H396" s="1">
        <v>4.5</v>
      </c>
      <c r="I396" s="1">
        <v>20311.0</v>
      </c>
      <c r="J396" s="1" t="s">
        <v>1571</v>
      </c>
      <c r="K396" s="5" t="s">
        <v>1572</v>
      </c>
    </row>
    <row r="397">
      <c r="A397" s="1" t="s">
        <v>1573</v>
      </c>
      <c r="B397" s="1" t="s">
        <v>1574</v>
      </c>
      <c r="C397" s="1" t="s">
        <v>1348</v>
      </c>
      <c r="D397" s="2">
        <v>2299.0</v>
      </c>
      <c r="E397" s="2">
        <v>7999.0</v>
      </c>
      <c r="F397" s="3">
        <f t="shared" si="3"/>
        <v>0.7125890736</v>
      </c>
      <c r="G397" s="4">
        <f>IFERROR(__xludf.DUMMYFUNCTION("GOOGLEFINANCE(""CURRENCY:INRBRL"")*D397"),137.47449047947998)</f>
        <v>137.4744905</v>
      </c>
      <c r="H397" s="1">
        <v>4.5</v>
      </c>
      <c r="I397" s="1">
        <v>69622.0</v>
      </c>
      <c r="J397" s="1" t="s">
        <v>1575</v>
      </c>
      <c r="K397" s="5" t="s">
        <v>1576</v>
      </c>
    </row>
    <row r="398">
      <c r="A398" s="1" t="s">
        <v>1577</v>
      </c>
      <c r="B398" s="1" t="s">
        <v>1578</v>
      </c>
      <c r="C398" s="1" t="s">
        <v>1579</v>
      </c>
      <c r="D398" s="2">
        <v>399.0</v>
      </c>
      <c r="E398" s="2">
        <v>1999.0</v>
      </c>
      <c r="F398" s="3">
        <f t="shared" si="3"/>
        <v>0.8004002001</v>
      </c>
      <c r="G398" s="4">
        <f>IFERROR(__xludf.DUMMYFUNCTION("GOOGLEFINANCE(""CURRENCY:INRBRL"")*D398"),23.859209091479997)</f>
        <v>23.85920909</v>
      </c>
      <c r="H398" s="1">
        <v>4.5</v>
      </c>
      <c r="I398" s="1">
        <v>3382.0</v>
      </c>
      <c r="J398" s="1" t="s">
        <v>1580</v>
      </c>
      <c r="K398" s="5" t="s">
        <v>1581</v>
      </c>
    </row>
    <row r="399">
      <c r="A399" s="1" t="s">
        <v>1582</v>
      </c>
      <c r="B399" s="1" t="s">
        <v>1583</v>
      </c>
      <c r="C399" s="1" t="s">
        <v>1385</v>
      </c>
      <c r="D399" s="2">
        <v>1149.0</v>
      </c>
      <c r="E399" s="2">
        <v>3999.0</v>
      </c>
      <c r="F399" s="3">
        <f t="shared" si="3"/>
        <v>0.7126781695</v>
      </c>
      <c r="G399" s="4">
        <f>IFERROR(__xludf.DUMMYFUNCTION("GOOGLEFINANCE(""CURRENCY:INRBRL"")*D399"),68.70734648148)</f>
        <v>68.70734648</v>
      </c>
      <c r="H399" s="1">
        <v>4.5</v>
      </c>
      <c r="I399" s="1">
        <v>140036.0</v>
      </c>
      <c r="J399" s="1" t="s">
        <v>1584</v>
      </c>
      <c r="K399" s="5" t="s">
        <v>1585</v>
      </c>
    </row>
    <row r="400">
      <c r="A400" s="1" t="s">
        <v>1586</v>
      </c>
      <c r="B400" s="1" t="s">
        <v>1587</v>
      </c>
      <c r="C400" s="1" t="s">
        <v>1448</v>
      </c>
      <c r="D400" s="2">
        <v>529.0</v>
      </c>
      <c r="E400" s="2">
        <v>1499.0</v>
      </c>
      <c r="F400" s="3">
        <f t="shared" si="3"/>
        <v>0.6470980654</v>
      </c>
      <c r="G400" s="4">
        <f>IFERROR(__xludf.DUMMYFUNCTION("GOOGLEFINANCE(""CURRENCY:INRBRL"")*D400"),31.632886239079998)</f>
        <v>31.63288624</v>
      </c>
      <c r="H400" s="1">
        <v>4.5</v>
      </c>
      <c r="I400" s="1">
        <v>8599.0</v>
      </c>
      <c r="J400" s="1" t="s">
        <v>1588</v>
      </c>
      <c r="K400" s="5" t="s">
        <v>1589</v>
      </c>
    </row>
    <row r="401">
      <c r="A401" s="1" t="s">
        <v>1590</v>
      </c>
      <c r="B401" s="1" t="s">
        <v>1591</v>
      </c>
      <c r="C401" s="1" t="s">
        <v>1366</v>
      </c>
      <c r="D401" s="2">
        <v>13999.0</v>
      </c>
      <c r="E401" s="2">
        <v>19499.0</v>
      </c>
      <c r="F401" s="3">
        <f t="shared" si="3"/>
        <v>0.282065747</v>
      </c>
      <c r="G401" s="4">
        <f>IFERROR(__xludf.DUMMYFUNCTION("GOOGLEFINANCE(""CURRENCY:INRBRL"")*D401"),837.1054337634799)</f>
        <v>837.1054338</v>
      </c>
      <c r="H401" s="1">
        <v>4.5</v>
      </c>
      <c r="I401" s="1">
        <v>18998.0</v>
      </c>
      <c r="J401" s="1" t="s">
        <v>1592</v>
      </c>
      <c r="K401" s="5" t="s">
        <v>1593</v>
      </c>
    </row>
    <row r="402">
      <c r="A402" s="1" t="s">
        <v>1594</v>
      </c>
      <c r="B402" s="1" t="s">
        <v>1595</v>
      </c>
      <c r="C402" s="1" t="s">
        <v>1403</v>
      </c>
      <c r="D402" s="2">
        <v>379.0</v>
      </c>
      <c r="E402" s="2">
        <v>999.0</v>
      </c>
      <c r="F402" s="3">
        <f t="shared" si="3"/>
        <v>0.6206206206</v>
      </c>
      <c r="G402" s="4">
        <f>IFERROR(__xludf.DUMMYFUNCTION("GOOGLEFINANCE(""CURRENCY:INRBRL"")*D402"),22.663258761079998)</f>
        <v>22.66325876</v>
      </c>
      <c r="H402" s="1">
        <v>4.5</v>
      </c>
      <c r="I402" s="1">
        <v>363713.0</v>
      </c>
      <c r="J402" s="1" t="s">
        <v>1596</v>
      </c>
      <c r="K402" s="5" t="s">
        <v>1597</v>
      </c>
    </row>
    <row r="403">
      <c r="A403" s="1" t="s">
        <v>1598</v>
      </c>
      <c r="B403" s="1" t="s">
        <v>1599</v>
      </c>
      <c r="C403" s="1" t="s">
        <v>1366</v>
      </c>
      <c r="D403" s="2">
        <v>13999.0</v>
      </c>
      <c r="E403" s="2">
        <v>19999.0</v>
      </c>
      <c r="F403" s="3">
        <f t="shared" si="3"/>
        <v>0.3000150008</v>
      </c>
      <c r="G403" s="4">
        <f>IFERROR(__xludf.DUMMYFUNCTION("GOOGLEFINANCE(""CURRENCY:INRBRL"")*D403"),837.1054337634799)</f>
        <v>837.1054338</v>
      </c>
      <c r="H403" s="1">
        <v>4.5</v>
      </c>
      <c r="I403" s="1">
        <v>19252.0</v>
      </c>
      <c r="J403" s="1" t="s">
        <v>1600</v>
      </c>
      <c r="K403" s="5" t="s">
        <v>1601</v>
      </c>
    </row>
    <row r="404">
      <c r="A404" s="1" t="s">
        <v>1602</v>
      </c>
      <c r="B404" s="1" t="s">
        <v>1603</v>
      </c>
      <c r="C404" s="1" t="s">
        <v>1348</v>
      </c>
      <c r="D404" s="2">
        <v>3999.0</v>
      </c>
      <c r="E404" s="2">
        <v>9999.0</v>
      </c>
      <c r="F404" s="3">
        <f t="shared" si="3"/>
        <v>0.600060006</v>
      </c>
      <c r="G404" s="4">
        <f>IFERROR(__xludf.DUMMYFUNCTION("GOOGLEFINANCE(""CURRENCY:INRBRL"")*D404"),239.13026856347997)</f>
        <v>239.1302686</v>
      </c>
      <c r="H404" s="1">
        <v>4.5</v>
      </c>
      <c r="I404" s="1">
        <v>73.0</v>
      </c>
      <c r="J404" s="1" t="s">
        <v>1604</v>
      </c>
      <c r="K404" s="5" t="s">
        <v>1605</v>
      </c>
    </row>
    <row r="405">
      <c r="A405" s="1" t="s">
        <v>32</v>
      </c>
      <c r="B405" s="1" t="s">
        <v>33</v>
      </c>
      <c r="C405" s="1" t="s">
        <v>13</v>
      </c>
      <c r="D405" s="2">
        <v>149.0</v>
      </c>
      <c r="E405" s="2">
        <v>1000.0</v>
      </c>
      <c r="F405" s="3">
        <f t="shared" si="3"/>
        <v>0.851</v>
      </c>
      <c r="G405" s="4">
        <f>IFERROR(__xludf.DUMMYFUNCTION("GOOGLEFINANCE(""CURRENCY:INRBRL"")*D405"),8.90982996148)</f>
        <v>8.909829961</v>
      </c>
      <c r="H405" s="1">
        <v>4.5</v>
      </c>
      <c r="I405" s="1">
        <v>2487.0</v>
      </c>
      <c r="J405" s="1" t="s">
        <v>34</v>
      </c>
      <c r="K405" s="5" t="s">
        <v>1606</v>
      </c>
    </row>
    <row r="406">
      <c r="A406" s="1" t="s">
        <v>1607</v>
      </c>
      <c r="B406" s="1" t="s">
        <v>1608</v>
      </c>
      <c r="C406" s="1" t="s">
        <v>1609</v>
      </c>
      <c r="D406" s="2">
        <v>99.0</v>
      </c>
      <c r="E406" s="2">
        <v>499.0</v>
      </c>
      <c r="F406" s="3">
        <f t="shared" si="3"/>
        <v>0.8016032064</v>
      </c>
      <c r="G406" s="4">
        <f>IFERROR(__xludf.DUMMYFUNCTION("GOOGLEFINANCE(""CURRENCY:INRBRL"")*D406"),5.919954135479999)</f>
        <v>5.919954135</v>
      </c>
      <c r="H406" s="1">
        <v>4.5</v>
      </c>
      <c r="I406" s="1">
        <v>42641.0</v>
      </c>
      <c r="J406" s="1" t="s">
        <v>1610</v>
      </c>
      <c r="K406" s="5" t="s">
        <v>1611</v>
      </c>
    </row>
    <row r="407">
      <c r="A407" s="1" t="s">
        <v>1612</v>
      </c>
      <c r="B407" s="1" t="s">
        <v>1613</v>
      </c>
      <c r="C407" s="1" t="s">
        <v>1403</v>
      </c>
      <c r="D407" s="2">
        <v>4790.0</v>
      </c>
      <c r="E407" s="2">
        <v>15990.0</v>
      </c>
      <c r="F407" s="3">
        <f t="shared" si="3"/>
        <v>0.7004377736</v>
      </c>
      <c r="G407" s="4">
        <f>IFERROR(__xludf.DUMMYFUNCTION("GOOGLEFINANCE(""CURRENCY:INRBRL"")*D407"),286.4301041308)</f>
        <v>286.4301041</v>
      </c>
      <c r="H407" s="1">
        <v>4.5</v>
      </c>
      <c r="I407" s="1">
        <v>439.0</v>
      </c>
      <c r="J407" s="1" t="s">
        <v>1614</v>
      </c>
      <c r="K407" s="5" t="s">
        <v>1615</v>
      </c>
    </row>
    <row r="408">
      <c r="A408" s="1" t="s">
        <v>1616</v>
      </c>
      <c r="B408" s="1" t="s">
        <v>1617</v>
      </c>
      <c r="C408" s="1" t="s">
        <v>1366</v>
      </c>
      <c r="D408" s="2">
        <v>33999.0</v>
      </c>
      <c r="E408" s="2">
        <v>33999.0</v>
      </c>
      <c r="F408" s="3">
        <f t="shared" si="3"/>
        <v>0</v>
      </c>
      <c r="G408" s="4">
        <f>IFERROR(__xludf.DUMMYFUNCTION("GOOGLEFINANCE(""CURRENCY:INRBRL"")*D408"),2033.0557641634798)</f>
        <v>2033.055764</v>
      </c>
      <c r="H408" s="1">
        <v>4.5</v>
      </c>
      <c r="I408" s="1">
        <v>17415.0</v>
      </c>
      <c r="J408" s="1" t="s">
        <v>1618</v>
      </c>
      <c r="K408" s="5" t="s">
        <v>1619</v>
      </c>
    </row>
    <row r="409">
      <c r="A409" s="1" t="s">
        <v>1620</v>
      </c>
      <c r="B409" s="1" t="s">
        <v>1621</v>
      </c>
      <c r="C409" s="1" t="s">
        <v>1622</v>
      </c>
      <c r="D409" s="2">
        <v>99.0</v>
      </c>
      <c r="E409" s="2">
        <v>999.0</v>
      </c>
      <c r="F409" s="3">
        <f t="shared" si="3"/>
        <v>0.9009009009</v>
      </c>
      <c r="G409" s="4">
        <f>IFERROR(__xludf.DUMMYFUNCTION("GOOGLEFINANCE(""CURRENCY:INRBRL"")*D409"),5.919954135479999)</f>
        <v>5.919954135</v>
      </c>
      <c r="H409" s="1">
        <v>4.5</v>
      </c>
      <c r="I409" s="1">
        <v>1396.0</v>
      </c>
      <c r="J409" s="1" t="s">
        <v>1623</v>
      </c>
      <c r="K409" s="5" t="s">
        <v>1624</v>
      </c>
    </row>
    <row r="410">
      <c r="A410" s="1" t="s">
        <v>1625</v>
      </c>
      <c r="B410" s="1" t="s">
        <v>1626</v>
      </c>
      <c r="C410" s="1" t="s">
        <v>1403</v>
      </c>
      <c r="D410" s="2">
        <v>299.0</v>
      </c>
      <c r="E410" s="2">
        <v>1900.0</v>
      </c>
      <c r="F410" s="3">
        <f t="shared" si="3"/>
        <v>0.8426315789</v>
      </c>
      <c r="G410" s="4">
        <f>IFERROR(__xludf.DUMMYFUNCTION("GOOGLEFINANCE(""CURRENCY:INRBRL"")*D410"),17.87945743948)</f>
        <v>17.87945744</v>
      </c>
      <c r="H410" s="1">
        <v>4.5</v>
      </c>
      <c r="I410" s="1">
        <v>18202.0</v>
      </c>
      <c r="J410" s="1" t="s">
        <v>1627</v>
      </c>
      <c r="K410" s="5" t="s">
        <v>1628</v>
      </c>
    </row>
    <row r="411">
      <c r="A411" s="1" t="s">
        <v>1629</v>
      </c>
      <c r="B411" s="1" t="s">
        <v>1630</v>
      </c>
      <c r="C411" s="1" t="s">
        <v>1366</v>
      </c>
      <c r="D411" s="2">
        <v>10999.0</v>
      </c>
      <c r="E411" s="2">
        <v>14999.0</v>
      </c>
      <c r="F411" s="3">
        <f t="shared" si="3"/>
        <v>0.2666844456</v>
      </c>
      <c r="G411" s="4">
        <f>IFERROR(__xludf.DUMMYFUNCTION("GOOGLEFINANCE(""CURRENCY:INRBRL"")*D411"),657.7128842034799)</f>
        <v>657.7128842</v>
      </c>
      <c r="H411" s="1">
        <v>4.5</v>
      </c>
      <c r="I411" s="1">
        <v>18998.0</v>
      </c>
      <c r="J411" s="1" t="s">
        <v>1631</v>
      </c>
      <c r="K411" s="5" t="s">
        <v>1632</v>
      </c>
    </row>
    <row r="412">
      <c r="A412" s="1" t="s">
        <v>1633</v>
      </c>
      <c r="B412" s="1" t="s">
        <v>1634</v>
      </c>
      <c r="C412" s="1" t="s">
        <v>1366</v>
      </c>
      <c r="D412" s="2">
        <v>34999.0</v>
      </c>
      <c r="E412" s="2">
        <v>38999.0</v>
      </c>
      <c r="F412" s="3">
        <f t="shared" si="3"/>
        <v>0.1025667325</v>
      </c>
      <c r="G412" s="4">
        <f>IFERROR(__xludf.DUMMYFUNCTION("GOOGLEFINANCE(""CURRENCY:INRBRL"")*D412"),2092.85328068348)</f>
        <v>2092.853281</v>
      </c>
      <c r="H412" s="1">
        <v>4.5</v>
      </c>
      <c r="I412" s="1">
        <v>11029.0</v>
      </c>
      <c r="J412" s="1" t="s">
        <v>1635</v>
      </c>
      <c r="K412" s="5" t="s">
        <v>1636</v>
      </c>
    </row>
    <row r="413">
      <c r="A413" s="1" t="s">
        <v>1637</v>
      </c>
      <c r="B413" s="1" t="s">
        <v>1479</v>
      </c>
      <c r="C413" s="1" t="s">
        <v>1366</v>
      </c>
      <c r="D413" s="2">
        <v>16999.0</v>
      </c>
      <c r="E413" s="2">
        <v>24999.0</v>
      </c>
      <c r="F413" s="3">
        <f t="shared" si="3"/>
        <v>0.3200128005</v>
      </c>
      <c r="G413" s="4">
        <f>IFERROR(__xludf.DUMMYFUNCTION("GOOGLEFINANCE(""CURRENCY:INRBRL"")*D413"),1016.49798332348)</f>
        <v>1016.497983</v>
      </c>
      <c r="H413" s="1">
        <v>4.5</v>
      </c>
      <c r="I413" s="1">
        <v>22318.0</v>
      </c>
      <c r="J413" s="1" t="s">
        <v>1480</v>
      </c>
      <c r="K413" s="5" t="s">
        <v>1638</v>
      </c>
    </row>
    <row r="414">
      <c r="A414" s="1" t="s">
        <v>1639</v>
      </c>
      <c r="B414" s="1" t="s">
        <v>1640</v>
      </c>
      <c r="C414" s="1" t="s">
        <v>1609</v>
      </c>
      <c r="D414" s="2">
        <v>199.0</v>
      </c>
      <c r="E414" s="2">
        <v>499.0</v>
      </c>
      <c r="F414" s="3">
        <f t="shared" si="3"/>
        <v>0.6012024048</v>
      </c>
      <c r="G414" s="4">
        <f>IFERROR(__xludf.DUMMYFUNCTION("GOOGLEFINANCE(""CURRENCY:INRBRL"")*D414"),11.899705787479999)</f>
        <v>11.89970579</v>
      </c>
      <c r="H414" s="1">
        <v>4.5</v>
      </c>
      <c r="I414" s="1">
        <v>1786.0</v>
      </c>
      <c r="J414" s="1" t="s">
        <v>1641</v>
      </c>
      <c r="K414" s="5" t="s">
        <v>1642</v>
      </c>
    </row>
    <row r="415">
      <c r="A415" s="1" t="s">
        <v>1643</v>
      </c>
      <c r="B415" s="1" t="s">
        <v>1644</v>
      </c>
      <c r="C415" s="1" t="s">
        <v>1361</v>
      </c>
      <c r="D415" s="2">
        <v>999.0</v>
      </c>
      <c r="E415" s="2">
        <v>1599.0</v>
      </c>
      <c r="F415" s="3">
        <f t="shared" si="3"/>
        <v>0.3752345216</v>
      </c>
      <c r="G415" s="4">
        <f>IFERROR(__xludf.DUMMYFUNCTION("GOOGLEFINANCE(""CURRENCY:INRBRL"")*D415"),59.737719003479995)</f>
        <v>59.737719</v>
      </c>
      <c r="H415" s="1">
        <v>4.5</v>
      </c>
      <c r="I415" s="1">
        <v>7222.0</v>
      </c>
      <c r="J415" s="1" t="s">
        <v>1645</v>
      </c>
      <c r="K415" s="5" t="s">
        <v>1646</v>
      </c>
    </row>
    <row r="416">
      <c r="A416" s="1" t="s">
        <v>1647</v>
      </c>
      <c r="B416" s="1" t="s">
        <v>1648</v>
      </c>
      <c r="C416" s="1" t="s">
        <v>1394</v>
      </c>
      <c r="D416" s="2">
        <v>1299.0</v>
      </c>
      <c r="E416" s="2">
        <v>1599.0</v>
      </c>
      <c r="F416" s="3">
        <f t="shared" si="3"/>
        <v>0.1876172608</v>
      </c>
      <c r="G416" s="4">
        <f>IFERROR(__xludf.DUMMYFUNCTION("GOOGLEFINANCE(""CURRENCY:INRBRL"")*D416"),77.67697395948)</f>
        <v>77.67697396</v>
      </c>
      <c r="H416" s="1">
        <v>4.5</v>
      </c>
      <c r="I416" s="1">
        <v>128311.0</v>
      </c>
      <c r="J416" s="1" t="s">
        <v>1395</v>
      </c>
      <c r="K416" s="5" t="s">
        <v>1649</v>
      </c>
    </row>
    <row r="417">
      <c r="A417" s="1" t="s">
        <v>1650</v>
      </c>
      <c r="B417" s="1" t="s">
        <v>1651</v>
      </c>
      <c r="C417" s="1" t="s">
        <v>1403</v>
      </c>
      <c r="D417" s="2">
        <v>599.0</v>
      </c>
      <c r="E417" s="2">
        <v>1800.0</v>
      </c>
      <c r="F417" s="3">
        <f t="shared" si="3"/>
        <v>0.6672222222</v>
      </c>
      <c r="G417" s="4">
        <f>IFERROR(__xludf.DUMMYFUNCTION("GOOGLEFINANCE(""CURRENCY:INRBRL"")*D417"),35.81871239548)</f>
        <v>35.8187124</v>
      </c>
      <c r="H417" s="1">
        <v>4.5</v>
      </c>
      <c r="I417" s="1">
        <v>83996.0</v>
      </c>
      <c r="J417" s="1" t="s">
        <v>1652</v>
      </c>
      <c r="K417" s="5" t="s">
        <v>1653</v>
      </c>
    </row>
    <row r="418">
      <c r="A418" s="1" t="s">
        <v>1654</v>
      </c>
      <c r="B418" s="1" t="s">
        <v>1655</v>
      </c>
      <c r="C418" s="1" t="s">
        <v>1385</v>
      </c>
      <c r="D418" s="2">
        <v>599.0</v>
      </c>
      <c r="E418" s="2">
        <v>1899.0</v>
      </c>
      <c r="F418" s="3">
        <f t="shared" si="3"/>
        <v>0.6845708268</v>
      </c>
      <c r="G418" s="4">
        <f>IFERROR(__xludf.DUMMYFUNCTION("GOOGLEFINANCE(""CURRENCY:INRBRL"")*D418"),35.81871239548)</f>
        <v>35.8187124</v>
      </c>
      <c r="H418" s="1">
        <v>4.5</v>
      </c>
      <c r="I418" s="1">
        <v>140036.0</v>
      </c>
      <c r="J418" s="1" t="s">
        <v>1584</v>
      </c>
      <c r="K418" s="5" t="s">
        <v>1656</v>
      </c>
    </row>
    <row r="419">
      <c r="A419" s="1" t="s">
        <v>1657</v>
      </c>
      <c r="B419" s="1" t="s">
        <v>1658</v>
      </c>
      <c r="C419" s="1" t="s">
        <v>1361</v>
      </c>
      <c r="D419" s="2">
        <v>1799.0</v>
      </c>
      <c r="E419" s="2">
        <v>2499.0</v>
      </c>
      <c r="F419" s="3">
        <f t="shared" si="3"/>
        <v>0.2801120448</v>
      </c>
      <c r="G419" s="4">
        <f>IFERROR(__xludf.DUMMYFUNCTION("GOOGLEFINANCE(""CURRENCY:INRBRL"")*D419"),107.57573221947999)</f>
        <v>107.5757322</v>
      </c>
      <c r="H419" s="1">
        <v>4.5</v>
      </c>
      <c r="I419" s="1">
        <v>18678.0</v>
      </c>
      <c r="J419" s="1" t="s">
        <v>1659</v>
      </c>
      <c r="K419" s="5" t="s">
        <v>1660</v>
      </c>
    </row>
    <row r="420">
      <c r="A420" s="1" t="s">
        <v>36</v>
      </c>
      <c r="B420" s="1" t="s">
        <v>37</v>
      </c>
      <c r="C420" s="1" t="s">
        <v>13</v>
      </c>
      <c r="D420" s="2">
        <v>176.63</v>
      </c>
      <c r="E420" s="2">
        <v>499.0</v>
      </c>
      <c r="F420" s="3">
        <f t="shared" si="3"/>
        <v>0.6460320641</v>
      </c>
      <c r="G420" s="4">
        <f>IFERROR(__xludf.DUMMYFUNCTION("GOOGLEFINANCE(""CURRENCY:INRBRL"")*D420"),10.562035342927599)</f>
        <v>10.56203534</v>
      </c>
      <c r="H420" s="1">
        <v>4.5</v>
      </c>
      <c r="I420" s="1">
        <v>15189.0</v>
      </c>
      <c r="J420" s="1" t="s">
        <v>38</v>
      </c>
      <c r="K420" s="5" t="s">
        <v>1661</v>
      </c>
    </row>
    <row r="421">
      <c r="A421" s="1" t="s">
        <v>1662</v>
      </c>
      <c r="B421" s="1" t="s">
        <v>1663</v>
      </c>
      <c r="C421" s="1" t="s">
        <v>1366</v>
      </c>
      <c r="D421" s="2">
        <v>10999.0</v>
      </c>
      <c r="E421" s="2">
        <v>14999.0</v>
      </c>
      <c r="F421" s="3">
        <f t="shared" si="3"/>
        <v>0.2666844456</v>
      </c>
      <c r="G421" s="4">
        <f>IFERROR(__xludf.DUMMYFUNCTION("GOOGLEFINANCE(""CURRENCY:INRBRL"")*D421"),657.7128842034799)</f>
        <v>657.7128842</v>
      </c>
      <c r="H421" s="1">
        <v>4.5</v>
      </c>
      <c r="I421" s="1">
        <v>18998.0</v>
      </c>
      <c r="J421" s="1" t="s">
        <v>1631</v>
      </c>
      <c r="K421" s="5" t="s">
        <v>1664</v>
      </c>
    </row>
    <row r="422">
      <c r="A422" s="1" t="s">
        <v>1665</v>
      </c>
      <c r="B422" s="1" t="s">
        <v>1666</v>
      </c>
      <c r="C422" s="1" t="s">
        <v>1348</v>
      </c>
      <c r="D422" s="2">
        <v>2999.0</v>
      </c>
      <c r="E422" s="2">
        <v>7990.0</v>
      </c>
      <c r="F422" s="3">
        <f t="shared" si="3"/>
        <v>0.6246558198</v>
      </c>
      <c r="G422" s="4">
        <f>IFERROR(__xludf.DUMMYFUNCTION("GOOGLEFINANCE(""CURRENCY:INRBRL"")*D422"),179.33275204347999)</f>
        <v>179.332752</v>
      </c>
      <c r="H422" s="1">
        <v>4.5</v>
      </c>
      <c r="I422" s="1">
        <v>48449.0</v>
      </c>
      <c r="J422" s="1" t="s">
        <v>1575</v>
      </c>
      <c r="K422" s="5" t="s">
        <v>1667</v>
      </c>
    </row>
    <row r="423">
      <c r="A423" s="1" t="s">
        <v>1668</v>
      </c>
      <c r="B423" s="1" t="s">
        <v>1669</v>
      </c>
      <c r="C423" s="1" t="s">
        <v>1348</v>
      </c>
      <c r="D423" s="2">
        <v>1999.0</v>
      </c>
      <c r="E423" s="2">
        <v>7990.0</v>
      </c>
      <c r="F423" s="3">
        <f t="shared" si="3"/>
        <v>0.7498122653</v>
      </c>
      <c r="G423" s="4">
        <f>IFERROR(__xludf.DUMMYFUNCTION("GOOGLEFINANCE(""CURRENCY:INRBRL"")*D423"),119.53523552348)</f>
        <v>119.5352355</v>
      </c>
      <c r="H423" s="1">
        <v>4.5</v>
      </c>
      <c r="I423" s="1">
        <v>17831.0</v>
      </c>
      <c r="J423" s="1" t="s">
        <v>1357</v>
      </c>
      <c r="K423" s="5" t="s">
        <v>1670</v>
      </c>
    </row>
    <row r="424">
      <c r="A424" s="1" t="s">
        <v>40</v>
      </c>
      <c r="B424" s="1" t="s">
        <v>41</v>
      </c>
      <c r="C424" s="1" t="s">
        <v>13</v>
      </c>
      <c r="D424" s="2">
        <v>229.0</v>
      </c>
      <c r="E424" s="2">
        <v>299.0</v>
      </c>
      <c r="F424" s="3">
        <f t="shared" si="3"/>
        <v>0.2341137124</v>
      </c>
      <c r="G424" s="4">
        <f>IFERROR(__xludf.DUMMYFUNCTION("GOOGLEFINANCE(""CURRENCY:INRBRL"")*D424"),13.693631283079998)</f>
        <v>13.69363128</v>
      </c>
      <c r="H424" s="1">
        <v>4.5</v>
      </c>
      <c r="I424" s="1">
        <v>30411.0</v>
      </c>
      <c r="J424" s="1" t="s">
        <v>42</v>
      </c>
      <c r="K424" s="5" t="s">
        <v>1671</v>
      </c>
    </row>
    <row r="425">
      <c r="A425" s="1" t="s">
        <v>49</v>
      </c>
      <c r="B425" s="1" t="s">
        <v>50</v>
      </c>
      <c r="C425" s="1" t="s">
        <v>13</v>
      </c>
      <c r="D425" s="2">
        <v>199.0</v>
      </c>
      <c r="E425" s="2">
        <v>299.0</v>
      </c>
      <c r="F425" s="3">
        <f t="shared" si="3"/>
        <v>0.3344481605</v>
      </c>
      <c r="G425" s="4">
        <f>IFERROR(__xludf.DUMMYFUNCTION("GOOGLEFINANCE(""CURRENCY:INRBRL"")*D425"),11.899705787479999)</f>
        <v>11.89970579</v>
      </c>
      <c r="H425" s="1">
        <v>4.5</v>
      </c>
      <c r="I425" s="1">
        <v>43994.0</v>
      </c>
      <c r="J425" s="1" t="s">
        <v>51</v>
      </c>
      <c r="K425" s="5" t="s">
        <v>1672</v>
      </c>
    </row>
    <row r="426">
      <c r="A426" s="1" t="s">
        <v>1673</v>
      </c>
      <c r="B426" s="1" t="s">
        <v>1674</v>
      </c>
      <c r="C426" s="1" t="s">
        <v>1448</v>
      </c>
      <c r="D426" s="2">
        <v>649.0</v>
      </c>
      <c r="E426" s="2">
        <v>999.0</v>
      </c>
      <c r="F426" s="3">
        <f t="shared" si="3"/>
        <v>0.3503503504</v>
      </c>
      <c r="G426" s="4">
        <f>IFERROR(__xludf.DUMMYFUNCTION("GOOGLEFINANCE(""CURRENCY:INRBRL"")*D426"),38.80858822148)</f>
        <v>38.80858822</v>
      </c>
      <c r="H426" s="1">
        <v>4.5</v>
      </c>
      <c r="I426" s="1">
        <v>1315.0</v>
      </c>
      <c r="J426" s="1" t="s">
        <v>1675</v>
      </c>
      <c r="K426" s="5" t="s">
        <v>1676</v>
      </c>
    </row>
    <row r="427">
      <c r="A427" s="1" t="s">
        <v>1677</v>
      </c>
      <c r="B427" s="1" t="s">
        <v>1591</v>
      </c>
      <c r="C427" s="1" t="s">
        <v>1366</v>
      </c>
      <c r="D427" s="2">
        <v>13999.0</v>
      </c>
      <c r="E427" s="2">
        <v>19499.0</v>
      </c>
      <c r="F427" s="3">
        <f t="shared" si="3"/>
        <v>0.282065747</v>
      </c>
      <c r="G427" s="4">
        <f>IFERROR(__xludf.DUMMYFUNCTION("GOOGLEFINANCE(""CURRENCY:INRBRL"")*D427"),837.1054337634799)</f>
        <v>837.1054338</v>
      </c>
      <c r="H427" s="1">
        <v>4.5</v>
      </c>
      <c r="I427" s="1">
        <v>18998.0</v>
      </c>
      <c r="J427" s="1" t="s">
        <v>1592</v>
      </c>
      <c r="K427" s="5" t="s">
        <v>1678</v>
      </c>
    </row>
    <row r="428">
      <c r="A428" s="1" t="s">
        <v>1679</v>
      </c>
      <c r="B428" s="1" t="s">
        <v>1680</v>
      </c>
      <c r="C428" s="1" t="s">
        <v>1681</v>
      </c>
      <c r="D428" s="2">
        <v>119.0</v>
      </c>
      <c r="E428" s="2">
        <v>299.0</v>
      </c>
      <c r="F428" s="3">
        <f t="shared" si="3"/>
        <v>0.602006689</v>
      </c>
      <c r="G428" s="4">
        <f>IFERROR(__xludf.DUMMYFUNCTION("GOOGLEFINANCE(""CURRENCY:INRBRL"")*D428"),7.11590446588)</f>
        <v>7.115904466</v>
      </c>
      <c r="H428" s="1">
        <v>4.5</v>
      </c>
      <c r="I428" s="1">
        <v>5999.0</v>
      </c>
      <c r="J428" s="1" t="s">
        <v>1682</v>
      </c>
      <c r="K428" s="5" t="s">
        <v>1683</v>
      </c>
    </row>
    <row r="429">
      <c r="A429" s="1" t="s">
        <v>1684</v>
      </c>
      <c r="B429" s="1" t="s">
        <v>1685</v>
      </c>
      <c r="C429" s="1" t="s">
        <v>1366</v>
      </c>
      <c r="D429" s="2">
        <v>12999.0</v>
      </c>
      <c r="E429" s="2">
        <v>17999.0</v>
      </c>
      <c r="F429" s="3">
        <f t="shared" si="3"/>
        <v>0.2777932107</v>
      </c>
      <c r="G429" s="4">
        <f>IFERROR(__xludf.DUMMYFUNCTION("GOOGLEFINANCE(""CURRENCY:INRBRL"")*D429"),777.30791724348)</f>
        <v>777.3079172</v>
      </c>
      <c r="H429" s="1">
        <v>4.5</v>
      </c>
      <c r="I429" s="1">
        <v>50772.0</v>
      </c>
      <c r="J429" s="1" t="s">
        <v>1686</v>
      </c>
      <c r="K429" s="5" t="s">
        <v>1687</v>
      </c>
    </row>
    <row r="430">
      <c r="A430" s="1" t="s">
        <v>53</v>
      </c>
      <c r="B430" s="1" t="s">
        <v>54</v>
      </c>
      <c r="C430" s="1" t="s">
        <v>13</v>
      </c>
      <c r="D430" s="2">
        <v>154.0</v>
      </c>
      <c r="E430" s="2">
        <v>339.0</v>
      </c>
      <c r="F430" s="3">
        <f t="shared" si="3"/>
        <v>0.5457227139</v>
      </c>
      <c r="G430" s="4">
        <f>IFERROR(__xludf.DUMMYFUNCTION("GOOGLEFINANCE(""CURRENCY:INRBRL"")*D430"),9.208817544079999)</f>
        <v>9.208817544</v>
      </c>
      <c r="H430" s="1">
        <v>4.5</v>
      </c>
      <c r="I430" s="1">
        <v>13391.0</v>
      </c>
      <c r="J430" s="1" t="s">
        <v>476</v>
      </c>
      <c r="K430" s="5" t="s">
        <v>1688</v>
      </c>
    </row>
    <row r="431">
      <c r="A431" s="1" t="s">
        <v>1689</v>
      </c>
      <c r="B431" s="1" t="s">
        <v>1690</v>
      </c>
      <c r="C431" s="1" t="s">
        <v>1366</v>
      </c>
      <c r="D431" s="2">
        <v>20999.0</v>
      </c>
      <c r="E431" s="2">
        <v>26999.0</v>
      </c>
      <c r="F431" s="3">
        <f t="shared" si="3"/>
        <v>0.222230453</v>
      </c>
      <c r="G431" s="4">
        <f>IFERROR(__xludf.DUMMYFUNCTION("GOOGLEFINANCE(""CURRENCY:INRBRL"")*D431"),1255.68804940348)</f>
        <v>1255.688049</v>
      </c>
      <c r="H431" s="1">
        <v>4.5</v>
      </c>
      <c r="I431" s="1">
        <v>25824.0</v>
      </c>
      <c r="J431" s="1" t="s">
        <v>1691</v>
      </c>
      <c r="K431" s="5" t="s">
        <v>1692</v>
      </c>
    </row>
    <row r="432">
      <c r="A432" s="1" t="s">
        <v>1693</v>
      </c>
      <c r="B432" s="1" t="s">
        <v>1694</v>
      </c>
      <c r="C432" s="1" t="s">
        <v>1448</v>
      </c>
      <c r="D432" s="2">
        <v>249.0</v>
      </c>
      <c r="E432" s="2">
        <v>649.0</v>
      </c>
      <c r="F432" s="3">
        <f t="shared" si="3"/>
        <v>0.6163328197</v>
      </c>
      <c r="G432" s="4">
        <f>IFERROR(__xludf.DUMMYFUNCTION("GOOGLEFINANCE(""CURRENCY:INRBRL"")*D432"),14.889581613479999)</f>
        <v>14.88958161</v>
      </c>
      <c r="H432" s="1">
        <v>4.5</v>
      </c>
      <c r="I432" s="1">
        <v>14404.0</v>
      </c>
      <c r="J432" s="1" t="s">
        <v>1695</v>
      </c>
      <c r="K432" s="5" t="s">
        <v>1696</v>
      </c>
    </row>
    <row r="433">
      <c r="A433" s="1" t="s">
        <v>1697</v>
      </c>
      <c r="B433" s="1" t="s">
        <v>1698</v>
      </c>
      <c r="C433" s="1" t="s">
        <v>1448</v>
      </c>
      <c r="D433" s="2">
        <v>99.0</v>
      </c>
      <c r="E433" s="2">
        <v>171.0</v>
      </c>
      <c r="F433" s="3">
        <f t="shared" si="3"/>
        <v>0.4210526316</v>
      </c>
      <c r="G433" s="4">
        <f>IFERROR(__xludf.DUMMYFUNCTION("GOOGLEFINANCE(""CURRENCY:INRBRL"")*D433"),5.919954135479999)</f>
        <v>5.919954135</v>
      </c>
      <c r="H433" s="1">
        <v>4.5</v>
      </c>
      <c r="I433" s="1">
        <v>11339.0</v>
      </c>
      <c r="J433" s="1" t="s">
        <v>1699</v>
      </c>
      <c r="K433" s="5" t="s">
        <v>1700</v>
      </c>
    </row>
    <row r="434">
      <c r="A434" s="1" t="s">
        <v>1701</v>
      </c>
      <c r="B434" s="1" t="s">
        <v>1702</v>
      </c>
      <c r="C434" s="1" t="s">
        <v>1443</v>
      </c>
      <c r="D434" s="2">
        <v>489.0</v>
      </c>
      <c r="E434" s="2">
        <v>1999.0</v>
      </c>
      <c r="F434" s="3">
        <f t="shared" si="3"/>
        <v>0.7553776888</v>
      </c>
      <c r="G434" s="4">
        <f>IFERROR(__xludf.DUMMYFUNCTION("GOOGLEFINANCE(""CURRENCY:INRBRL"")*D434"),29.240985578279997)</f>
        <v>29.24098558</v>
      </c>
      <c r="H434" s="1">
        <v>4.5</v>
      </c>
      <c r="I434" s="1">
        <v>3626.0</v>
      </c>
      <c r="J434" s="1" t="s">
        <v>1703</v>
      </c>
      <c r="K434" s="5" t="s">
        <v>1704</v>
      </c>
    </row>
    <row r="435">
      <c r="A435" s="1" t="s">
        <v>1705</v>
      </c>
      <c r="B435" s="1" t="s">
        <v>1706</v>
      </c>
      <c r="C435" s="1" t="s">
        <v>1385</v>
      </c>
      <c r="D435" s="2">
        <v>369.0</v>
      </c>
      <c r="E435" s="2">
        <v>1600.0</v>
      </c>
      <c r="F435" s="3">
        <f t="shared" si="3"/>
        <v>0.769375</v>
      </c>
      <c r="G435" s="4">
        <f>IFERROR(__xludf.DUMMYFUNCTION("GOOGLEFINANCE(""CURRENCY:INRBRL"")*D435"),22.06528359588)</f>
        <v>22.0652836</v>
      </c>
      <c r="H435" s="1">
        <v>4.5</v>
      </c>
      <c r="I435" s="1">
        <v>32625.0</v>
      </c>
      <c r="J435" s="1" t="s">
        <v>1707</v>
      </c>
      <c r="K435" s="5" t="s">
        <v>1708</v>
      </c>
    </row>
    <row r="436">
      <c r="A436" s="1" t="s">
        <v>1709</v>
      </c>
      <c r="B436" s="1" t="s">
        <v>1710</v>
      </c>
      <c r="C436" s="1" t="s">
        <v>1366</v>
      </c>
      <c r="D436" s="2">
        <v>15499.0</v>
      </c>
      <c r="E436" s="2">
        <v>20999.0</v>
      </c>
      <c r="F436" s="3">
        <f t="shared" si="3"/>
        <v>0.2619172342</v>
      </c>
      <c r="G436" s="4">
        <f>IFERROR(__xludf.DUMMYFUNCTION("GOOGLEFINANCE(""CURRENCY:INRBRL"")*D436"),926.8017085434799)</f>
        <v>926.8017085</v>
      </c>
      <c r="H436" s="1">
        <v>4.5</v>
      </c>
      <c r="I436" s="1">
        <v>19252.0</v>
      </c>
      <c r="J436" s="1" t="s">
        <v>1711</v>
      </c>
      <c r="K436" s="5" t="s">
        <v>1712</v>
      </c>
    </row>
    <row r="437">
      <c r="A437" s="1" t="s">
        <v>1713</v>
      </c>
      <c r="B437" s="1" t="s">
        <v>1714</v>
      </c>
      <c r="C437" s="1" t="s">
        <v>1366</v>
      </c>
      <c r="D437" s="2">
        <v>15499.0</v>
      </c>
      <c r="E437" s="2">
        <v>18999.0</v>
      </c>
      <c r="F437" s="3">
        <f t="shared" si="3"/>
        <v>0.1842202221</v>
      </c>
      <c r="G437" s="4">
        <f>IFERROR(__xludf.DUMMYFUNCTION("GOOGLEFINANCE(""CURRENCY:INRBRL"")*D437"),926.8017085434799)</f>
        <v>926.8017085</v>
      </c>
      <c r="H437" s="1">
        <v>4.5</v>
      </c>
      <c r="I437" s="1">
        <v>19252.0</v>
      </c>
      <c r="J437" s="1" t="s">
        <v>1519</v>
      </c>
      <c r="K437" s="5" t="s">
        <v>1715</v>
      </c>
    </row>
    <row r="438">
      <c r="A438" s="1" t="s">
        <v>1716</v>
      </c>
      <c r="B438" s="1" t="s">
        <v>1717</v>
      </c>
      <c r="C438" s="1" t="s">
        <v>1366</v>
      </c>
      <c r="D438" s="2">
        <v>22999.0</v>
      </c>
      <c r="E438" s="2">
        <v>28999.0</v>
      </c>
      <c r="F438" s="3">
        <f t="shared" si="3"/>
        <v>0.2069036863</v>
      </c>
      <c r="G438" s="4">
        <f>IFERROR(__xludf.DUMMYFUNCTION("GOOGLEFINANCE(""CURRENCY:INRBRL"")*D438"),1375.28308244348)</f>
        <v>1375.283082</v>
      </c>
      <c r="H438" s="1">
        <v>4.5</v>
      </c>
      <c r="I438" s="1">
        <v>25824.0</v>
      </c>
      <c r="J438" s="1" t="s">
        <v>1718</v>
      </c>
      <c r="K438" s="5" t="s">
        <v>1719</v>
      </c>
    </row>
    <row r="439">
      <c r="A439" s="1" t="s">
        <v>1720</v>
      </c>
      <c r="B439" s="1" t="s">
        <v>1721</v>
      </c>
      <c r="C439" s="1" t="s">
        <v>1403</v>
      </c>
      <c r="D439" s="2">
        <v>599.0</v>
      </c>
      <c r="E439" s="2">
        <v>1490.0</v>
      </c>
      <c r="F439" s="3">
        <f t="shared" si="3"/>
        <v>0.5979865772</v>
      </c>
      <c r="G439" s="4">
        <f>IFERROR(__xludf.DUMMYFUNCTION("GOOGLEFINANCE(""CURRENCY:INRBRL"")*D439"),35.81871239548)</f>
        <v>35.8187124</v>
      </c>
      <c r="H439" s="1">
        <v>4.5</v>
      </c>
      <c r="I439" s="1">
        <v>161679.0</v>
      </c>
      <c r="J439" s="1" t="s">
        <v>1722</v>
      </c>
      <c r="K439" s="5" t="s">
        <v>1723</v>
      </c>
    </row>
    <row r="440">
      <c r="A440" s="1" t="s">
        <v>1724</v>
      </c>
      <c r="B440" s="1" t="s">
        <v>1725</v>
      </c>
      <c r="C440" s="1" t="s">
        <v>1609</v>
      </c>
      <c r="D440" s="2">
        <v>134.0</v>
      </c>
      <c r="E440" s="2">
        <v>699.0</v>
      </c>
      <c r="F440" s="3">
        <f t="shared" si="3"/>
        <v>0.808297568</v>
      </c>
      <c r="G440" s="4">
        <f>IFERROR(__xludf.DUMMYFUNCTION("GOOGLEFINANCE(""CURRENCY:INRBRL"")*D440"),8.01286721368)</f>
        <v>8.012867214</v>
      </c>
      <c r="H440" s="1">
        <v>4.5</v>
      </c>
      <c r="I440" s="1">
        <v>16685.0</v>
      </c>
      <c r="J440" s="1" t="s">
        <v>1726</v>
      </c>
      <c r="K440" s="5" t="s">
        <v>1727</v>
      </c>
    </row>
    <row r="441">
      <c r="A441" s="1" t="s">
        <v>1728</v>
      </c>
      <c r="B441" s="1" t="s">
        <v>1729</v>
      </c>
      <c r="C441" s="1" t="s">
        <v>1366</v>
      </c>
      <c r="D441" s="2">
        <v>7499.0</v>
      </c>
      <c r="E441" s="2">
        <v>7999.0</v>
      </c>
      <c r="F441" s="3">
        <f t="shared" si="3"/>
        <v>0.06250781348</v>
      </c>
      <c r="G441" s="4">
        <f>IFERROR(__xludf.DUMMYFUNCTION("GOOGLEFINANCE(""CURRENCY:INRBRL"")*D441"),448.42157638348)</f>
        <v>448.4215764</v>
      </c>
      <c r="H441" s="1">
        <v>4.5</v>
      </c>
      <c r="I441" s="1">
        <v>30907.0</v>
      </c>
      <c r="J441" s="1" t="s">
        <v>1730</v>
      </c>
      <c r="K441" s="5" t="s">
        <v>1731</v>
      </c>
    </row>
    <row r="442">
      <c r="A442" s="1" t="s">
        <v>1732</v>
      </c>
      <c r="B442" s="1" t="s">
        <v>1733</v>
      </c>
      <c r="C442" s="1" t="s">
        <v>1361</v>
      </c>
      <c r="D442" s="2">
        <v>1149.0</v>
      </c>
      <c r="E442" s="2">
        <v>2199.0</v>
      </c>
      <c r="F442" s="3">
        <f t="shared" si="3"/>
        <v>0.4774897681</v>
      </c>
      <c r="G442" s="4">
        <f>IFERROR(__xludf.DUMMYFUNCTION("GOOGLEFINANCE(""CURRENCY:INRBRL"")*D442"),68.70734648148)</f>
        <v>68.70734648</v>
      </c>
      <c r="H442" s="1">
        <v>4.5</v>
      </c>
      <c r="I442" s="1">
        <v>178912.0</v>
      </c>
      <c r="J442" s="1" t="s">
        <v>1734</v>
      </c>
      <c r="K442" s="5" t="s">
        <v>1735</v>
      </c>
    </row>
    <row r="443">
      <c r="A443" s="1" t="s">
        <v>1736</v>
      </c>
      <c r="B443" s="1" t="s">
        <v>1737</v>
      </c>
      <c r="C443" s="1" t="s">
        <v>1394</v>
      </c>
      <c r="D443" s="2">
        <v>1324.0</v>
      </c>
      <c r="E443" s="2">
        <v>1699.0</v>
      </c>
      <c r="F443" s="3">
        <f t="shared" si="3"/>
        <v>0.2207180695</v>
      </c>
      <c r="G443" s="4">
        <f>IFERROR(__xludf.DUMMYFUNCTION("GOOGLEFINANCE(""CURRENCY:INRBRL"")*D443"),79.17191187248)</f>
        <v>79.17191187</v>
      </c>
      <c r="H443" s="1">
        <v>4.5</v>
      </c>
      <c r="I443" s="1">
        <v>128311.0</v>
      </c>
      <c r="J443" s="1" t="s">
        <v>1738</v>
      </c>
      <c r="K443" s="5" t="s">
        <v>1739</v>
      </c>
    </row>
    <row r="444">
      <c r="A444" s="1" t="s">
        <v>1740</v>
      </c>
      <c r="B444" s="1" t="s">
        <v>1741</v>
      </c>
      <c r="C444" s="1" t="s">
        <v>1366</v>
      </c>
      <c r="D444" s="2">
        <v>13999.0</v>
      </c>
      <c r="E444" s="2">
        <v>19999.0</v>
      </c>
      <c r="F444" s="3">
        <f t="shared" si="3"/>
        <v>0.3000150008</v>
      </c>
      <c r="G444" s="4">
        <f>IFERROR(__xludf.DUMMYFUNCTION("GOOGLEFINANCE(""CURRENCY:INRBRL"")*D444"),837.1054337634799)</f>
        <v>837.1054338</v>
      </c>
      <c r="H444" s="1">
        <v>4.5</v>
      </c>
      <c r="I444" s="1">
        <v>19252.0</v>
      </c>
      <c r="J444" s="1" t="s">
        <v>1711</v>
      </c>
      <c r="K444" s="5" t="s">
        <v>1742</v>
      </c>
    </row>
    <row r="445">
      <c r="A445" s="1" t="s">
        <v>57</v>
      </c>
      <c r="B445" s="1" t="s">
        <v>58</v>
      </c>
      <c r="C445" s="1" t="s">
        <v>13</v>
      </c>
      <c r="D445" s="2">
        <v>299.0</v>
      </c>
      <c r="E445" s="2">
        <v>799.0</v>
      </c>
      <c r="F445" s="3">
        <f t="shared" si="3"/>
        <v>0.6257822278</v>
      </c>
      <c r="G445" s="4">
        <f>IFERROR(__xludf.DUMMYFUNCTION("GOOGLEFINANCE(""CURRENCY:INRBRL"")*D445"),17.87945743948)</f>
        <v>17.87945744</v>
      </c>
      <c r="H445" s="1">
        <v>4.5</v>
      </c>
      <c r="I445" s="1">
        <v>94364.0</v>
      </c>
      <c r="J445" s="1" t="s">
        <v>59</v>
      </c>
      <c r="K445" s="5" t="s">
        <v>1743</v>
      </c>
    </row>
    <row r="446">
      <c r="A446" s="1" t="s">
        <v>1744</v>
      </c>
      <c r="B446" s="1" t="s">
        <v>1745</v>
      </c>
      <c r="C446" s="1" t="s">
        <v>1361</v>
      </c>
      <c r="D446" s="2">
        <v>999.0</v>
      </c>
      <c r="E446" s="2">
        <v>1599.0</v>
      </c>
      <c r="F446" s="3">
        <f t="shared" si="3"/>
        <v>0.3752345216</v>
      </c>
      <c r="G446" s="4">
        <f>IFERROR(__xludf.DUMMYFUNCTION("GOOGLEFINANCE(""CURRENCY:INRBRL"")*D446"),59.737719003479995)</f>
        <v>59.737719</v>
      </c>
      <c r="H446" s="1">
        <v>4.5</v>
      </c>
      <c r="I446" s="1">
        <v>7222.0</v>
      </c>
      <c r="J446" s="1" t="s">
        <v>1746</v>
      </c>
      <c r="K446" s="5" t="s">
        <v>1747</v>
      </c>
    </row>
    <row r="447">
      <c r="A447" s="1" t="s">
        <v>1748</v>
      </c>
      <c r="B447" s="1" t="s">
        <v>1749</v>
      </c>
      <c r="C447" s="1" t="s">
        <v>1366</v>
      </c>
      <c r="D447" s="2">
        <v>12999.0</v>
      </c>
      <c r="E447" s="2">
        <v>17999.0</v>
      </c>
      <c r="F447" s="3">
        <f t="shared" si="3"/>
        <v>0.2777932107</v>
      </c>
      <c r="G447" s="4">
        <f>IFERROR(__xludf.DUMMYFUNCTION("GOOGLEFINANCE(""CURRENCY:INRBRL"")*D447"),777.30791724348)</f>
        <v>777.3079172</v>
      </c>
      <c r="H447" s="1">
        <v>4.5</v>
      </c>
      <c r="I447" s="1">
        <v>18998.0</v>
      </c>
      <c r="J447" s="1" t="s">
        <v>1469</v>
      </c>
      <c r="K447" s="5" t="s">
        <v>1750</v>
      </c>
    </row>
    <row r="448">
      <c r="A448" s="1" t="s">
        <v>1751</v>
      </c>
      <c r="B448" s="1" t="s">
        <v>1752</v>
      </c>
      <c r="C448" s="1" t="s">
        <v>1366</v>
      </c>
      <c r="D448" s="2">
        <v>15490.0</v>
      </c>
      <c r="E448" s="2">
        <v>20990.0</v>
      </c>
      <c r="F448" s="3">
        <f t="shared" si="3"/>
        <v>0.2620295379</v>
      </c>
      <c r="G448" s="4">
        <f>IFERROR(__xludf.DUMMYFUNCTION("GOOGLEFINANCE(""CURRENCY:INRBRL"")*D448"),926.2635308947999)</f>
        <v>926.2635309</v>
      </c>
      <c r="H448" s="1">
        <v>4.5</v>
      </c>
      <c r="I448" s="1">
        <v>32916.0</v>
      </c>
      <c r="J448" s="1" t="s">
        <v>1753</v>
      </c>
      <c r="K448" s="5" t="s">
        <v>1754</v>
      </c>
    </row>
    <row r="449">
      <c r="A449" s="1" t="s">
        <v>1755</v>
      </c>
      <c r="B449" s="1" t="s">
        <v>1756</v>
      </c>
      <c r="C449" s="1" t="s">
        <v>1757</v>
      </c>
      <c r="D449" s="2">
        <v>999.0</v>
      </c>
      <c r="E449" s="2">
        <v>2899.0</v>
      </c>
      <c r="F449" s="3">
        <f t="shared" si="3"/>
        <v>0.6553984132</v>
      </c>
      <c r="G449" s="4">
        <f>IFERROR(__xludf.DUMMYFUNCTION("GOOGLEFINANCE(""CURRENCY:INRBRL"")*D449"),59.737719003479995)</f>
        <v>59.737719</v>
      </c>
      <c r="H449" s="1">
        <v>4.5</v>
      </c>
      <c r="I449" s="1">
        <v>26603.0</v>
      </c>
      <c r="J449" s="1" t="s">
        <v>1758</v>
      </c>
      <c r="K449" s="5" t="s">
        <v>1759</v>
      </c>
    </row>
    <row r="450">
      <c r="A450" s="1" t="s">
        <v>1760</v>
      </c>
      <c r="B450" s="1" t="s">
        <v>1761</v>
      </c>
      <c r="C450" s="1" t="s">
        <v>1348</v>
      </c>
      <c r="D450" s="2">
        <v>1599.0</v>
      </c>
      <c r="E450" s="2">
        <v>4999.0</v>
      </c>
      <c r="F450" s="3">
        <f t="shared" si="3"/>
        <v>0.6801360272</v>
      </c>
      <c r="G450" s="4">
        <f>IFERROR(__xludf.DUMMYFUNCTION("GOOGLEFINANCE(""CURRENCY:INRBRL"")*D450"),95.61622891548)</f>
        <v>95.61622892</v>
      </c>
      <c r="H450" s="1">
        <v>4.5</v>
      </c>
      <c r="I450" s="1">
        <v>6795.0</v>
      </c>
      <c r="J450" s="1" t="s">
        <v>1762</v>
      </c>
      <c r="K450" s="5" t="s">
        <v>1763</v>
      </c>
    </row>
    <row r="451">
      <c r="A451" s="1" t="s">
        <v>1764</v>
      </c>
      <c r="B451" s="1" t="s">
        <v>1765</v>
      </c>
      <c r="C451" s="1" t="s">
        <v>1394</v>
      </c>
      <c r="D451" s="2">
        <v>1324.0</v>
      </c>
      <c r="E451" s="2">
        <v>1699.0</v>
      </c>
      <c r="F451" s="3">
        <f t="shared" si="3"/>
        <v>0.2207180695</v>
      </c>
      <c r="G451" s="4">
        <f>IFERROR(__xludf.DUMMYFUNCTION("GOOGLEFINANCE(""CURRENCY:INRBRL"")*D451"),79.17191187248)</f>
        <v>79.17191187</v>
      </c>
      <c r="H451" s="1">
        <v>4.5</v>
      </c>
      <c r="I451" s="1">
        <v>128311.0</v>
      </c>
      <c r="J451" s="1" t="s">
        <v>1738</v>
      </c>
      <c r="K451" s="5" t="s">
        <v>1766</v>
      </c>
    </row>
    <row r="452">
      <c r="A452" s="1" t="s">
        <v>1767</v>
      </c>
      <c r="B452" s="1" t="s">
        <v>1768</v>
      </c>
      <c r="C452" s="1" t="s">
        <v>1366</v>
      </c>
      <c r="D452" s="2">
        <v>20999.0</v>
      </c>
      <c r="E452" s="2">
        <v>29990.0</v>
      </c>
      <c r="F452" s="3">
        <f t="shared" si="3"/>
        <v>0.2997999333</v>
      </c>
      <c r="G452" s="4">
        <f>IFERROR(__xludf.DUMMYFUNCTION("GOOGLEFINANCE(""CURRENCY:INRBRL"")*D452"),1255.68804940348)</f>
        <v>1255.688049</v>
      </c>
      <c r="H452" s="1">
        <v>4.5</v>
      </c>
      <c r="I452" s="1">
        <v>9499.0</v>
      </c>
      <c r="J452" s="1" t="s">
        <v>1769</v>
      </c>
      <c r="K452" s="5" t="s">
        <v>1770</v>
      </c>
    </row>
    <row r="453">
      <c r="A453" s="1" t="s">
        <v>1771</v>
      </c>
      <c r="B453" s="1" t="s">
        <v>1772</v>
      </c>
      <c r="C453" s="1" t="s">
        <v>1448</v>
      </c>
      <c r="D453" s="2">
        <v>999.0</v>
      </c>
      <c r="E453" s="2">
        <v>1999.0</v>
      </c>
      <c r="F453" s="3">
        <f t="shared" si="3"/>
        <v>0.5002501251</v>
      </c>
      <c r="G453" s="4">
        <f>IFERROR(__xludf.DUMMYFUNCTION("GOOGLEFINANCE(""CURRENCY:INRBRL"")*D453"),59.737719003479995)</f>
        <v>59.737719</v>
      </c>
      <c r="H453" s="1">
        <v>4.5</v>
      </c>
      <c r="I453" s="1">
        <v>1777.0</v>
      </c>
      <c r="J453" s="1" t="s">
        <v>1773</v>
      </c>
      <c r="K453" s="5" t="s">
        <v>1774</v>
      </c>
    </row>
    <row r="454">
      <c r="A454" s="1" t="s">
        <v>1775</v>
      </c>
      <c r="B454" s="1" t="s">
        <v>1776</v>
      </c>
      <c r="C454" s="1" t="s">
        <v>1366</v>
      </c>
      <c r="D454" s="2">
        <v>12490.0</v>
      </c>
      <c r="E454" s="2">
        <v>15990.0</v>
      </c>
      <c r="F454" s="3">
        <f t="shared" si="3"/>
        <v>0.2188868043</v>
      </c>
      <c r="G454" s="4">
        <f>IFERROR(__xludf.DUMMYFUNCTION("GOOGLEFINANCE(""CURRENCY:INRBRL"")*D454"),746.8709813347999)</f>
        <v>746.8709813</v>
      </c>
      <c r="H454" s="1">
        <v>4.5</v>
      </c>
      <c r="I454" s="1">
        <v>58506.0</v>
      </c>
      <c r="J454" s="1" t="s">
        <v>1777</v>
      </c>
      <c r="K454" s="5" t="s">
        <v>1778</v>
      </c>
    </row>
    <row r="455">
      <c r="A455" s="1" t="s">
        <v>1779</v>
      </c>
      <c r="B455" s="1" t="s">
        <v>1780</v>
      </c>
      <c r="C455" s="1" t="s">
        <v>1366</v>
      </c>
      <c r="D455" s="2">
        <v>17999.0</v>
      </c>
      <c r="E455" s="2">
        <v>21990.0</v>
      </c>
      <c r="F455" s="3">
        <f t="shared" si="3"/>
        <v>0.1814915871</v>
      </c>
      <c r="G455" s="4">
        <f>IFERROR(__xludf.DUMMYFUNCTION("GOOGLEFINANCE(""CURRENCY:INRBRL"")*D455"),1076.29549984348)</f>
        <v>1076.2955</v>
      </c>
      <c r="H455" s="1">
        <v>4.5</v>
      </c>
      <c r="I455" s="1">
        <v>2135.0</v>
      </c>
      <c r="J455" s="1" t="s">
        <v>1781</v>
      </c>
      <c r="K455" s="5" t="s">
        <v>1782</v>
      </c>
    </row>
    <row r="456">
      <c r="A456" s="1" t="s">
        <v>66</v>
      </c>
      <c r="B456" s="1" t="s">
        <v>67</v>
      </c>
      <c r="C456" s="1" t="s">
        <v>13</v>
      </c>
      <c r="D456" s="2">
        <v>350.0</v>
      </c>
      <c r="E456" s="2">
        <v>899.0</v>
      </c>
      <c r="F456" s="3">
        <f t="shared" si="3"/>
        <v>0.6106785317</v>
      </c>
      <c r="G456" s="4">
        <f>IFERROR(__xludf.DUMMYFUNCTION("GOOGLEFINANCE(""CURRENCY:INRBRL"")*D456"),20.929130781999998)</f>
        <v>20.92913078</v>
      </c>
      <c r="H456" s="1">
        <v>4.5</v>
      </c>
      <c r="I456" s="1">
        <v>2263.0</v>
      </c>
      <c r="J456" s="1" t="s">
        <v>68</v>
      </c>
      <c r="K456" s="5" t="s">
        <v>1783</v>
      </c>
    </row>
    <row r="457">
      <c r="A457" s="1" t="s">
        <v>1784</v>
      </c>
      <c r="B457" s="1" t="s">
        <v>1785</v>
      </c>
      <c r="C457" s="1" t="s">
        <v>1394</v>
      </c>
      <c r="D457" s="2">
        <v>1399.0</v>
      </c>
      <c r="E457" s="2">
        <v>1630.0</v>
      </c>
      <c r="F457" s="3">
        <f t="shared" si="3"/>
        <v>0.1417177914</v>
      </c>
      <c r="G457" s="4">
        <f>IFERROR(__xludf.DUMMYFUNCTION("GOOGLEFINANCE(""CURRENCY:INRBRL"")*D457"),83.65672561148)</f>
        <v>83.65672561</v>
      </c>
      <c r="H457" s="1">
        <v>4.5</v>
      </c>
      <c r="I457" s="1">
        <v>9378.0</v>
      </c>
      <c r="J457" s="1" t="s">
        <v>1786</v>
      </c>
      <c r="K457" s="5" t="s">
        <v>1787</v>
      </c>
    </row>
    <row r="458">
      <c r="A458" s="1" t="s">
        <v>70</v>
      </c>
      <c r="B458" s="1" t="s">
        <v>71</v>
      </c>
      <c r="C458" s="1" t="s">
        <v>13</v>
      </c>
      <c r="D458" s="2">
        <v>159.0</v>
      </c>
      <c r="E458" s="2">
        <v>399.0</v>
      </c>
      <c r="F458" s="3">
        <f t="shared" si="3"/>
        <v>0.6015037594</v>
      </c>
      <c r="G458" s="4">
        <f>IFERROR(__xludf.DUMMYFUNCTION("GOOGLEFINANCE(""CURRENCY:INRBRL"")*D458"),9.50780512668)</f>
        <v>9.507805127</v>
      </c>
      <c r="H458" s="1">
        <v>4.5</v>
      </c>
      <c r="I458" s="1">
        <v>4768.0</v>
      </c>
      <c r="J458" s="1" t="s">
        <v>30</v>
      </c>
      <c r="K458" s="5" t="s">
        <v>1788</v>
      </c>
    </row>
    <row r="459">
      <c r="A459" s="1" t="s">
        <v>1789</v>
      </c>
      <c r="B459" s="1" t="s">
        <v>1790</v>
      </c>
      <c r="C459" s="1" t="s">
        <v>1348</v>
      </c>
      <c r="D459" s="2">
        <v>1499.0</v>
      </c>
      <c r="E459" s="2">
        <v>6990.0</v>
      </c>
      <c r="F459" s="3">
        <f t="shared" si="3"/>
        <v>0.7855507868</v>
      </c>
      <c r="G459" s="4">
        <f>IFERROR(__xludf.DUMMYFUNCTION("GOOGLEFINANCE(""CURRENCY:INRBRL"")*D459"),89.63647726347999)</f>
        <v>89.63647726</v>
      </c>
      <c r="H459" s="1">
        <v>4.5</v>
      </c>
      <c r="I459" s="1">
        <v>21796.0</v>
      </c>
      <c r="J459" s="1" t="s">
        <v>1399</v>
      </c>
      <c r="K459" s="5" t="s">
        <v>1791</v>
      </c>
    </row>
    <row r="460">
      <c r="A460" s="1" t="s">
        <v>1792</v>
      </c>
      <c r="B460" s="1" t="s">
        <v>1793</v>
      </c>
      <c r="C460" s="1" t="s">
        <v>1348</v>
      </c>
      <c r="D460" s="2">
        <v>1999.0</v>
      </c>
      <c r="E460" s="2">
        <v>7990.0</v>
      </c>
      <c r="F460" s="3">
        <f t="shared" si="3"/>
        <v>0.7498122653</v>
      </c>
      <c r="G460" s="4">
        <f>IFERROR(__xludf.DUMMYFUNCTION("GOOGLEFINANCE(""CURRENCY:INRBRL"")*D460"),119.53523552348)</f>
        <v>119.5352355</v>
      </c>
      <c r="H460" s="1">
        <v>4.5</v>
      </c>
      <c r="I460" s="1">
        <v>17833.0</v>
      </c>
      <c r="J460" s="1" t="s">
        <v>1357</v>
      </c>
      <c r="K460" s="5" t="s">
        <v>1794</v>
      </c>
    </row>
    <row r="461">
      <c r="A461" s="1" t="s">
        <v>1795</v>
      </c>
      <c r="B461" s="1" t="s">
        <v>1796</v>
      </c>
      <c r="C461" s="1" t="s">
        <v>1757</v>
      </c>
      <c r="D461" s="2">
        <v>999.0</v>
      </c>
      <c r="E461" s="2">
        <v>2899.0</v>
      </c>
      <c r="F461" s="3">
        <f t="shared" si="3"/>
        <v>0.6553984132</v>
      </c>
      <c r="G461" s="4">
        <f>IFERROR(__xludf.DUMMYFUNCTION("GOOGLEFINANCE(""CURRENCY:INRBRL"")*D461"),59.737719003479995)</f>
        <v>59.737719</v>
      </c>
      <c r="H461" s="1">
        <v>4.5</v>
      </c>
      <c r="I461" s="1">
        <v>7779.0</v>
      </c>
      <c r="J461" s="1" t="s">
        <v>1797</v>
      </c>
      <c r="K461" s="5" t="s">
        <v>1798</v>
      </c>
    </row>
    <row r="462">
      <c r="A462" s="1" t="s">
        <v>1799</v>
      </c>
      <c r="B462" s="1" t="s">
        <v>1800</v>
      </c>
      <c r="C462" s="1" t="s">
        <v>1801</v>
      </c>
      <c r="D462" s="2">
        <v>2099.0</v>
      </c>
      <c r="E462" s="2">
        <v>5999.0</v>
      </c>
      <c r="F462" s="3">
        <f t="shared" si="3"/>
        <v>0.6501083514</v>
      </c>
      <c r="G462" s="4">
        <f>IFERROR(__xludf.DUMMYFUNCTION("GOOGLEFINANCE(""CURRENCY:INRBRL"")*D462"),125.51498717547999)</f>
        <v>125.5149872</v>
      </c>
      <c r="H462" s="1">
        <v>4.5</v>
      </c>
      <c r="I462" s="1">
        <v>17129.0</v>
      </c>
      <c r="J462" s="1" t="s">
        <v>1802</v>
      </c>
      <c r="K462" s="5" t="s">
        <v>1803</v>
      </c>
    </row>
    <row r="463">
      <c r="A463" s="1" t="s">
        <v>1804</v>
      </c>
      <c r="B463" s="1" t="s">
        <v>1805</v>
      </c>
      <c r="C463" s="1" t="s">
        <v>1420</v>
      </c>
      <c r="D463" s="2">
        <v>337.0</v>
      </c>
      <c r="E463" s="2">
        <v>699.0</v>
      </c>
      <c r="F463" s="3">
        <f t="shared" si="3"/>
        <v>0.5178826896</v>
      </c>
      <c r="G463" s="4">
        <f>IFERROR(__xludf.DUMMYFUNCTION("GOOGLEFINANCE(""CURRENCY:INRBRL"")*D463"),20.151763067239997)</f>
        <v>20.15176307</v>
      </c>
      <c r="H463" s="1">
        <v>4.5</v>
      </c>
      <c r="I463" s="1">
        <v>4969.0</v>
      </c>
      <c r="J463" s="1" t="s">
        <v>1806</v>
      </c>
      <c r="K463" s="5" t="s">
        <v>1807</v>
      </c>
    </row>
    <row r="464">
      <c r="A464" s="1" t="s">
        <v>1808</v>
      </c>
      <c r="B464" s="1" t="s">
        <v>1809</v>
      </c>
      <c r="C464" s="1" t="s">
        <v>1348</v>
      </c>
      <c r="D464" s="2">
        <v>2999.0</v>
      </c>
      <c r="E464" s="2">
        <v>7990.0</v>
      </c>
      <c r="F464" s="3">
        <f t="shared" si="3"/>
        <v>0.6246558198</v>
      </c>
      <c r="G464" s="4">
        <f>IFERROR(__xludf.DUMMYFUNCTION("GOOGLEFINANCE(""CURRENCY:INRBRL"")*D464"),179.33275204347999)</f>
        <v>179.332752</v>
      </c>
      <c r="H464" s="1">
        <v>4.5</v>
      </c>
      <c r="I464" s="1">
        <v>154.0</v>
      </c>
      <c r="J464" s="1" t="s">
        <v>1810</v>
      </c>
      <c r="K464" s="5" t="s">
        <v>1811</v>
      </c>
    </row>
    <row r="465">
      <c r="A465" s="1" t="s">
        <v>1812</v>
      </c>
      <c r="B465" s="1" t="s">
        <v>1813</v>
      </c>
      <c r="C465" s="1" t="s">
        <v>1348</v>
      </c>
      <c r="D465" s="2">
        <v>1299.0</v>
      </c>
      <c r="E465" s="2">
        <v>5999.0</v>
      </c>
      <c r="F465" s="3">
        <f t="shared" si="3"/>
        <v>0.7834639107</v>
      </c>
      <c r="G465" s="4">
        <f>IFERROR(__xludf.DUMMYFUNCTION("GOOGLEFINANCE(""CURRENCY:INRBRL"")*D465"),77.67697395948)</f>
        <v>77.67697396</v>
      </c>
      <c r="H465" s="1">
        <v>4.5</v>
      </c>
      <c r="I465" s="1">
        <v>4415.0</v>
      </c>
      <c r="J465" s="1" t="s">
        <v>1814</v>
      </c>
      <c r="K465" s="5" t="s">
        <v>1815</v>
      </c>
    </row>
    <row r="466">
      <c r="A466" s="1" t="s">
        <v>73</v>
      </c>
      <c r="B466" s="1" t="s">
        <v>74</v>
      </c>
      <c r="C466" s="1" t="s">
        <v>13</v>
      </c>
      <c r="D466" s="2">
        <v>349.0</v>
      </c>
      <c r="E466" s="2">
        <v>399.0</v>
      </c>
      <c r="F466" s="3">
        <f t="shared" si="3"/>
        <v>0.1253132832</v>
      </c>
      <c r="G466" s="4">
        <f>IFERROR(__xludf.DUMMYFUNCTION("GOOGLEFINANCE(""CURRENCY:INRBRL"")*D466"),20.869333265479998)</f>
        <v>20.86933327</v>
      </c>
      <c r="H466" s="1">
        <v>4.5</v>
      </c>
      <c r="I466" s="1">
        <v>18757.0</v>
      </c>
      <c r="J466" s="1" t="s">
        <v>75</v>
      </c>
      <c r="K466" s="5" t="s">
        <v>1816</v>
      </c>
    </row>
    <row r="467">
      <c r="A467" s="1" t="s">
        <v>1817</v>
      </c>
      <c r="B467" s="1" t="s">
        <v>1818</v>
      </c>
      <c r="C467" s="1" t="s">
        <v>1366</v>
      </c>
      <c r="D467" s="2">
        <v>16499.0</v>
      </c>
      <c r="E467" s="2">
        <v>20990.0</v>
      </c>
      <c r="F467" s="3">
        <f t="shared" si="3"/>
        <v>0.2139590281</v>
      </c>
      <c r="G467" s="4">
        <f>IFERROR(__xludf.DUMMYFUNCTION("GOOGLEFINANCE(""CURRENCY:INRBRL"")*D467"),986.5992250634799)</f>
        <v>986.5992251</v>
      </c>
      <c r="H467" s="1">
        <v>4.5</v>
      </c>
      <c r="I467" s="1">
        <v>2135.0</v>
      </c>
      <c r="J467" s="1" t="s">
        <v>1781</v>
      </c>
      <c r="K467" s="5" t="s">
        <v>1819</v>
      </c>
    </row>
    <row r="468">
      <c r="A468" s="1" t="s">
        <v>1820</v>
      </c>
      <c r="B468" s="1" t="s">
        <v>1821</v>
      </c>
      <c r="C468" s="1" t="s">
        <v>1403</v>
      </c>
      <c r="D468" s="2">
        <v>499.0</v>
      </c>
      <c r="E468" s="2">
        <v>499.0</v>
      </c>
      <c r="F468" s="3">
        <f t="shared" si="3"/>
        <v>0</v>
      </c>
      <c r="G468" s="4">
        <f>IFERROR(__xludf.DUMMYFUNCTION("GOOGLEFINANCE(""CURRENCY:INRBRL"")*D468"),29.838960743479998)</f>
        <v>29.83896074</v>
      </c>
      <c r="H468" s="1">
        <v>4.5</v>
      </c>
      <c r="I468" s="1">
        <v>31539.0</v>
      </c>
      <c r="J468" s="1" t="s">
        <v>1822</v>
      </c>
      <c r="K468" s="5" t="s">
        <v>1823</v>
      </c>
    </row>
    <row r="469">
      <c r="A469" s="1" t="s">
        <v>94</v>
      </c>
      <c r="B469" s="1" t="s">
        <v>95</v>
      </c>
      <c r="C469" s="1" t="s">
        <v>13</v>
      </c>
      <c r="D469" s="2">
        <v>970.0</v>
      </c>
      <c r="E469" s="2">
        <v>1799.0</v>
      </c>
      <c r="F469" s="3">
        <f t="shared" si="3"/>
        <v>0.460811562</v>
      </c>
      <c r="G469" s="4">
        <f>IFERROR(__xludf.DUMMYFUNCTION("GOOGLEFINANCE(""CURRENCY:INRBRL"")*D469"),58.003591024399995)</f>
        <v>58.00359102</v>
      </c>
      <c r="H469" s="1">
        <v>4.5</v>
      </c>
      <c r="I469" s="1">
        <v>815.0</v>
      </c>
      <c r="J469" s="1" t="s">
        <v>96</v>
      </c>
      <c r="K469" s="5" t="s">
        <v>1824</v>
      </c>
    </row>
    <row r="470">
      <c r="A470" s="1" t="s">
        <v>1825</v>
      </c>
      <c r="B470" s="1" t="s">
        <v>1826</v>
      </c>
      <c r="C470" s="1" t="s">
        <v>1757</v>
      </c>
      <c r="D470" s="2">
        <v>999.0</v>
      </c>
      <c r="E470" s="2">
        <v>2899.0</v>
      </c>
      <c r="F470" s="3">
        <f t="shared" si="3"/>
        <v>0.6553984132</v>
      </c>
      <c r="G470" s="4">
        <f>IFERROR(__xludf.DUMMYFUNCTION("GOOGLEFINANCE(""CURRENCY:INRBRL"")*D470"),59.737719003479995)</f>
        <v>59.737719</v>
      </c>
      <c r="H470" s="1">
        <v>4.5</v>
      </c>
      <c r="I470" s="1">
        <v>6129.0</v>
      </c>
      <c r="J470" s="1" t="s">
        <v>1827</v>
      </c>
      <c r="K470" s="5" t="s">
        <v>1828</v>
      </c>
    </row>
    <row r="471">
      <c r="A471" s="1" t="s">
        <v>1829</v>
      </c>
      <c r="B471" s="1" t="s">
        <v>1830</v>
      </c>
      <c r="C471" s="1" t="s">
        <v>1366</v>
      </c>
      <c r="D471" s="2">
        <v>10499.0</v>
      </c>
      <c r="E471" s="2">
        <v>13499.0</v>
      </c>
      <c r="F471" s="3">
        <f t="shared" si="3"/>
        <v>0.2222386843</v>
      </c>
      <c r="G471" s="4">
        <f>IFERROR(__xludf.DUMMYFUNCTION("GOOGLEFINANCE(""CURRENCY:INRBRL"")*D471"),627.81412594348)</f>
        <v>627.8141259</v>
      </c>
      <c r="H471" s="1">
        <v>4.5</v>
      </c>
      <c r="I471" s="1">
        <v>284.0</v>
      </c>
      <c r="J471" s="1" t="s">
        <v>1408</v>
      </c>
      <c r="K471" s="5" t="s">
        <v>1831</v>
      </c>
    </row>
    <row r="472">
      <c r="A472" s="1" t="s">
        <v>82</v>
      </c>
      <c r="B472" s="1" t="s">
        <v>83</v>
      </c>
      <c r="C472" s="1" t="s">
        <v>13</v>
      </c>
      <c r="D472" s="2">
        <v>249.0</v>
      </c>
      <c r="E472" s="2">
        <v>399.0</v>
      </c>
      <c r="F472" s="3">
        <f t="shared" si="3"/>
        <v>0.3759398496</v>
      </c>
      <c r="G472" s="4">
        <f>IFERROR(__xludf.DUMMYFUNCTION("GOOGLEFINANCE(""CURRENCY:INRBRL"")*D472"),14.889581613479999)</f>
        <v>14.88958161</v>
      </c>
      <c r="H472" s="1">
        <v>4.5</v>
      </c>
      <c r="I472" s="1">
        <v>43994.0</v>
      </c>
      <c r="J472" s="1" t="s">
        <v>84</v>
      </c>
      <c r="K472" s="5" t="s">
        <v>1832</v>
      </c>
    </row>
    <row r="473">
      <c r="A473" s="1" t="s">
        <v>1833</v>
      </c>
      <c r="B473" s="1" t="s">
        <v>1834</v>
      </c>
      <c r="C473" s="1" t="s">
        <v>1835</v>
      </c>
      <c r="D473" s="2">
        <v>251.0</v>
      </c>
      <c r="E473" s="2">
        <v>999.0</v>
      </c>
      <c r="F473" s="3">
        <f t="shared" si="3"/>
        <v>0.7487487487</v>
      </c>
      <c r="G473" s="4">
        <f>IFERROR(__xludf.DUMMYFUNCTION("GOOGLEFINANCE(""CURRENCY:INRBRL"")*D473"),15.009176646519998)</f>
        <v>15.00917665</v>
      </c>
      <c r="H473" s="1">
        <v>4.5</v>
      </c>
      <c r="I473" s="1">
        <v>3234.0</v>
      </c>
      <c r="J473" s="1" t="s">
        <v>1836</v>
      </c>
      <c r="K473" s="5" t="s">
        <v>1837</v>
      </c>
    </row>
    <row r="474">
      <c r="A474" s="1" t="s">
        <v>86</v>
      </c>
      <c r="B474" s="1" t="s">
        <v>87</v>
      </c>
      <c r="C474" s="1" t="s">
        <v>13</v>
      </c>
      <c r="D474" s="2">
        <v>199.0</v>
      </c>
      <c r="E474" s="2">
        <v>499.0</v>
      </c>
      <c r="F474" s="3">
        <f t="shared" si="3"/>
        <v>0.6012024048</v>
      </c>
      <c r="G474" s="4">
        <f>IFERROR(__xludf.DUMMYFUNCTION("GOOGLEFINANCE(""CURRENCY:INRBRL"")*D474"),11.899705787479999)</f>
        <v>11.89970579</v>
      </c>
      <c r="H474" s="1">
        <v>4.5</v>
      </c>
      <c r="I474" s="1">
        <v>13045.0</v>
      </c>
      <c r="J474" s="1" t="s">
        <v>88</v>
      </c>
      <c r="K474" s="5" t="s">
        <v>1838</v>
      </c>
    </row>
    <row r="475">
      <c r="A475" s="1" t="s">
        <v>1839</v>
      </c>
      <c r="B475" s="1" t="s">
        <v>1840</v>
      </c>
      <c r="C475" s="1" t="s">
        <v>1366</v>
      </c>
      <c r="D475" s="2">
        <v>6499.0</v>
      </c>
      <c r="E475" s="2">
        <v>7999.0</v>
      </c>
      <c r="F475" s="3">
        <f t="shared" si="3"/>
        <v>0.1875234404</v>
      </c>
      <c r="G475" s="4">
        <f>IFERROR(__xludf.DUMMYFUNCTION("GOOGLEFINANCE(""CURRENCY:INRBRL"")*D475"),388.62405986348)</f>
        <v>388.6240599</v>
      </c>
      <c r="H475" s="1">
        <v>4.5</v>
      </c>
      <c r="I475" s="1">
        <v>313832.0</v>
      </c>
      <c r="J475" s="1" t="s">
        <v>1841</v>
      </c>
      <c r="K475" s="5" t="s">
        <v>1842</v>
      </c>
    </row>
    <row r="476">
      <c r="A476" s="1" t="s">
        <v>1843</v>
      </c>
      <c r="B476" s="1" t="s">
        <v>1844</v>
      </c>
      <c r="C476" s="1" t="s">
        <v>1348</v>
      </c>
      <c r="D476" s="2">
        <v>2999.0</v>
      </c>
      <c r="E476" s="2">
        <v>9999.0</v>
      </c>
      <c r="F476" s="3">
        <f t="shared" si="3"/>
        <v>0.700070007</v>
      </c>
      <c r="G476" s="4">
        <f>IFERROR(__xludf.DUMMYFUNCTION("GOOGLEFINANCE(""CURRENCY:INRBRL"")*D476"),179.33275204347999)</f>
        <v>179.332752</v>
      </c>
      <c r="H476" s="1">
        <v>4.5</v>
      </c>
      <c r="I476" s="1">
        <v>20879.0</v>
      </c>
      <c r="J476" s="1" t="s">
        <v>1845</v>
      </c>
      <c r="K476" s="5" t="s">
        <v>1846</v>
      </c>
    </row>
    <row r="477">
      <c r="A477" s="1" t="s">
        <v>1847</v>
      </c>
      <c r="B477" s="1" t="s">
        <v>1848</v>
      </c>
      <c r="C477" s="1" t="s">
        <v>1849</v>
      </c>
      <c r="D477" s="2">
        <v>279.0</v>
      </c>
      <c r="E477" s="2">
        <v>1499.0</v>
      </c>
      <c r="F477" s="3">
        <f t="shared" si="3"/>
        <v>0.8138759173</v>
      </c>
      <c r="G477" s="4">
        <f>IFERROR(__xludf.DUMMYFUNCTION("GOOGLEFINANCE(""CURRENCY:INRBRL"")*D477"),16.68350710908)</f>
        <v>16.68350711</v>
      </c>
      <c r="H477" s="1">
        <v>4.5</v>
      </c>
      <c r="I477" s="1">
        <v>2646.0</v>
      </c>
      <c r="J477" s="1" t="s">
        <v>1850</v>
      </c>
      <c r="K477" s="5" t="s">
        <v>1851</v>
      </c>
    </row>
    <row r="478">
      <c r="A478" s="1" t="s">
        <v>1852</v>
      </c>
      <c r="B478" s="1" t="s">
        <v>1853</v>
      </c>
      <c r="C478" s="1" t="s">
        <v>1609</v>
      </c>
      <c r="D478" s="2">
        <v>269.0</v>
      </c>
      <c r="E478" s="2">
        <v>1499.0</v>
      </c>
      <c r="F478" s="3">
        <f t="shared" si="3"/>
        <v>0.8205470314</v>
      </c>
      <c r="G478" s="4">
        <f>IFERROR(__xludf.DUMMYFUNCTION("GOOGLEFINANCE(""CURRENCY:INRBRL"")*D478"),16.08553194388)</f>
        <v>16.08553194</v>
      </c>
      <c r="H478" s="1">
        <v>4.5</v>
      </c>
      <c r="I478" s="1">
        <v>28978.0</v>
      </c>
      <c r="J478" s="1" t="s">
        <v>1854</v>
      </c>
      <c r="K478" s="5" t="s">
        <v>1855</v>
      </c>
    </row>
    <row r="479">
      <c r="A479" s="1" t="s">
        <v>1856</v>
      </c>
      <c r="B479" s="1" t="s">
        <v>1857</v>
      </c>
      <c r="C479" s="1" t="s">
        <v>1366</v>
      </c>
      <c r="D479" s="2">
        <v>8999.0</v>
      </c>
      <c r="E479" s="2">
        <v>13499.0</v>
      </c>
      <c r="F479" s="3">
        <f t="shared" si="3"/>
        <v>0.3333580265</v>
      </c>
      <c r="G479" s="4">
        <f>IFERROR(__xludf.DUMMYFUNCTION("GOOGLEFINANCE(""CURRENCY:INRBRL"")*D479"),538.1178511634799)</f>
        <v>538.1178512</v>
      </c>
      <c r="H479" s="1">
        <v>4.5</v>
      </c>
      <c r="I479" s="1">
        <v>3145.0</v>
      </c>
      <c r="J479" s="1" t="s">
        <v>1858</v>
      </c>
      <c r="K479" s="5" t="s">
        <v>1859</v>
      </c>
    </row>
    <row r="480">
      <c r="A480" s="1" t="s">
        <v>106</v>
      </c>
      <c r="B480" s="1" t="s">
        <v>107</v>
      </c>
      <c r="C480" s="1" t="s">
        <v>13</v>
      </c>
      <c r="D480" s="2">
        <v>59.0</v>
      </c>
      <c r="E480" s="2">
        <v>199.0</v>
      </c>
      <c r="F480" s="3">
        <f t="shared" si="3"/>
        <v>0.7035175879</v>
      </c>
      <c r="G480" s="4">
        <f>IFERROR(__xludf.DUMMYFUNCTION("GOOGLEFINANCE(""CURRENCY:INRBRL"")*D480"),3.5280534746799996)</f>
        <v>3.528053475</v>
      </c>
      <c r="H480" s="1">
        <v>4.5</v>
      </c>
      <c r="I480" s="1">
        <v>9377.0</v>
      </c>
      <c r="J480" s="1" t="s">
        <v>108</v>
      </c>
      <c r="K480" s="5" t="s">
        <v>1860</v>
      </c>
    </row>
    <row r="481">
      <c r="A481" s="1" t="s">
        <v>1861</v>
      </c>
      <c r="B481" s="1" t="s">
        <v>1862</v>
      </c>
      <c r="C481" s="1" t="s">
        <v>1403</v>
      </c>
      <c r="D481" s="2">
        <v>599.0</v>
      </c>
      <c r="E481" s="2">
        <v>1299.0</v>
      </c>
      <c r="F481" s="3">
        <f t="shared" si="3"/>
        <v>0.5388760585</v>
      </c>
      <c r="G481" s="4">
        <f>IFERROR(__xludf.DUMMYFUNCTION("GOOGLEFINANCE(""CURRENCY:INRBRL"")*D481"),35.81871239548)</f>
        <v>35.8187124</v>
      </c>
      <c r="H481" s="1">
        <v>4.5</v>
      </c>
      <c r="I481" s="1">
        <v>192589.0</v>
      </c>
      <c r="J481" s="1" t="s">
        <v>1863</v>
      </c>
      <c r="K481" s="5" t="s">
        <v>1864</v>
      </c>
    </row>
    <row r="482">
      <c r="A482" s="1" t="s">
        <v>1865</v>
      </c>
      <c r="B482" s="1" t="s">
        <v>1866</v>
      </c>
      <c r="C482" s="1" t="s">
        <v>1801</v>
      </c>
      <c r="D482" s="2">
        <v>349.0</v>
      </c>
      <c r="E482" s="2">
        <v>999.0</v>
      </c>
      <c r="F482" s="3">
        <f t="shared" si="3"/>
        <v>0.6506506507</v>
      </c>
      <c r="G482" s="4">
        <f>IFERROR(__xludf.DUMMYFUNCTION("GOOGLEFINANCE(""CURRENCY:INRBRL"")*D482"),20.869333265479998)</f>
        <v>20.86933327</v>
      </c>
      <c r="H482" s="1">
        <v>4.5</v>
      </c>
      <c r="I482" s="1">
        <v>16557.0</v>
      </c>
      <c r="J482" s="1" t="s">
        <v>1867</v>
      </c>
      <c r="K482" s="5" t="s">
        <v>1868</v>
      </c>
    </row>
    <row r="483">
      <c r="A483" s="1" t="s">
        <v>1869</v>
      </c>
      <c r="B483" s="1" t="s">
        <v>1591</v>
      </c>
      <c r="C483" s="1" t="s">
        <v>1366</v>
      </c>
      <c r="D483" s="2">
        <v>13999.0</v>
      </c>
      <c r="E483" s="2">
        <v>19499.0</v>
      </c>
      <c r="F483" s="3">
        <f t="shared" si="3"/>
        <v>0.282065747</v>
      </c>
      <c r="G483" s="4">
        <f>IFERROR(__xludf.DUMMYFUNCTION("GOOGLEFINANCE(""CURRENCY:INRBRL"")*D483"),837.1054337634799)</f>
        <v>837.1054338</v>
      </c>
      <c r="H483" s="1">
        <v>4.5</v>
      </c>
      <c r="I483" s="1">
        <v>18998.0</v>
      </c>
      <c r="J483" s="1" t="s">
        <v>1592</v>
      </c>
      <c r="K483" s="5" t="s">
        <v>1870</v>
      </c>
    </row>
    <row r="484">
      <c r="A484" s="1" t="s">
        <v>1871</v>
      </c>
      <c r="B484" s="1" t="s">
        <v>1872</v>
      </c>
      <c r="C484" s="1" t="s">
        <v>1801</v>
      </c>
      <c r="D484" s="2">
        <v>349.0</v>
      </c>
      <c r="E484" s="2">
        <v>999.0</v>
      </c>
      <c r="F484" s="3">
        <f t="shared" si="3"/>
        <v>0.6506506507</v>
      </c>
      <c r="G484" s="4">
        <f>IFERROR(__xludf.DUMMYFUNCTION("GOOGLEFINANCE(""CURRENCY:INRBRL"")*D484"),20.869333265479998)</f>
        <v>20.86933327</v>
      </c>
      <c r="H484" s="1">
        <v>4.5</v>
      </c>
      <c r="I484" s="1">
        <v>16557.0</v>
      </c>
      <c r="J484" s="1" t="s">
        <v>1873</v>
      </c>
      <c r="K484" s="5" t="s">
        <v>1874</v>
      </c>
    </row>
    <row r="485">
      <c r="A485" s="1" t="s">
        <v>1875</v>
      </c>
      <c r="B485" s="1" t="s">
        <v>1876</v>
      </c>
      <c r="C485" s="1" t="s">
        <v>1448</v>
      </c>
      <c r="D485" s="2">
        <v>499.0</v>
      </c>
      <c r="E485" s="2">
        <v>599.0</v>
      </c>
      <c r="F485" s="3">
        <f t="shared" si="3"/>
        <v>0.1669449082</v>
      </c>
      <c r="G485" s="4">
        <f>IFERROR(__xludf.DUMMYFUNCTION("GOOGLEFINANCE(""CURRENCY:INRBRL"")*D485"),29.838960743479998)</f>
        <v>29.83896074</v>
      </c>
      <c r="H485" s="1">
        <v>4.5</v>
      </c>
      <c r="I485" s="1">
        <v>21916.0</v>
      </c>
      <c r="J485" s="1" t="s">
        <v>1877</v>
      </c>
      <c r="K485" s="5" t="s">
        <v>1878</v>
      </c>
    </row>
    <row r="486">
      <c r="A486" s="1" t="s">
        <v>1879</v>
      </c>
      <c r="B486" s="1" t="s">
        <v>1475</v>
      </c>
      <c r="C486" s="1" t="s">
        <v>1348</v>
      </c>
      <c r="D486" s="2">
        <v>2199.0</v>
      </c>
      <c r="E486" s="2">
        <v>9999.0</v>
      </c>
      <c r="F486" s="3">
        <f t="shared" si="3"/>
        <v>0.7800780078</v>
      </c>
      <c r="G486" s="4">
        <f>IFERROR(__xludf.DUMMYFUNCTION("GOOGLEFINANCE(""CURRENCY:INRBRL"")*D486"),131.49473882748)</f>
        <v>131.4947388</v>
      </c>
      <c r="H486" s="1">
        <v>4.5</v>
      </c>
      <c r="I486" s="1">
        <v>29472.0</v>
      </c>
      <c r="J486" s="1" t="s">
        <v>1880</v>
      </c>
      <c r="K486" s="5" t="s">
        <v>1881</v>
      </c>
    </row>
    <row r="487">
      <c r="A487" s="1" t="s">
        <v>1882</v>
      </c>
      <c r="B487" s="1" t="s">
        <v>1883</v>
      </c>
      <c r="C487" s="1" t="s">
        <v>1681</v>
      </c>
      <c r="D487" s="2">
        <v>95.0</v>
      </c>
      <c r="E487" s="2">
        <v>499.0</v>
      </c>
      <c r="F487" s="3">
        <f t="shared" si="3"/>
        <v>0.8096192385</v>
      </c>
      <c r="G487" s="4">
        <f>IFERROR(__xludf.DUMMYFUNCTION("GOOGLEFINANCE(""CURRENCY:INRBRL"")*D487"),5.6807640693999994)</f>
        <v>5.680764069</v>
      </c>
      <c r="H487" s="1">
        <v>4.5</v>
      </c>
      <c r="I487" s="1">
        <v>1949.0</v>
      </c>
      <c r="J487" s="1" t="s">
        <v>1884</v>
      </c>
      <c r="K487" s="5" t="s">
        <v>1885</v>
      </c>
    </row>
    <row r="488">
      <c r="A488" s="1" t="s">
        <v>1886</v>
      </c>
      <c r="B488" s="1" t="s">
        <v>1887</v>
      </c>
      <c r="C488" s="1" t="s">
        <v>13</v>
      </c>
      <c r="D488" s="2">
        <v>139.0</v>
      </c>
      <c r="E488" s="2">
        <v>249.0</v>
      </c>
      <c r="F488" s="3">
        <f t="shared" si="3"/>
        <v>0.4417670683</v>
      </c>
      <c r="G488" s="4">
        <f>IFERROR(__xludf.DUMMYFUNCTION("GOOGLEFINANCE(""CURRENCY:INRBRL"")*D488"),8.311854796279999)</f>
        <v>8.311854796</v>
      </c>
      <c r="H488" s="1">
        <v>4.5</v>
      </c>
      <c r="I488" s="1">
        <v>9377.0</v>
      </c>
      <c r="J488" s="1" t="s">
        <v>343</v>
      </c>
      <c r="K488" s="5" t="s">
        <v>1888</v>
      </c>
    </row>
    <row r="489">
      <c r="A489" s="1" t="s">
        <v>1889</v>
      </c>
      <c r="B489" s="1" t="s">
        <v>1890</v>
      </c>
      <c r="C489" s="1" t="s">
        <v>1348</v>
      </c>
      <c r="D489" s="2">
        <v>4499.0</v>
      </c>
      <c r="E489" s="2">
        <v>7999.0</v>
      </c>
      <c r="F489" s="3">
        <f t="shared" si="3"/>
        <v>0.4375546943</v>
      </c>
      <c r="G489" s="4">
        <f>IFERROR(__xludf.DUMMYFUNCTION("GOOGLEFINANCE(""CURRENCY:INRBRL"")*D489"),269.02902682347997)</f>
        <v>269.0290268</v>
      </c>
      <c r="H489" s="1">
        <v>4.5</v>
      </c>
      <c r="I489" s="1">
        <v>37.0</v>
      </c>
      <c r="J489" s="1" t="s">
        <v>1891</v>
      </c>
      <c r="K489" s="5" t="s">
        <v>1892</v>
      </c>
    </row>
    <row r="490">
      <c r="A490" s="1" t="s">
        <v>1893</v>
      </c>
      <c r="B490" s="1" t="s">
        <v>1894</v>
      </c>
      <c r="C490" s="1" t="s">
        <v>1609</v>
      </c>
      <c r="D490" s="2">
        <v>89.0</v>
      </c>
      <c r="E490" s="2">
        <v>599.0</v>
      </c>
      <c r="F490" s="3">
        <f t="shared" si="3"/>
        <v>0.8514190317</v>
      </c>
      <c r="G490" s="4">
        <f>IFERROR(__xludf.DUMMYFUNCTION("GOOGLEFINANCE(""CURRENCY:INRBRL"")*D490"),5.32197897028)</f>
        <v>5.32197897</v>
      </c>
      <c r="H490" s="1">
        <v>4.5</v>
      </c>
      <c r="I490" s="1">
        <v>2351.0</v>
      </c>
      <c r="J490" s="1" t="s">
        <v>1895</v>
      </c>
      <c r="K490" s="5" t="s">
        <v>1896</v>
      </c>
    </row>
    <row r="491">
      <c r="A491" s="1" t="s">
        <v>1897</v>
      </c>
      <c r="B491" s="1" t="s">
        <v>1898</v>
      </c>
      <c r="C491" s="1" t="s">
        <v>1366</v>
      </c>
      <c r="D491" s="2">
        <v>15499.0</v>
      </c>
      <c r="E491" s="2">
        <v>20999.0</v>
      </c>
      <c r="F491" s="3">
        <f t="shared" si="3"/>
        <v>0.2619172342</v>
      </c>
      <c r="G491" s="4">
        <f>IFERROR(__xludf.DUMMYFUNCTION("GOOGLEFINANCE(""CURRENCY:INRBRL"")*D491"),926.8017085434799)</f>
        <v>926.8017085</v>
      </c>
      <c r="H491" s="1">
        <v>4.5</v>
      </c>
      <c r="I491" s="1">
        <v>19253.0</v>
      </c>
      <c r="J491" s="1" t="s">
        <v>1711</v>
      </c>
      <c r="K491" s="5" t="s">
        <v>1899</v>
      </c>
    </row>
    <row r="492">
      <c r="A492" s="1" t="s">
        <v>1900</v>
      </c>
      <c r="B492" s="1" t="s">
        <v>1901</v>
      </c>
      <c r="C492" s="1" t="s">
        <v>1366</v>
      </c>
      <c r="D492" s="2">
        <v>13999.0</v>
      </c>
      <c r="E492" s="2">
        <v>15999.0</v>
      </c>
      <c r="F492" s="3">
        <f t="shared" si="3"/>
        <v>0.125007813</v>
      </c>
      <c r="G492" s="4">
        <f>IFERROR(__xludf.DUMMYFUNCTION("GOOGLEFINANCE(""CURRENCY:INRBRL"")*D492"),837.1054337634799)</f>
        <v>837.1054338</v>
      </c>
      <c r="H492" s="1">
        <v>4.5</v>
      </c>
      <c r="I492" s="1">
        <v>218.0</v>
      </c>
      <c r="J492" s="1" t="s">
        <v>1902</v>
      </c>
      <c r="K492" s="5" t="s">
        <v>1903</v>
      </c>
    </row>
    <row r="493">
      <c r="A493" s="1" t="s">
        <v>1904</v>
      </c>
      <c r="B493" s="1" t="s">
        <v>1905</v>
      </c>
      <c r="C493" s="1" t="s">
        <v>1348</v>
      </c>
      <c r="D493" s="2">
        <v>1999.0</v>
      </c>
      <c r="E493" s="2">
        <v>4999.0</v>
      </c>
      <c r="F493" s="3">
        <f>((D493-E493)/E493)*-1</f>
        <v>0.600120024</v>
      </c>
      <c r="G493" s="4">
        <f>IFERROR(__xludf.DUMMYFUNCTION("GOOGLEFINANCE(""CURRENCY:INRBRL"")*D493"),119.53523552348)</f>
        <v>119.5352355</v>
      </c>
      <c r="H493" s="1">
        <v>4.5</v>
      </c>
      <c r="I493" s="1">
        <v>7571.0</v>
      </c>
      <c r="J493" s="1" t="s">
        <v>1906</v>
      </c>
      <c r="K493" s="5" t="s">
        <v>1907</v>
      </c>
    </row>
    <row r="494">
      <c r="A494" s="1" t="s">
        <v>1908</v>
      </c>
      <c r="B494" s="1" t="s">
        <v>1909</v>
      </c>
      <c r="C494" s="1" t="s">
        <v>1348</v>
      </c>
      <c r="D494" s="2">
        <v>1399.0</v>
      </c>
      <c r="E494" s="2">
        <v>5999.0</v>
      </c>
      <c r="F494" s="3">
        <f t="shared" ref="F494:F650" si="4">((D494-E494)/-E494)</f>
        <v>0.7667944657</v>
      </c>
      <c r="G494" s="4">
        <f>IFERROR(__xludf.DUMMYFUNCTION("GOOGLEFINANCE(""CURRENCY:INRBRL"")*D494"),83.65672561148)</f>
        <v>83.65672561</v>
      </c>
      <c r="H494" s="1">
        <v>4.5</v>
      </c>
      <c r="I494" s="1">
        <v>4415.0</v>
      </c>
      <c r="J494" s="1" t="s">
        <v>1910</v>
      </c>
      <c r="K494" s="5" t="s">
        <v>1911</v>
      </c>
    </row>
    <row r="495">
      <c r="A495" s="1" t="s">
        <v>1912</v>
      </c>
      <c r="B495" s="1" t="s">
        <v>1913</v>
      </c>
      <c r="C495" s="1" t="s">
        <v>1443</v>
      </c>
      <c r="D495" s="2">
        <v>599.0</v>
      </c>
      <c r="E495" s="2">
        <v>999.0</v>
      </c>
      <c r="F495" s="3">
        <f t="shared" si="4"/>
        <v>0.4004004004</v>
      </c>
      <c r="G495" s="4">
        <f>IFERROR(__xludf.DUMMYFUNCTION("GOOGLEFINANCE(""CURRENCY:INRBRL"")*D495"),35.81871239548)</f>
        <v>35.8187124</v>
      </c>
      <c r="H495" s="1">
        <v>4.5</v>
      </c>
      <c r="I495" s="1">
        <v>18654.0</v>
      </c>
      <c r="J495" s="1" t="s">
        <v>1914</v>
      </c>
      <c r="K495" s="5" t="s">
        <v>1915</v>
      </c>
    </row>
    <row r="496">
      <c r="A496" s="1" t="s">
        <v>1916</v>
      </c>
      <c r="B496" s="1" t="s">
        <v>1917</v>
      </c>
      <c r="C496" s="1" t="s">
        <v>1448</v>
      </c>
      <c r="D496" s="2">
        <v>199.0</v>
      </c>
      <c r="E496" s="2">
        <v>1099.0</v>
      </c>
      <c r="F496" s="3">
        <f t="shared" si="4"/>
        <v>0.8189262966</v>
      </c>
      <c r="G496" s="4">
        <f>IFERROR(__xludf.DUMMYFUNCTION("GOOGLEFINANCE(""CURRENCY:INRBRL"")*D496"),11.899705787479999)</f>
        <v>11.89970579</v>
      </c>
      <c r="H496" s="1">
        <v>4.5</v>
      </c>
      <c r="I496" s="1">
        <v>3197.0</v>
      </c>
      <c r="J496" s="1" t="s">
        <v>1918</v>
      </c>
      <c r="K496" s="5" t="s">
        <v>1919</v>
      </c>
    </row>
    <row r="497">
      <c r="A497" s="1" t="s">
        <v>1920</v>
      </c>
      <c r="B497" s="1" t="s">
        <v>1921</v>
      </c>
      <c r="C497" s="1" t="s">
        <v>1348</v>
      </c>
      <c r="D497" s="2">
        <v>1799.0</v>
      </c>
      <c r="E497" s="2">
        <v>6990.0</v>
      </c>
      <c r="F497" s="3">
        <f t="shared" si="4"/>
        <v>0.7426323319</v>
      </c>
      <c r="G497" s="4">
        <f>IFERROR(__xludf.DUMMYFUNCTION("GOOGLEFINANCE(""CURRENCY:INRBRL"")*D497"),107.57573221947999)</f>
        <v>107.5757322</v>
      </c>
      <c r="H497" s="1">
        <v>4.5</v>
      </c>
      <c r="I497" s="1">
        <v>2688.0</v>
      </c>
      <c r="J497" s="1" t="s">
        <v>1922</v>
      </c>
      <c r="K497" s="5" t="s">
        <v>1923</v>
      </c>
    </row>
    <row r="498">
      <c r="A498" s="1" t="s">
        <v>1924</v>
      </c>
      <c r="B498" s="1" t="s">
        <v>1925</v>
      </c>
      <c r="C498" s="1" t="s">
        <v>1348</v>
      </c>
      <c r="D498" s="2">
        <v>1499.0</v>
      </c>
      <c r="E498" s="2">
        <v>6990.0</v>
      </c>
      <c r="F498" s="3">
        <f t="shared" si="4"/>
        <v>0.7855507868</v>
      </c>
      <c r="G498" s="4">
        <f>IFERROR(__xludf.DUMMYFUNCTION("GOOGLEFINANCE(""CURRENCY:INRBRL"")*D498"),89.63647726347999)</f>
        <v>89.63647726</v>
      </c>
      <c r="H498" s="1">
        <v>4.5</v>
      </c>
      <c r="I498" s="1">
        <v>21796.0</v>
      </c>
      <c r="J498" s="1" t="s">
        <v>1399</v>
      </c>
      <c r="K498" s="5" t="s">
        <v>1926</v>
      </c>
    </row>
    <row r="499">
      <c r="A499" s="1" t="s">
        <v>1927</v>
      </c>
      <c r="B499" s="1" t="s">
        <v>1928</v>
      </c>
      <c r="C499" s="1" t="s">
        <v>1366</v>
      </c>
      <c r="D499" s="2">
        <v>20999.0</v>
      </c>
      <c r="E499" s="2">
        <v>29990.0</v>
      </c>
      <c r="F499" s="3">
        <f t="shared" si="4"/>
        <v>0.2997999333</v>
      </c>
      <c r="G499" s="4">
        <f>IFERROR(__xludf.DUMMYFUNCTION("GOOGLEFINANCE(""CURRENCY:INRBRL"")*D499"),1255.68804940348)</f>
        <v>1255.688049</v>
      </c>
      <c r="H499" s="1">
        <v>4.5</v>
      </c>
      <c r="I499" s="1">
        <v>9499.0</v>
      </c>
      <c r="J499" s="1" t="s">
        <v>1769</v>
      </c>
      <c r="K499" s="5" t="s">
        <v>1929</v>
      </c>
    </row>
    <row r="500">
      <c r="A500" s="1" t="s">
        <v>1930</v>
      </c>
      <c r="B500" s="1" t="s">
        <v>1931</v>
      </c>
      <c r="C500" s="1" t="s">
        <v>1366</v>
      </c>
      <c r="D500" s="2">
        <v>12999.0</v>
      </c>
      <c r="E500" s="2">
        <v>13499.0</v>
      </c>
      <c r="F500" s="3">
        <f t="shared" si="4"/>
        <v>0.03703978072</v>
      </c>
      <c r="G500" s="4">
        <f>IFERROR(__xludf.DUMMYFUNCTION("GOOGLEFINANCE(""CURRENCY:INRBRL"")*D500"),777.30791724348)</f>
        <v>777.3079172</v>
      </c>
      <c r="H500" s="1">
        <v>4.5</v>
      </c>
      <c r="I500" s="1">
        <v>56098.0</v>
      </c>
      <c r="J500" s="1" t="s">
        <v>1932</v>
      </c>
      <c r="K500" s="5" t="s">
        <v>1933</v>
      </c>
    </row>
    <row r="501">
      <c r="A501" s="1" t="s">
        <v>1934</v>
      </c>
      <c r="B501" s="1" t="s">
        <v>1935</v>
      </c>
      <c r="C501" s="1" t="s">
        <v>1366</v>
      </c>
      <c r="D501" s="2">
        <v>16999.0</v>
      </c>
      <c r="E501" s="2">
        <v>20999.0</v>
      </c>
      <c r="F501" s="3">
        <f t="shared" si="4"/>
        <v>0.1904852612</v>
      </c>
      <c r="G501" s="4">
        <f>IFERROR(__xludf.DUMMYFUNCTION("GOOGLEFINANCE(""CURRENCY:INRBRL"")*D501"),1016.49798332348)</f>
        <v>1016.497983</v>
      </c>
      <c r="H501" s="1">
        <v>4.5</v>
      </c>
      <c r="I501" s="1">
        <v>31822.0</v>
      </c>
      <c r="J501" s="1" t="s">
        <v>1936</v>
      </c>
      <c r="K501" s="5" t="s">
        <v>1937</v>
      </c>
    </row>
    <row r="502">
      <c r="A502" s="1" t="s">
        <v>1938</v>
      </c>
      <c r="B502" s="1" t="s">
        <v>1939</v>
      </c>
      <c r="C502" s="1" t="s">
        <v>1366</v>
      </c>
      <c r="D502" s="2">
        <v>19999.0</v>
      </c>
      <c r="E502" s="2">
        <v>27990.0</v>
      </c>
      <c r="F502" s="3">
        <f t="shared" si="4"/>
        <v>0.2854948196</v>
      </c>
      <c r="G502" s="4">
        <f>IFERROR(__xludf.DUMMYFUNCTION("GOOGLEFINANCE(""CURRENCY:INRBRL"")*D502"),1195.8905328834799)</f>
        <v>1195.890533</v>
      </c>
      <c r="H502" s="1">
        <v>4.5</v>
      </c>
      <c r="I502" s="1">
        <v>9499.0</v>
      </c>
      <c r="J502" s="1" t="s">
        <v>1940</v>
      </c>
      <c r="K502" s="5" t="s">
        <v>1941</v>
      </c>
    </row>
    <row r="503">
      <c r="A503" s="1" t="s">
        <v>1942</v>
      </c>
      <c r="B503" s="1" t="s">
        <v>1943</v>
      </c>
      <c r="C503" s="1" t="s">
        <v>1366</v>
      </c>
      <c r="D503" s="2">
        <v>12999.0</v>
      </c>
      <c r="E503" s="2">
        <v>18999.0</v>
      </c>
      <c r="F503" s="3">
        <f t="shared" si="4"/>
        <v>0.3158060951</v>
      </c>
      <c r="G503" s="4">
        <f>IFERROR(__xludf.DUMMYFUNCTION("GOOGLEFINANCE(""CURRENCY:INRBRL"")*D503"),777.30791724348)</f>
        <v>777.3079172</v>
      </c>
      <c r="H503" s="1">
        <v>4.5</v>
      </c>
      <c r="I503" s="1">
        <v>50772.0</v>
      </c>
      <c r="J503" s="1" t="s">
        <v>1944</v>
      </c>
      <c r="K503" s="5" t="s">
        <v>1945</v>
      </c>
    </row>
    <row r="504">
      <c r="A504" s="1" t="s">
        <v>1946</v>
      </c>
      <c r="B504" s="1" t="s">
        <v>1947</v>
      </c>
      <c r="C504" s="1" t="s">
        <v>1348</v>
      </c>
      <c r="D504" s="2">
        <v>2999.0</v>
      </c>
      <c r="E504" s="2">
        <v>5999.0</v>
      </c>
      <c r="F504" s="3">
        <f t="shared" si="4"/>
        <v>0.5000833472</v>
      </c>
      <c r="G504" s="4">
        <f>IFERROR(__xludf.DUMMYFUNCTION("GOOGLEFINANCE(""CURRENCY:INRBRL"")*D504"),179.33275204347999)</f>
        <v>179.332752</v>
      </c>
      <c r="H504" s="1">
        <v>4.5</v>
      </c>
      <c r="I504" s="1">
        <v>7148.0</v>
      </c>
      <c r="J504" s="1" t="s">
        <v>1948</v>
      </c>
      <c r="K504" s="5" t="s">
        <v>1949</v>
      </c>
    </row>
    <row r="505">
      <c r="A505" s="1" t="s">
        <v>130</v>
      </c>
      <c r="B505" s="1" t="s">
        <v>131</v>
      </c>
      <c r="C505" s="1" t="s">
        <v>13</v>
      </c>
      <c r="D505" s="2">
        <v>299.0</v>
      </c>
      <c r="E505" s="2">
        <v>999.0</v>
      </c>
      <c r="F505" s="3">
        <f t="shared" si="4"/>
        <v>0.7007007007</v>
      </c>
      <c r="G505" s="4">
        <f>IFERROR(__xludf.DUMMYFUNCTION("GOOGLEFINANCE(""CURRENCY:INRBRL"")*D505"),17.87945743948)</f>
        <v>17.87945744</v>
      </c>
      <c r="H505" s="1">
        <v>4.5</v>
      </c>
      <c r="I505" s="1">
        <v>2085.0</v>
      </c>
      <c r="J505" s="1" t="s">
        <v>132</v>
      </c>
      <c r="K505" s="5" t="s">
        <v>1950</v>
      </c>
    </row>
    <row r="506">
      <c r="A506" s="1" t="s">
        <v>126</v>
      </c>
      <c r="B506" s="1" t="s">
        <v>127</v>
      </c>
      <c r="C506" s="1" t="s">
        <v>13</v>
      </c>
      <c r="D506" s="2">
        <v>970.0</v>
      </c>
      <c r="E506" s="2">
        <v>1999.0</v>
      </c>
      <c r="F506" s="3">
        <f t="shared" si="4"/>
        <v>0.5147573787</v>
      </c>
      <c r="G506" s="4">
        <f>IFERROR(__xludf.DUMMYFUNCTION("GOOGLEFINANCE(""CURRENCY:INRBRL"")*D506"),58.003591024399995)</f>
        <v>58.00359102</v>
      </c>
      <c r="H506" s="1">
        <v>4.5</v>
      </c>
      <c r="I506" s="1">
        <v>184.0</v>
      </c>
      <c r="J506" s="1" t="s">
        <v>128</v>
      </c>
      <c r="K506" s="5" t="s">
        <v>1951</v>
      </c>
    </row>
    <row r="507">
      <c r="A507" s="1" t="s">
        <v>1952</v>
      </c>
      <c r="B507" s="1" t="s">
        <v>1953</v>
      </c>
      <c r="C507" s="1" t="s">
        <v>1448</v>
      </c>
      <c r="D507" s="2">
        <v>329.0</v>
      </c>
      <c r="E507" s="2">
        <v>999.0</v>
      </c>
      <c r="F507" s="3">
        <f t="shared" si="4"/>
        <v>0.6706706707</v>
      </c>
      <c r="G507" s="4">
        <f>IFERROR(__xludf.DUMMYFUNCTION("GOOGLEFINANCE(""CURRENCY:INRBRL"")*D507"),19.67338293508)</f>
        <v>19.67338294</v>
      </c>
      <c r="H507" s="1">
        <v>4.5</v>
      </c>
      <c r="I507" s="1">
        <v>3492.0</v>
      </c>
      <c r="J507" s="1" t="s">
        <v>1954</v>
      </c>
      <c r="K507" s="5" t="s">
        <v>1955</v>
      </c>
    </row>
    <row r="508">
      <c r="A508" s="1" t="s">
        <v>1956</v>
      </c>
      <c r="B508" s="1" t="s">
        <v>1957</v>
      </c>
      <c r="C508" s="1" t="s">
        <v>1348</v>
      </c>
      <c r="D508" s="2">
        <v>1299.0</v>
      </c>
      <c r="E508" s="2">
        <v>5999.0</v>
      </c>
      <c r="F508" s="3">
        <f t="shared" si="4"/>
        <v>0.7834639107</v>
      </c>
      <c r="G508" s="4">
        <f>IFERROR(__xludf.DUMMYFUNCTION("GOOGLEFINANCE(""CURRENCY:INRBRL"")*D508"),77.67697395948)</f>
        <v>77.67697396</v>
      </c>
      <c r="H508" s="1">
        <v>4.5</v>
      </c>
      <c r="I508" s="1">
        <v>4415.0</v>
      </c>
      <c r="J508" s="1" t="s">
        <v>1958</v>
      </c>
      <c r="K508" s="5" t="s">
        <v>1959</v>
      </c>
    </row>
    <row r="509">
      <c r="A509" s="1" t="s">
        <v>1960</v>
      </c>
      <c r="B509" s="1" t="s">
        <v>1961</v>
      </c>
      <c r="C509" s="1" t="s">
        <v>1385</v>
      </c>
      <c r="D509" s="2">
        <v>1989.0</v>
      </c>
      <c r="E509" s="2">
        <v>3499.0</v>
      </c>
      <c r="F509" s="3">
        <f t="shared" si="4"/>
        <v>0.431551872</v>
      </c>
      <c r="G509" s="4">
        <f>IFERROR(__xludf.DUMMYFUNCTION("GOOGLEFINANCE(""CURRENCY:INRBRL"")*D509"),118.93726035828)</f>
        <v>118.9372604</v>
      </c>
      <c r="H509" s="1">
        <v>4.5</v>
      </c>
      <c r="I509" s="1">
        <v>6726.0</v>
      </c>
      <c r="J509" s="1" t="s">
        <v>1962</v>
      </c>
      <c r="K509" s="5" t="s">
        <v>1963</v>
      </c>
    </row>
    <row r="510">
      <c r="A510" s="1" t="s">
        <v>1964</v>
      </c>
      <c r="B510" s="1" t="s">
        <v>1352</v>
      </c>
      <c r="C510" s="1" t="s">
        <v>1348</v>
      </c>
      <c r="D510" s="2">
        <v>1999.0</v>
      </c>
      <c r="E510" s="2">
        <v>9999.0</v>
      </c>
      <c r="F510" s="3">
        <f t="shared" si="4"/>
        <v>0.800080008</v>
      </c>
      <c r="G510" s="4">
        <f>IFERROR(__xludf.DUMMYFUNCTION("GOOGLEFINANCE(""CURRENCY:INRBRL"")*D510"),119.53523552348)</f>
        <v>119.5352355</v>
      </c>
      <c r="H510" s="1">
        <v>4.5</v>
      </c>
      <c r="I510" s="1">
        <v>27704.0</v>
      </c>
      <c r="J510" s="1" t="s">
        <v>1542</v>
      </c>
      <c r="K510" s="5" t="s">
        <v>1965</v>
      </c>
    </row>
    <row r="511">
      <c r="A511" s="1" t="s">
        <v>1966</v>
      </c>
      <c r="B511" s="1" t="s">
        <v>1967</v>
      </c>
      <c r="C511" s="1" t="s">
        <v>1366</v>
      </c>
      <c r="D511" s="2">
        <v>12999.0</v>
      </c>
      <c r="E511" s="2">
        <v>18999.0</v>
      </c>
      <c r="F511" s="3">
        <f t="shared" si="4"/>
        <v>0.3158060951</v>
      </c>
      <c r="G511" s="4">
        <f>IFERROR(__xludf.DUMMYFUNCTION("GOOGLEFINANCE(""CURRENCY:INRBRL"")*D511"),777.30791724348)</f>
        <v>777.3079172</v>
      </c>
      <c r="H511" s="1">
        <v>4.5</v>
      </c>
      <c r="I511" s="1">
        <v>50772.0</v>
      </c>
      <c r="J511" s="1" t="s">
        <v>1944</v>
      </c>
      <c r="K511" s="5" t="s">
        <v>1968</v>
      </c>
    </row>
    <row r="512">
      <c r="A512" s="1" t="s">
        <v>1969</v>
      </c>
      <c r="B512" s="1" t="s">
        <v>1970</v>
      </c>
      <c r="C512" s="1" t="s">
        <v>1348</v>
      </c>
      <c r="D512" s="2">
        <v>1499.0</v>
      </c>
      <c r="E512" s="2">
        <v>4999.0</v>
      </c>
      <c r="F512" s="3">
        <f t="shared" si="4"/>
        <v>0.700140028</v>
      </c>
      <c r="G512" s="4">
        <f>IFERROR(__xludf.DUMMYFUNCTION("GOOGLEFINANCE(""CURRENCY:INRBRL"")*D512"),89.63647726347999)</f>
        <v>89.63647726</v>
      </c>
      <c r="H512" s="1">
        <v>4.5</v>
      </c>
      <c r="I512" s="1">
        <v>92588.0</v>
      </c>
      <c r="J512" s="1" t="s">
        <v>1971</v>
      </c>
      <c r="K512" s="5" t="s">
        <v>1972</v>
      </c>
    </row>
    <row r="513">
      <c r="A513" s="1" t="s">
        <v>1973</v>
      </c>
      <c r="B513" s="1" t="s">
        <v>1974</v>
      </c>
      <c r="C513" s="1" t="s">
        <v>1366</v>
      </c>
      <c r="D513" s="2">
        <v>16999.0</v>
      </c>
      <c r="E513" s="2">
        <v>20999.0</v>
      </c>
      <c r="F513" s="3">
        <f t="shared" si="4"/>
        <v>0.1904852612</v>
      </c>
      <c r="G513" s="4">
        <f>IFERROR(__xludf.DUMMYFUNCTION("GOOGLEFINANCE(""CURRENCY:INRBRL"")*D513"),1016.49798332348)</f>
        <v>1016.497983</v>
      </c>
      <c r="H513" s="1">
        <v>4.5</v>
      </c>
      <c r="I513" s="1">
        <v>31822.0</v>
      </c>
      <c r="J513" s="1" t="s">
        <v>1975</v>
      </c>
      <c r="K513" s="5" t="s">
        <v>1976</v>
      </c>
    </row>
    <row r="514">
      <c r="A514" s="1" t="s">
        <v>1977</v>
      </c>
      <c r="B514" s="1" t="s">
        <v>1978</v>
      </c>
      <c r="C514" s="1" t="s">
        <v>1348</v>
      </c>
      <c r="D514" s="2">
        <v>1999.0</v>
      </c>
      <c r="E514" s="2">
        <v>8499.0</v>
      </c>
      <c r="F514" s="3">
        <f t="shared" si="4"/>
        <v>0.7647958583</v>
      </c>
      <c r="G514" s="4">
        <f>IFERROR(__xludf.DUMMYFUNCTION("GOOGLEFINANCE(""CURRENCY:INRBRL"")*D514"),119.53523552348)</f>
        <v>119.5352355</v>
      </c>
      <c r="H514" s="1">
        <v>4.5</v>
      </c>
      <c r="I514" s="1">
        <v>240.0</v>
      </c>
      <c r="J514" s="1" t="s">
        <v>1979</v>
      </c>
      <c r="K514" s="5" t="s">
        <v>1980</v>
      </c>
    </row>
    <row r="515">
      <c r="A515" s="1" t="s">
        <v>1981</v>
      </c>
      <c r="B515" s="1" t="s">
        <v>1982</v>
      </c>
      <c r="C515" s="1" t="s">
        <v>1348</v>
      </c>
      <c r="D515" s="2">
        <v>4999.0</v>
      </c>
      <c r="E515" s="2">
        <v>6999.0</v>
      </c>
      <c r="F515" s="3">
        <f t="shared" si="4"/>
        <v>0.2857551079</v>
      </c>
      <c r="G515" s="4">
        <f>IFERROR(__xludf.DUMMYFUNCTION("GOOGLEFINANCE(""CURRENCY:INRBRL"")*D515"),298.92778508348)</f>
        <v>298.9277851</v>
      </c>
      <c r="H515" s="1">
        <v>4.5</v>
      </c>
      <c r="I515" s="1">
        <v>758.0</v>
      </c>
      <c r="J515" s="1" t="s">
        <v>1983</v>
      </c>
      <c r="K515" s="5" t="s">
        <v>1984</v>
      </c>
    </row>
    <row r="516">
      <c r="A516" s="1" t="s">
        <v>154</v>
      </c>
      <c r="B516" s="1" t="s">
        <v>155</v>
      </c>
      <c r="C516" s="1" t="s">
        <v>13</v>
      </c>
      <c r="D516" s="2">
        <v>99.0</v>
      </c>
      <c r="E516" s="2">
        <v>666.66</v>
      </c>
      <c r="F516" s="3">
        <f t="shared" si="4"/>
        <v>0.851498515</v>
      </c>
      <c r="G516" s="4">
        <f>IFERROR(__xludf.DUMMYFUNCTION("GOOGLEFINANCE(""CURRENCY:INRBRL"")*D516"),5.919954135479999)</f>
        <v>5.919954135</v>
      </c>
      <c r="H516" s="1">
        <v>4.5</v>
      </c>
      <c r="I516" s="1">
        <v>2487.0</v>
      </c>
      <c r="J516" s="1" t="s">
        <v>156</v>
      </c>
      <c r="K516" s="5" t="s">
        <v>1985</v>
      </c>
    </row>
    <row r="517">
      <c r="A517" s="1" t="s">
        <v>1986</v>
      </c>
      <c r="B517" s="1" t="s">
        <v>1987</v>
      </c>
      <c r="C517" s="1" t="s">
        <v>1348</v>
      </c>
      <c r="D517" s="2">
        <v>2499.0</v>
      </c>
      <c r="E517" s="2">
        <v>5999.0</v>
      </c>
      <c r="F517" s="3">
        <f t="shared" si="4"/>
        <v>0.5834305718</v>
      </c>
      <c r="G517" s="4">
        <f>IFERROR(__xludf.DUMMYFUNCTION("GOOGLEFINANCE(""CURRENCY:INRBRL"")*D517"),149.43399378348)</f>
        <v>149.4339938</v>
      </c>
      <c r="H517" s="1">
        <v>4.5</v>
      </c>
      <c r="I517" s="1">
        <v>828.0</v>
      </c>
      <c r="J517" s="1" t="s">
        <v>1988</v>
      </c>
      <c r="K517" s="5" t="s">
        <v>1989</v>
      </c>
    </row>
    <row r="518">
      <c r="A518" s="1" t="s">
        <v>1990</v>
      </c>
      <c r="B518" s="1" t="s">
        <v>1991</v>
      </c>
      <c r="C518" s="1" t="s">
        <v>1394</v>
      </c>
      <c r="D518" s="2">
        <v>1399.0</v>
      </c>
      <c r="E518" s="2">
        <v>1630.0</v>
      </c>
      <c r="F518" s="3">
        <f t="shared" si="4"/>
        <v>0.1417177914</v>
      </c>
      <c r="G518" s="4">
        <f>IFERROR(__xludf.DUMMYFUNCTION("GOOGLEFINANCE(""CURRENCY:INRBRL"")*D518"),83.65672561148)</f>
        <v>83.65672561</v>
      </c>
      <c r="H518" s="1">
        <v>4.5</v>
      </c>
      <c r="I518" s="1">
        <v>9378.0</v>
      </c>
      <c r="J518" s="1" t="s">
        <v>1992</v>
      </c>
      <c r="K518" s="5" t="s">
        <v>1993</v>
      </c>
    </row>
    <row r="519">
      <c r="A519" s="1" t="s">
        <v>1994</v>
      </c>
      <c r="B519" s="1" t="s">
        <v>1995</v>
      </c>
      <c r="C519" s="1" t="s">
        <v>1348</v>
      </c>
      <c r="D519" s="2">
        <v>1499.0</v>
      </c>
      <c r="E519" s="2">
        <v>9999.0</v>
      </c>
      <c r="F519" s="3">
        <f t="shared" si="4"/>
        <v>0.8500850085</v>
      </c>
      <c r="G519" s="4">
        <f>IFERROR(__xludf.DUMMYFUNCTION("GOOGLEFINANCE(""CURRENCY:INRBRL"")*D519"),89.63647726347999)</f>
        <v>89.63647726</v>
      </c>
      <c r="H519" s="1">
        <v>4.5</v>
      </c>
      <c r="I519" s="1">
        <v>22638.0</v>
      </c>
      <c r="J519" s="1" t="s">
        <v>1996</v>
      </c>
      <c r="K519" s="5" t="s">
        <v>1997</v>
      </c>
    </row>
    <row r="520">
      <c r="A520" s="1" t="s">
        <v>158</v>
      </c>
      <c r="B520" s="1" t="s">
        <v>159</v>
      </c>
      <c r="C520" s="1" t="s">
        <v>13</v>
      </c>
      <c r="D520" s="2">
        <v>899.0</v>
      </c>
      <c r="E520" s="2">
        <v>1899.0</v>
      </c>
      <c r="F520" s="3">
        <f t="shared" si="4"/>
        <v>0.5265929437</v>
      </c>
      <c r="G520" s="4">
        <f>IFERROR(__xludf.DUMMYFUNCTION("GOOGLEFINANCE(""CURRENCY:INRBRL"")*D520"),53.75796735148)</f>
        <v>53.75796735</v>
      </c>
      <c r="H520" s="1">
        <v>4.5</v>
      </c>
      <c r="I520" s="1">
        <v>13552.0</v>
      </c>
      <c r="J520" s="1" t="s">
        <v>160</v>
      </c>
      <c r="K520" s="5" t="s">
        <v>1998</v>
      </c>
    </row>
    <row r="521">
      <c r="A521" s="1" t="s">
        <v>1999</v>
      </c>
      <c r="B521" s="1" t="s">
        <v>2000</v>
      </c>
      <c r="C521" s="1" t="s">
        <v>1448</v>
      </c>
      <c r="D521" s="2">
        <v>249.0</v>
      </c>
      <c r="E521" s="2">
        <v>599.0</v>
      </c>
      <c r="F521" s="3">
        <f t="shared" si="4"/>
        <v>0.5843071786</v>
      </c>
      <c r="G521" s="4">
        <f>IFERROR(__xludf.DUMMYFUNCTION("GOOGLEFINANCE(""CURRENCY:INRBRL"")*D521"),14.889581613479999)</f>
        <v>14.88958161</v>
      </c>
      <c r="H521" s="1">
        <v>4.5</v>
      </c>
      <c r="I521" s="1">
        <v>2147.0</v>
      </c>
      <c r="J521" s="1" t="s">
        <v>2001</v>
      </c>
      <c r="K521" s="5" t="s">
        <v>2002</v>
      </c>
    </row>
    <row r="522">
      <c r="A522" s="1" t="s">
        <v>2003</v>
      </c>
      <c r="B522" s="1" t="s">
        <v>2004</v>
      </c>
      <c r="C522" s="1" t="s">
        <v>1757</v>
      </c>
      <c r="D522" s="2">
        <v>299.0</v>
      </c>
      <c r="E522" s="2">
        <v>1199.0</v>
      </c>
      <c r="F522" s="3">
        <f t="shared" si="4"/>
        <v>0.7506255213</v>
      </c>
      <c r="G522" s="4">
        <f>IFERROR(__xludf.DUMMYFUNCTION("GOOGLEFINANCE(""CURRENCY:INRBRL"")*D522"),17.87945743948)</f>
        <v>17.87945744</v>
      </c>
      <c r="H522" s="1">
        <v>4.5</v>
      </c>
      <c r="I522" s="1">
        <v>596.0</v>
      </c>
      <c r="J522" s="1" t="s">
        <v>2005</v>
      </c>
      <c r="K522" s="5" t="s">
        <v>2006</v>
      </c>
    </row>
    <row r="523">
      <c r="A523" s="1" t="s">
        <v>2007</v>
      </c>
      <c r="B523" s="1" t="s">
        <v>2008</v>
      </c>
      <c r="C523" s="1" t="s">
        <v>1681</v>
      </c>
      <c r="D523" s="2">
        <v>79.0</v>
      </c>
      <c r="E523" s="2">
        <v>499.0</v>
      </c>
      <c r="F523" s="3">
        <f t="shared" si="4"/>
        <v>0.8416833667</v>
      </c>
      <c r="G523" s="4">
        <f>IFERROR(__xludf.DUMMYFUNCTION("GOOGLEFINANCE(""CURRENCY:INRBRL"")*D523"),4.72400380508)</f>
        <v>4.724003805</v>
      </c>
      <c r="H523" s="1">
        <v>4.5</v>
      </c>
      <c r="I523" s="1">
        <v>1949.0</v>
      </c>
      <c r="J523" s="1" t="s">
        <v>2009</v>
      </c>
      <c r="K523" s="5" t="s">
        <v>2010</v>
      </c>
    </row>
    <row r="524">
      <c r="A524" s="1" t="s">
        <v>2011</v>
      </c>
      <c r="B524" s="1" t="s">
        <v>2012</v>
      </c>
      <c r="C524" s="1" t="s">
        <v>1366</v>
      </c>
      <c r="D524" s="2">
        <v>13999.0</v>
      </c>
      <c r="E524" s="2">
        <v>15999.0</v>
      </c>
      <c r="F524" s="3">
        <f t="shared" si="4"/>
        <v>0.125007813</v>
      </c>
      <c r="G524" s="4">
        <f>IFERROR(__xludf.DUMMYFUNCTION("GOOGLEFINANCE(""CURRENCY:INRBRL"")*D524"),837.1054337634799)</f>
        <v>837.1054338</v>
      </c>
      <c r="H524" s="1">
        <v>4.5</v>
      </c>
      <c r="I524" s="1">
        <v>218.0</v>
      </c>
      <c r="J524" s="1" t="s">
        <v>1902</v>
      </c>
      <c r="K524" s="5" t="s">
        <v>2013</v>
      </c>
    </row>
    <row r="525">
      <c r="A525" s="1" t="s">
        <v>2014</v>
      </c>
      <c r="B525" s="1" t="s">
        <v>2015</v>
      </c>
      <c r="C525" s="1" t="s">
        <v>1403</v>
      </c>
      <c r="D525" s="2">
        <v>949.0</v>
      </c>
      <c r="E525" s="2">
        <v>999.0</v>
      </c>
      <c r="F525" s="3">
        <f t="shared" si="4"/>
        <v>0.05005005005</v>
      </c>
      <c r="G525" s="4">
        <f>IFERROR(__xludf.DUMMYFUNCTION("GOOGLEFINANCE(""CURRENCY:INRBRL"")*D525"),56.74784317748)</f>
        <v>56.74784318</v>
      </c>
      <c r="H525" s="1">
        <v>4.5</v>
      </c>
      <c r="I525" s="1">
        <v>31539.0</v>
      </c>
      <c r="J525" s="1" t="s">
        <v>2016</v>
      </c>
      <c r="K525" s="5" t="s">
        <v>2017</v>
      </c>
    </row>
    <row r="526">
      <c r="A526" s="1" t="s">
        <v>2018</v>
      </c>
      <c r="B526" s="1" t="s">
        <v>2019</v>
      </c>
      <c r="C526" s="1" t="s">
        <v>1609</v>
      </c>
      <c r="D526" s="2">
        <v>99.0</v>
      </c>
      <c r="E526" s="2">
        <v>499.0</v>
      </c>
      <c r="F526" s="3">
        <f t="shared" si="4"/>
        <v>0.8016032064</v>
      </c>
      <c r="G526" s="4">
        <f>IFERROR(__xludf.DUMMYFUNCTION("GOOGLEFINANCE(""CURRENCY:INRBRL"")*D526"),5.919954135479999)</f>
        <v>5.919954135</v>
      </c>
      <c r="H526" s="1">
        <v>4.5</v>
      </c>
      <c r="I526" s="1">
        <v>2451.0</v>
      </c>
      <c r="J526" s="1" t="s">
        <v>2020</v>
      </c>
      <c r="K526" s="5" t="s">
        <v>2021</v>
      </c>
    </row>
    <row r="527">
      <c r="A527" s="1" t="s">
        <v>2022</v>
      </c>
      <c r="B527" s="1" t="s">
        <v>2023</v>
      </c>
      <c r="C527" s="1" t="s">
        <v>1348</v>
      </c>
      <c r="D527" s="2">
        <v>2499.0</v>
      </c>
      <c r="E527" s="2">
        <v>7990.0</v>
      </c>
      <c r="F527" s="3">
        <f t="shared" si="4"/>
        <v>0.6872340426</v>
      </c>
      <c r="G527" s="4">
        <f>IFERROR(__xludf.DUMMYFUNCTION("GOOGLEFINANCE(""CURRENCY:INRBRL"")*D527"),149.43399378348)</f>
        <v>149.4339938</v>
      </c>
      <c r="H527" s="1">
        <v>4.5</v>
      </c>
      <c r="I527" s="1">
        <v>154.0</v>
      </c>
      <c r="J527" s="1" t="s">
        <v>2024</v>
      </c>
      <c r="K527" s="5" t="s">
        <v>2025</v>
      </c>
    </row>
    <row r="528">
      <c r="A528" s="1" t="s">
        <v>2026</v>
      </c>
      <c r="B528" s="1" t="s">
        <v>2027</v>
      </c>
      <c r="C528" s="1" t="s">
        <v>2028</v>
      </c>
      <c r="D528" s="2">
        <v>689.0</v>
      </c>
      <c r="E528" s="2">
        <v>1999.0</v>
      </c>
      <c r="F528" s="3">
        <f t="shared" si="4"/>
        <v>0.6553276638</v>
      </c>
      <c r="G528" s="4">
        <f>IFERROR(__xludf.DUMMYFUNCTION("GOOGLEFINANCE(""CURRENCY:INRBRL"")*D528"),41.20048888228)</f>
        <v>41.20048888</v>
      </c>
      <c r="H528" s="1">
        <v>4.5</v>
      </c>
      <c r="I528" s="1">
        <v>1193.0</v>
      </c>
      <c r="J528" s="1" t="s">
        <v>2029</v>
      </c>
      <c r="K528" s="5" t="s">
        <v>2030</v>
      </c>
    </row>
    <row r="529">
      <c r="A529" s="1" t="s">
        <v>2031</v>
      </c>
      <c r="B529" s="1" t="s">
        <v>2032</v>
      </c>
      <c r="C529" s="1" t="s">
        <v>1835</v>
      </c>
      <c r="D529" s="2">
        <v>499.0</v>
      </c>
      <c r="E529" s="2">
        <v>1899.0</v>
      </c>
      <c r="F529" s="3">
        <f t="shared" si="4"/>
        <v>0.7372301211</v>
      </c>
      <c r="G529" s="4">
        <f>IFERROR(__xludf.DUMMYFUNCTION("GOOGLEFINANCE(""CURRENCY:INRBRL"")*D529"),29.838960743479998)</f>
        <v>29.83896074</v>
      </c>
      <c r="H529" s="1">
        <v>4.5</v>
      </c>
      <c r="I529" s="1">
        <v>1475.0</v>
      </c>
      <c r="J529" s="1" t="s">
        <v>2033</v>
      </c>
      <c r="K529" s="5" t="s">
        <v>2034</v>
      </c>
    </row>
    <row r="530">
      <c r="A530" s="1" t="s">
        <v>2035</v>
      </c>
      <c r="B530" s="1" t="s">
        <v>2036</v>
      </c>
      <c r="C530" s="1" t="s">
        <v>1757</v>
      </c>
      <c r="D530" s="2">
        <v>299.0</v>
      </c>
      <c r="E530" s="2">
        <v>999.0</v>
      </c>
      <c r="F530" s="3">
        <f t="shared" si="4"/>
        <v>0.7007007007</v>
      </c>
      <c r="G530" s="4">
        <f>IFERROR(__xludf.DUMMYFUNCTION("GOOGLEFINANCE(""CURRENCY:INRBRL"")*D530"),17.87945743948)</f>
        <v>17.87945744</v>
      </c>
      <c r="H530" s="1">
        <v>4.5</v>
      </c>
      <c r="I530" s="1">
        <v>8891.0</v>
      </c>
      <c r="J530" s="1" t="s">
        <v>2037</v>
      </c>
      <c r="K530" s="5" t="s">
        <v>2038</v>
      </c>
    </row>
    <row r="531">
      <c r="A531" s="1" t="s">
        <v>2039</v>
      </c>
      <c r="B531" s="1" t="s">
        <v>2040</v>
      </c>
      <c r="C531" s="1" t="s">
        <v>1609</v>
      </c>
      <c r="D531" s="2">
        <v>209.0</v>
      </c>
      <c r="E531" s="2">
        <v>499.0</v>
      </c>
      <c r="F531" s="3">
        <f t="shared" si="4"/>
        <v>0.5811623246</v>
      </c>
      <c r="G531" s="4">
        <f>IFERROR(__xludf.DUMMYFUNCTION("GOOGLEFINANCE(""CURRENCY:INRBRL"")*D531"),12.49768095268)</f>
        <v>12.49768095</v>
      </c>
      <c r="H531" s="1">
        <v>4.5</v>
      </c>
      <c r="I531" s="1">
        <v>104.0</v>
      </c>
      <c r="J531" s="1" t="s">
        <v>2041</v>
      </c>
      <c r="K531" s="5" t="s">
        <v>2042</v>
      </c>
    </row>
    <row r="532">
      <c r="A532" s="1" t="s">
        <v>2043</v>
      </c>
      <c r="B532" s="1" t="s">
        <v>2044</v>
      </c>
      <c r="C532" s="1" t="s">
        <v>1366</v>
      </c>
      <c r="D532" s="2">
        <v>8499.0</v>
      </c>
      <c r="E532" s="2">
        <v>12999.0</v>
      </c>
      <c r="F532" s="3">
        <f t="shared" si="4"/>
        <v>0.3461804754</v>
      </c>
      <c r="G532" s="4">
        <f>IFERROR(__xludf.DUMMYFUNCTION("GOOGLEFINANCE(""CURRENCY:INRBRL"")*D532"),508.21909290348)</f>
        <v>508.2190929</v>
      </c>
      <c r="H532" s="1">
        <v>4.5</v>
      </c>
      <c r="I532" s="1">
        <v>6662.0</v>
      </c>
      <c r="J532" s="1" t="s">
        <v>2045</v>
      </c>
      <c r="K532" s="5" t="s">
        <v>2046</v>
      </c>
    </row>
    <row r="533">
      <c r="A533" s="1" t="s">
        <v>2047</v>
      </c>
      <c r="B533" s="1" t="s">
        <v>2048</v>
      </c>
      <c r="C533" s="1" t="s">
        <v>1361</v>
      </c>
      <c r="D533" s="2">
        <v>2179.0</v>
      </c>
      <c r="E533" s="2">
        <v>3999.0</v>
      </c>
      <c r="F533" s="3">
        <f t="shared" si="4"/>
        <v>0.4551137784</v>
      </c>
      <c r="G533" s="4">
        <f>IFERROR(__xludf.DUMMYFUNCTION("GOOGLEFINANCE(""CURRENCY:INRBRL"")*D533"),130.29878849707998)</f>
        <v>130.2987885</v>
      </c>
      <c r="H533" s="1">
        <v>4.5</v>
      </c>
      <c r="I533" s="1">
        <v>838.0</v>
      </c>
      <c r="J533" s="1" t="s">
        <v>2049</v>
      </c>
      <c r="K533" s="5" t="s">
        <v>2050</v>
      </c>
    </row>
    <row r="534">
      <c r="A534" s="1" t="s">
        <v>2051</v>
      </c>
      <c r="B534" s="1" t="s">
        <v>2052</v>
      </c>
      <c r="C534" s="1" t="s">
        <v>1366</v>
      </c>
      <c r="D534" s="2">
        <v>16999.0</v>
      </c>
      <c r="E534" s="2">
        <v>20999.0</v>
      </c>
      <c r="F534" s="3">
        <f t="shared" si="4"/>
        <v>0.1904852612</v>
      </c>
      <c r="G534" s="4">
        <f>IFERROR(__xludf.DUMMYFUNCTION("GOOGLEFINANCE(""CURRENCY:INRBRL"")*D534"),1016.49798332348)</f>
        <v>1016.497983</v>
      </c>
      <c r="H534" s="1">
        <v>4.5</v>
      </c>
      <c r="I534" s="1">
        <v>31822.0</v>
      </c>
      <c r="J534" s="1" t="s">
        <v>2053</v>
      </c>
      <c r="K534" s="5" t="s">
        <v>2054</v>
      </c>
    </row>
    <row r="535">
      <c r="A535" s="1" t="s">
        <v>2055</v>
      </c>
      <c r="B535" s="1" t="s">
        <v>2056</v>
      </c>
      <c r="C535" s="1" t="s">
        <v>1366</v>
      </c>
      <c r="D535" s="2">
        <v>44999.0</v>
      </c>
      <c r="E535" s="2">
        <v>49999.0</v>
      </c>
      <c r="F535" s="3">
        <f t="shared" si="4"/>
        <v>0.100002</v>
      </c>
      <c r="G535" s="4">
        <f>IFERROR(__xludf.DUMMYFUNCTION("GOOGLEFINANCE(""CURRENCY:INRBRL"")*D535"),2690.8284458834796)</f>
        <v>2690.828446</v>
      </c>
      <c r="H535" s="1">
        <v>4.5</v>
      </c>
      <c r="I535" s="1">
        <v>3075.0</v>
      </c>
      <c r="J535" s="1" t="s">
        <v>2057</v>
      </c>
      <c r="K535" s="5" t="s">
        <v>2058</v>
      </c>
    </row>
    <row r="536">
      <c r="A536" s="1" t="s">
        <v>2059</v>
      </c>
      <c r="B536" s="1" t="s">
        <v>2060</v>
      </c>
      <c r="C536" s="1" t="s">
        <v>1394</v>
      </c>
      <c r="D536" s="2">
        <v>2599.0</v>
      </c>
      <c r="E536" s="2">
        <v>2999.0</v>
      </c>
      <c r="F536" s="3">
        <f t="shared" si="4"/>
        <v>0.1333777926</v>
      </c>
      <c r="G536" s="4">
        <f>IFERROR(__xludf.DUMMYFUNCTION("GOOGLEFINANCE(""CURRENCY:INRBRL"")*D536"),155.41374543548)</f>
        <v>155.4137454</v>
      </c>
      <c r="H536" s="1">
        <v>4.5</v>
      </c>
      <c r="I536" s="1">
        <v>14266.0</v>
      </c>
      <c r="J536" s="1" t="s">
        <v>2061</v>
      </c>
      <c r="K536" s="5" t="s">
        <v>2062</v>
      </c>
    </row>
    <row r="537">
      <c r="A537" s="1" t="s">
        <v>2063</v>
      </c>
      <c r="B537" s="1" t="s">
        <v>2064</v>
      </c>
      <c r="C537" s="1" t="s">
        <v>1348</v>
      </c>
      <c r="D537" s="2">
        <v>2799.0</v>
      </c>
      <c r="E537" s="2">
        <v>6499.0</v>
      </c>
      <c r="F537" s="3">
        <f t="shared" si="4"/>
        <v>0.5693183567</v>
      </c>
      <c r="G537" s="4">
        <f>IFERROR(__xludf.DUMMYFUNCTION("GOOGLEFINANCE(""CURRENCY:INRBRL"")*D537"),167.37324873947998)</f>
        <v>167.3732487</v>
      </c>
      <c r="H537" s="1">
        <v>4.5</v>
      </c>
      <c r="I537" s="1">
        <v>38879.0</v>
      </c>
      <c r="J537" s="1" t="s">
        <v>2065</v>
      </c>
      <c r="K537" s="5" t="s">
        <v>2066</v>
      </c>
    </row>
    <row r="538">
      <c r="A538" s="1" t="s">
        <v>2067</v>
      </c>
      <c r="B538" s="1" t="s">
        <v>2068</v>
      </c>
      <c r="C538" s="1" t="s">
        <v>2069</v>
      </c>
      <c r="D538" s="2">
        <v>1399.0</v>
      </c>
      <c r="E538" s="2">
        <v>2990.0</v>
      </c>
      <c r="F538" s="3">
        <f t="shared" si="4"/>
        <v>0.5321070234</v>
      </c>
      <c r="G538" s="4">
        <f>IFERROR(__xludf.DUMMYFUNCTION("GOOGLEFINANCE(""CURRENCY:INRBRL"")*D538"),83.65672561148)</f>
        <v>83.65672561</v>
      </c>
      <c r="H538" s="1">
        <v>4.5</v>
      </c>
      <c r="I538" s="1">
        <v>97175.0</v>
      </c>
      <c r="J538" s="1" t="s">
        <v>2070</v>
      </c>
      <c r="K538" s="5" t="s">
        <v>2071</v>
      </c>
    </row>
    <row r="539">
      <c r="A539" s="1" t="s">
        <v>2072</v>
      </c>
      <c r="B539" s="1" t="s">
        <v>2073</v>
      </c>
      <c r="C539" s="1" t="s">
        <v>1385</v>
      </c>
      <c r="D539" s="2">
        <v>649.0</v>
      </c>
      <c r="E539" s="2">
        <v>2399.0</v>
      </c>
      <c r="F539" s="3">
        <f t="shared" si="4"/>
        <v>0.7294706128</v>
      </c>
      <c r="G539" s="4">
        <f>IFERROR(__xludf.DUMMYFUNCTION("GOOGLEFINANCE(""CURRENCY:INRBRL"")*D539"),38.80858822148)</f>
        <v>38.80858822</v>
      </c>
      <c r="H539" s="1">
        <v>4.5</v>
      </c>
      <c r="I539" s="1">
        <v>6726.0</v>
      </c>
      <c r="J539" s="1" t="s">
        <v>2074</v>
      </c>
      <c r="K539" s="5" t="s">
        <v>2075</v>
      </c>
    </row>
    <row r="540">
      <c r="A540" s="1" t="s">
        <v>2076</v>
      </c>
      <c r="B540" s="1" t="s">
        <v>2077</v>
      </c>
      <c r="C540" s="1" t="s">
        <v>1448</v>
      </c>
      <c r="D540" s="2">
        <v>799.0</v>
      </c>
      <c r="E540" s="2">
        <v>3990.0</v>
      </c>
      <c r="F540" s="3">
        <f t="shared" si="4"/>
        <v>0.7997493734</v>
      </c>
      <c r="G540" s="4">
        <f>IFERROR(__xludf.DUMMYFUNCTION("GOOGLEFINANCE(""CURRENCY:INRBRL"")*D540"),47.77821569948)</f>
        <v>47.7782157</v>
      </c>
      <c r="H540" s="1">
        <v>4.5</v>
      </c>
      <c r="I540" s="1">
        <v>119.0</v>
      </c>
      <c r="J540" s="1" t="s">
        <v>2078</v>
      </c>
      <c r="K540" s="5" t="s">
        <v>2079</v>
      </c>
    </row>
    <row r="541">
      <c r="A541" s="1" t="s">
        <v>2080</v>
      </c>
      <c r="B541" s="1" t="s">
        <v>2081</v>
      </c>
      <c r="C541" s="1" t="s">
        <v>2082</v>
      </c>
      <c r="D541" s="2">
        <v>149.0</v>
      </c>
      <c r="E541" s="2">
        <v>149.0</v>
      </c>
      <c r="F541" s="3">
        <f t="shared" si="4"/>
        <v>0</v>
      </c>
      <c r="G541" s="4">
        <f>IFERROR(__xludf.DUMMYFUNCTION("GOOGLEFINANCE(""CURRENCY:INRBRL"")*D541"),8.90982996148)</f>
        <v>8.909829961</v>
      </c>
      <c r="H541" s="1">
        <v>4.5</v>
      </c>
      <c r="I541" s="1">
        <v>10833.0</v>
      </c>
      <c r="J541" s="1" t="s">
        <v>2083</v>
      </c>
      <c r="K541" s="5" t="s">
        <v>2084</v>
      </c>
    </row>
    <row r="542">
      <c r="A542" s="1" t="s">
        <v>223</v>
      </c>
      <c r="B542" s="1" t="s">
        <v>224</v>
      </c>
      <c r="C542" s="1" t="s">
        <v>13</v>
      </c>
      <c r="D542" s="2">
        <v>799.0</v>
      </c>
      <c r="E542" s="2">
        <v>2099.0</v>
      </c>
      <c r="F542" s="3">
        <f t="shared" si="4"/>
        <v>0.6193425441</v>
      </c>
      <c r="G542" s="4">
        <f>IFERROR(__xludf.DUMMYFUNCTION("GOOGLEFINANCE(""CURRENCY:INRBRL"")*D542"),47.77821569948)</f>
        <v>47.7782157</v>
      </c>
      <c r="H542" s="1">
        <v>4.5</v>
      </c>
      <c r="I542" s="1">
        <v>8188.0</v>
      </c>
      <c r="J542" s="1" t="s">
        <v>225</v>
      </c>
      <c r="K542" s="5" t="s">
        <v>2085</v>
      </c>
    </row>
    <row r="543">
      <c r="A543" s="1" t="s">
        <v>2086</v>
      </c>
      <c r="B543" s="1" t="s">
        <v>2087</v>
      </c>
      <c r="C543" s="1" t="s">
        <v>1394</v>
      </c>
      <c r="D543" s="2">
        <v>3799.0</v>
      </c>
      <c r="E543" s="2">
        <v>5299.0</v>
      </c>
      <c r="F543" s="3">
        <f t="shared" si="4"/>
        <v>0.2830722778</v>
      </c>
      <c r="G543" s="4">
        <f>IFERROR(__xludf.DUMMYFUNCTION("GOOGLEFINANCE(""CURRENCY:INRBRL"")*D543"),227.17076525948)</f>
        <v>227.1707653</v>
      </c>
      <c r="H543" s="1">
        <v>4.5</v>
      </c>
      <c r="I543" s="1">
        <v>1641.0</v>
      </c>
      <c r="J543" s="1" t="s">
        <v>2088</v>
      </c>
      <c r="K543" s="5" t="s">
        <v>2089</v>
      </c>
    </row>
    <row r="544">
      <c r="A544" s="1" t="s">
        <v>2090</v>
      </c>
      <c r="B544" s="1" t="s">
        <v>2091</v>
      </c>
      <c r="C544" s="1" t="s">
        <v>1849</v>
      </c>
      <c r="D544" s="2">
        <v>199.0</v>
      </c>
      <c r="E544" s="2">
        <v>1899.0</v>
      </c>
      <c r="F544" s="3">
        <f t="shared" si="4"/>
        <v>0.8952080042</v>
      </c>
      <c r="G544" s="4">
        <f>IFERROR(__xludf.DUMMYFUNCTION("GOOGLEFINANCE(""CURRENCY:INRBRL"")*D544"),11.899705787479999)</f>
        <v>11.89970579</v>
      </c>
      <c r="H544" s="1">
        <v>4.5</v>
      </c>
      <c r="I544" s="1">
        <v>474.0</v>
      </c>
      <c r="J544" s="1" t="s">
        <v>2092</v>
      </c>
      <c r="K544" s="5" t="s">
        <v>2093</v>
      </c>
    </row>
    <row r="545">
      <c r="A545" s="1" t="s">
        <v>2094</v>
      </c>
      <c r="B545" s="1" t="s">
        <v>2095</v>
      </c>
      <c r="C545" s="1" t="s">
        <v>1366</v>
      </c>
      <c r="D545" s="2">
        <v>23999.0</v>
      </c>
      <c r="E545" s="2">
        <v>32999.0</v>
      </c>
      <c r="F545" s="3">
        <f t="shared" si="4"/>
        <v>0.2727355374</v>
      </c>
      <c r="G545" s="4">
        <f>IFERROR(__xludf.DUMMYFUNCTION("GOOGLEFINANCE(""CURRENCY:INRBRL"")*D545"),1435.0805989634798)</f>
        <v>1435.080599</v>
      </c>
      <c r="H545" s="1">
        <v>4.5</v>
      </c>
      <c r="I545" s="1">
        <v>8866.0</v>
      </c>
      <c r="J545" s="1" t="s">
        <v>2096</v>
      </c>
      <c r="K545" s="5" t="s">
        <v>2097</v>
      </c>
    </row>
    <row r="546">
      <c r="A546" s="1" t="s">
        <v>2098</v>
      </c>
      <c r="B546" s="1" t="s">
        <v>2099</v>
      </c>
      <c r="C546" s="1" t="s">
        <v>1366</v>
      </c>
      <c r="D546" s="2">
        <v>29990.0</v>
      </c>
      <c r="E546" s="2">
        <v>39990.0</v>
      </c>
      <c r="F546" s="3">
        <f t="shared" si="4"/>
        <v>0.2500625156</v>
      </c>
      <c r="G546" s="4">
        <f>IFERROR(__xludf.DUMMYFUNCTION("GOOGLEFINANCE(""CURRENCY:INRBRL"")*D546"),1793.3275204348)</f>
        <v>1793.32752</v>
      </c>
      <c r="H546" s="1">
        <v>4.5</v>
      </c>
      <c r="I546" s="1">
        <v>8399.0</v>
      </c>
      <c r="J546" s="1" t="s">
        <v>2100</v>
      </c>
      <c r="K546" s="5" t="s">
        <v>2101</v>
      </c>
    </row>
    <row r="547">
      <c r="A547" s="1" t="s">
        <v>2102</v>
      </c>
      <c r="B547" s="1" t="s">
        <v>2103</v>
      </c>
      <c r="C547" s="1" t="s">
        <v>1348</v>
      </c>
      <c r="D547" s="2">
        <v>281.0</v>
      </c>
      <c r="E547" s="2">
        <v>1999.0</v>
      </c>
      <c r="F547" s="3">
        <f t="shared" si="4"/>
        <v>0.8594297149</v>
      </c>
      <c r="G547" s="4">
        <f>IFERROR(__xludf.DUMMYFUNCTION("GOOGLEFINANCE(""CURRENCY:INRBRL"")*D547"),16.80310214212)</f>
        <v>16.80310214</v>
      </c>
      <c r="H547" s="1">
        <v>4.5</v>
      </c>
      <c r="I547" s="1">
        <v>87.0</v>
      </c>
      <c r="J547" s="1" t="s">
        <v>2104</v>
      </c>
      <c r="K547" s="5" t="s">
        <v>2105</v>
      </c>
    </row>
    <row r="548">
      <c r="A548" s="1" t="s">
        <v>2106</v>
      </c>
      <c r="B548" s="1" t="s">
        <v>2107</v>
      </c>
      <c r="C548" s="1" t="s">
        <v>1366</v>
      </c>
      <c r="D548" s="2">
        <v>7998.0</v>
      </c>
      <c r="E548" s="2">
        <v>11999.0</v>
      </c>
      <c r="F548" s="3">
        <f t="shared" si="4"/>
        <v>0.3334444537</v>
      </c>
      <c r="G548" s="4">
        <f>IFERROR(__xludf.DUMMYFUNCTION("GOOGLEFINANCE(""CURRENCY:INRBRL"")*D548"),478.26053712695995)</f>
        <v>478.2605371</v>
      </c>
      <c r="H548" s="1">
        <v>4.5</v>
      </c>
      <c r="I548" s="1">
        <v>125.0</v>
      </c>
      <c r="J548" s="1" t="s">
        <v>2108</v>
      </c>
      <c r="K548" s="5" t="s">
        <v>2109</v>
      </c>
    </row>
    <row r="549">
      <c r="A549" s="1" t="s">
        <v>2110</v>
      </c>
      <c r="B549" s="1" t="s">
        <v>2111</v>
      </c>
      <c r="C549" s="1" t="s">
        <v>1348</v>
      </c>
      <c r="D549" s="2">
        <v>249.0</v>
      </c>
      <c r="E549" s="2">
        <v>999.0</v>
      </c>
      <c r="F549" s="3">
        <f t="shared" si="4"/>
        <v>0.7507507508</v>
      </c>
      <c r="G549" s="4">
        <f>IFERROR(__xludf.DUMMYFUNCTION("GOOGLEFINANCE(""CURRENCY:INRBRL"")*D549"),14.889581613479999)</f>
        <v>14.88958161</v>
      </c>
      <c r="H549" s="1">
        <v>4.5</v>
      </c>
      <c r="I549" s="1">
        <v>38.0</v>
      </c>
      <c r="J549" s="1" t="s">
        <v>2112</v>
      </c>
      <c r="K549" s="5" t="s">
        <v>2113</v>
      </c>
    </row>
    <row r="550">
      <c r="A550" s="1" t="s">
        <v>2114</v>
      </c>
      <c r="B550" s="1" t="s">
        <v>2115</v>
      </c>
      <c r="C550" s="1" t="s">
        <v>1757</v>
      </c>
      <c r="D550" s="2">
        <v>299.0</v>
      </c>
      <c r="E550" s="2">
        <v>599.0</v>
      </c>
      <c r="F550" s="3">
        <f t="shared" si="4"/>
        <v>0.5008347245</v>
      </c>
      <c r="G550" s="4">
        <f>IFERROR(__xludf.DUMMYFUNCTION("GOOGLEFINANCE(""CURRENCY:INRBRL"")*D550"),17.87945743948)</f>
        <v>17.87945744</v>
      </c>
      <c r="H550" s="1">
        <v>4.5</v>
      </c>
      <c r="I550" s="1">
        <v>4674.0</v>
      </c>
      <c r="J550" s="1" t="s">
        <v>2116</v>
      </c>
      <c r="K550" s="5" t="s">
        <v>2117</v>
      </c>
    </row>
    <row r="551">
      <c r="A551" s="1" t="s">
        <v>2118</v>
      </c>
      <c r="B551" s="1" t="s">
        <v>2119</v>
      </c>
      <c r="C551" s="1" t="s">
        <v>1348</v>
      </c>
      <c r="D551" s="2">
        <v>499.0</v>
      </c>
      <c r="E551" s="2">
        <v>1899.0</v>
      </c>
      <c r="F551" s="3">
        <f t="shared" si="4"/>
        <v>0.7372301211</v>
      </c>
      <c r="G551" s="4">
        <f>IFERROR(__xludf.DUMMYFUNCTION("GOOGLEFINANCE(""CURRENCY:INRBRL"")*D551"),29.838960743479998)</f>
        <v>29.83896074</v>
      </c>
      <c r="H551" s="1">
        <v>4.5</v>
      </c>
      <c r="I551" s="1">
        <v>412.0</v>
      </c>
      <c r="J551" s="1" t="s">
        <v>2120</v>
      </c>
      <c r="K551" s="5" t="s">
        <v>2121</v>
      </c>
    </row>
    <row r="552">
      <c r="A552" s="1" t="s">
        <v>2122</v>
      </c>
      <c r="B552" s="1" t="s">
        <v>2123</v>
      </c>
      <c r="C552" s="1" t="s">
        <v>1348</v>
      </c>
      <c r="D552" s="2">
        <v>899.0</v>
      </c>
      <c r="E552" s="2">
        <v>3499.0</v>
      </c>
      <c r="F552" s="3">
        <f t="shared" si="4"/>
        <v>0.7430694484</v>
      </c>
      <c r="G552" s="4">
        <f>IFERROR(__xludf.DUMMYFUNCTION("GOOGLEFINANCE(""CURRENCY:INRBRL"")*D552"),53.75796735148)</f>
        <v>53.75796735</v>
      </c>
      <c r="H552" s="1">
        <v>4.5</v>
      </c>
      <c r="I552" s="1">
        <v>681.0</v>
      </c>
      <c r="J552" s="1" t="s">
        <v>2124</v>
      </c>
      <c r="K552" s="5" t="s">
        <v>2125</v>
      </c>
    </row>
    <row r="553">
      <c r="A553" s="1" t="s">
        <v>2126</v>
      </c>
      <c r="B553" s="1" t="s">
        <v>2127</v>
      </c>
      <c r="C553" s="1" t="s">
        <v>1361</v>
      </c>
      <c r="D553" s="2">
        <v>1599.0</v>
      </c>
      <c r="E553" s="2">
        <v>3499.0</v>
      </c>
      <c r="F553" s="3">
        <f t="shared" si="4"/>
        <v>0.5430122892</v>
      </c>
      <c r="G553" s="4">
        <f>IFERROR(__xludf.DUMMYFUNCTION("GOOGLEFINANCE(""CURRENCY:INRBRL"")*D553"),95.61622891548)</f>
        <v>95.61622892</v>
      </c>
      <c r="H553" s="1">
        <v>4.5</v>
      </c>
      <c r="I553" s="1">
        <v>36384.0</v>
      </c>
      <c r="J553" s="1" t="s">
        <v>2128</v>
      </c>
      <c r="K553" s="5" t="s">
        <v>2129</v>
      </c>
    </row>
    <row r="554">
      <c r="A554" s="1" t="s">
        <v>2130</v>
      </c>
      <c r="B554" s="1" t="s">
        <v>2131</v>
      </c>
      <c r="C554" s="1" t="s">
        <v>2132</v>
      </c>
      <c r="D554" s="2">
        <v>120.0</v>
      </c>
      <c r="E554" s="2">
        <v>999.0</v>
      </c>
      <c r="F554" s="3">
        <f t="shared" si="4"/>
        <v>0.8798798799</v>
      </c>
      <c r="G554" s="4">
        <f>IFERROR(__xludf.DUMMYFUNCTION("GOOGLEFINANCE(""CURRENCY:INRBRL"")*D554"),7.1757019824)</f>
        <v>7.175701982</v>
      </c>
      <c r="H554" s="1">
        <v>4.5</v>
      </c>
      <c r="I554" s="1">
        <v>6491.0</v>
      </c>
      <c r="J554" s="1" t="s">
        <v>2133</v>
      </c>
      <c r="K554" s="5" t="s">
        <v>2134</v>
      </c>
    </row>
    <row r="555">
      <c r="A555" s="1" t="s">
        <v>2135</v>
      </c>
      <c r="B555" s="1" t="s">
        <v>2136</v>
      </c>
      <c r="C555" s="1" t="s">
        <v>1348</v>
      </c>
      <c r="D555" s="2">
        <v>3999.0</v>
      </c>
      <c r="E555" s="2">
        <v>6999.0</v>
      </c>
      <c r="F555" s="3">
        <f t="shared" si="4"/>
        <v>0.4286326618</v>
      </c>
      <c r="G555" s="4">
        <f>IFERROR(__xludf.DUMMYFUNCTION("GOOGLEFINANCE(""CURRENCY:INRBRL"")*D555"),239.13026856347997)</f>
        <v>239.1302686</v>
      </c>
      <c r="H555" s="1">
        <v>4.5</v>
      </c>
      <c r="I555" s="1">
        <v>10229.0</v>
      </c>
      <c r="J555" s="1" t="s">
        <v>2137</v>
      </c>
      <c r="K555" s="5" t="s">
        <v>2138</v>
      </c>
    </row>
    <row r="556">
      <c r="A556" s="1" t="s">
        <v>2139</v>
      </c>
      <c r="B556" s="1" t="s">
        <v>1943</v>
      </c>
      <c r="C556" s="1" t="s">
        <v>1366</v>
      </c>
      <c r="D556" s="2">
        <v>12999.0</v>
      </c>
      <c r="E556" s="2">
        <v>18999.0</v>
      </c>
      <c r="F556" s="3">
        <f t="shared" si="4"/>
        <v>0.3158060951</v>
      </c>
      <c r="G556" s="4">
        <f>IFERROR(__xludf.DUMMYFUNCTION("GOOGLEFINANCE(""CURRENCY:INRBRL"")*D556"),777.30791724348)</f>
        <v>777.3079172</v>
      </c>
      <c r="H556" s="1">
        <v>4.5</v>
      </c>
      <c r="I556" s="1">
        <v>50772.0</v>
      </c>
      <c r="J556" s="1" t="s">
        <v>1944</v>
      </c>
      <c r="K556" s="5" t="s">
        <v>2140</v>
      </c>
    </row>
    <row r="557">
      <c r="A557" s="1" t="s">
        <v>2141</v>
      </c>
      <c r="B557" s="1" t="s">
        <v>2142</v>
      </c>
      <c r="C557" s="1" t="s">
        <v>1849</v>
      </c>
      <c r="D557" s="2">
        <v>1599.0</v>
      </c>
      <c r="E557" s="2">
        <v>2599.0</v>
      </c>
      <c r="F557" s="3">
        <f t="shared" si="4"/>
        <v>0.3847633705</v>
      </c>
      <c r="G557" s="4">
        <f>IFERROR(__xludf.DUMMYFUNCTION("GOOGLEFINANCE(""CURRENCY:INRBRL"")*D557"),95.61622891548)</f>
        <v>95.61622892</v>
      </c>
      <c r="H557" s="1">
        <v>4.5</v>
      </c>
      <c r="I557" s="1">
        <v>1801.0</v>
      </c>
      <c r="J557" s="1" t="s">
        <v>2143</v>
      </c>
      <c r="K557" s="5" t="s">
        <v>2144</v>
      </c>
    </row>
    <row r="558">
      <c r="A558" s="1" t="s">
        <v>2145</v>
      </c>
      <c r="B558" s="1" t="s">
        <v>2146</v>
      </c>
      <c r="C558" s="1" t="s">
        <v>1448</v>
      </c>
      <c r="D558" s="2">
        <v>699.0</v>
      </c>
      <c r="E558" s="2">
        <v>1199.0</v>
      </c>
      <c r="F558" s="3">
        <f t="shared" si="4"/>
        <v>0.4170141785</v>
      </c>
      <c r="G558" s="4">
        <f>IFERROR(__xludf.DUMMYFUNCTION("GOOGLEFINANCE(""CURRENCY:INRBRL"")*D558"),41.798464047479996)</f>
        <v>41.79846405</v>
      </c>
      <c r="H558" s="1">
        <v>4.5</v>
      </c>
      <c r="I558" s="1">
        <v>14404.0</v>
      </c>
      <c r="J558" s="1" t="s">
        <v>2147</v>
      </c>
      <c r="K558" s="5" t="s">
        <v>2148</v>
      </c>
    </row>
    <row r="559">
      <c r="A559" s="1" t="s">
        <v>2149</v>
      </c>
      <c r="B559" s="1" t="s">
        <v>2150</v>
      </c>
      <c r="C559" s="1" t="s">
        <v>2151</v>
      </c>
      <c r="D559" s="2">
        <v>99.0</v>
      </c>
      <c r="E559" s="2">
        <v>999.0</v>
      </c>
      <c r="F559" s="3">
        <f t="shared" si="4"/>
        <v>0.9009009009</v>
      </c>
      <c r="G559" s="4">
        <f>IFERROR(__xludf.DUMMYFUNCTION("GOOGLEFINANCE(""CURRENCY:INRBRL"")*D559"),5.919954135479999)</f>
        <v>5.919954135</v>
      </c>
      <c r="H559" s="1">
        <v>4.5</v>
      </c>
      <c r="I559" s="1">
        <v>305.0</v>
      </c>
      <c r="J559" s="1" t="s">
        <v>2152</v>
      </c>
      <c r="K559" s="5" t="s">
        <v>2153</v>
      </c>
    </row>
    <row r="560">
      <c r="A560" s="1" t="s">
        <v>2154</v>
      </c>
      <c r="B560" s="1" t="s">
        <v>2155</v>
      </c>
      <c r="C560" s="1" t="s">
        <v>1366</v>
      </c>
      <c r="D560" s="2">
        <v>7915.0</v>
      </c>
      <c r="E560" s="2">
        <v>9999.0</v>
      </c>
      <c r="F560" s="3">
        <f t="shared" si="4"/>
        <v>0.2084208421</v>
      </c>
      <c r="G560" s="4">
        <f>IFERROR(__xludf.DUMMYFUNCTION("GOOGLEFINANCE(""CURRENCY:INRBRL"")*D560"),473.29734325579994)</f>
        <v>473.2973433</v>
      </c>
      <c r="H560" s="1">
        <v>4.5</v>
      </c>
      <c r="I560" s="1">
        <v>1376.0</v>
      </c>
      <c r="J560" s="1" t="s">
        <v>2156</v>
      </c>
      <c r="K560" s="5" t="s">
        <v>2157</v>
      </c>
    </row>
    <row r="561">
      <c r="A561" s="1" t="s">
        <v>2158</v>
      </c>
      <c r="B561" s="1" t="s">
        <v>2159</v>
      </c>
      <c r="C561" s="1" t="s">
        <v>1348</v>
      </c>
      <c r="D561" s="2">
        <v>1499.0</v>
      </c>
      <c r="E561" s="2">
        <v>7999.0</v>
      </c>
      <c r="F561" s="3">
        <f t="shared" si="4"/>
        <v>0.8126015752</v>
      </c>
      <c r="G561" s="4">
        <f>IFERROR(__xludf.DUMMYFUNCTION("GOOGLEFINANCE(""CURRENCY:INRBRL"")*D561"),89.63647726347999)</f>
        <v>89.63647726</v>
      </c>
      <c r="H561" s="1">
        <v>4.5</v>
      </c>
      <c r="I561" s="1">
        <v>22638.0</v>
      </c>
      <c r="J561" s="1" t="s">
        <v>2160</v>
      </c>
      <c r="K561" s="5" t="s">
        <v>2161</v>
      </c>
    </row>
    <row r="562">
      <c r="A562" s="1" t="s">
        <v>2162</v>
      </c>
      <c r="B562" s="1" t="s">
        <v>2163</v>
      </c>
      <c r="C562" s="1" t="s">
        <v>1394</v>
      </c>
      <c r="D562" s="2">
        <v>1055.0</v>
      </c>
      <c r="E562" s="2">
        <v>1249.0</v>
      </c>
      <c r="F562" s="3">
        <f t="shared" si="4"/>
        <v>0.1553242594</v>
      </c>
      <c r="G562" s="4">
        <f>IFERROR(__xludf.DUMMYFUNCTION("GOOGLEFINANCE(""CURRENCY:INRBRL"")*D562"),63.086379928599996)</f>
        <v>63.08637993</v>
      </c>
      <c r="H562" s="1">
        <v>4.5</v>
      </c>
      <c r="I562" s="1">
        <v>2352.0</v>
      </c>
      <c r="J562" s="1" t="s">
        <v>2164</v>
      </c>
      <c r="K562" s="5" t="s">
        <v>2165</v>
      </c>
    </row>
    <row r="563">
      <c r="A563" s="1" t="s">
        <v>2166</v>
      </c>
      <c r="B563" s="1" t="s">
        <v>2167</v>
      </c>
      <c r="C563" s="1" t="s">
        <v>1757</v>
      </c>
      <c r="D563" s="2">
        <v>150.0</v>
      </c>
      <c r="E563" s="2">
        <v>599.0</v>
      </c>
      <c r="F563" s="3">
        <f t="shared" si="4"/>
        <v>0.7495826377</v>
      </c>
      <c r="G563" s="4">
        <f>IFERROR(__xludf.DUMMYFUNCTION("GOOGLEFINANCE(""CURRENCY:INRBRL"")*D563"),8.969627478)</f>
        <v>8.969627478</v>
      </c>
      <c r="H563" s="1">
        <v>4.5</v>
      </c>
      <c r="I563" s="1">
        <v>714.0</v>
      </c>
      <c r="J563" s="1" t="s">
        <v>2168</v>
      </c>
      <c r="K563" s="5" t="s">
        <v>2169</v>
      </c>
    </row>
    <row r="564">
      <c r="A564" s="1" t="s">
        <v>293</v>
      </c>
      <c r="B564" s="1" t="s">
        <v>294</v>
      </c>
      <c r="C564" s="1" t="s">
        <v>13</v>
      </c>
      <c r="D564" s="2">
        <v>219.0</v>
      </c>
      <c r="E564" s="2">
        <v>700.0</v>
      </c>
      <c r="F564" s="3">
        <f t="shared" si="4"/>
        <v>0.6871428571</v>
      </c>
      <c r="G564" s="4">
        <f>IFERROR(__xludf.DUMMYFUNCTION("GOOGLEFINANCE(""CURRENCY:INRBRL"")*D564"),13.095656117879999)</f>
        <v>13.09565612</v>
      </c>
      <c r="H564" s="1">
        <v>4.5</v>
      </c>
      <c r="I564" s="1">
        <v>20052.0</v>
      </c>
      <c r="J564" s="1" t="s">
        <v>295</v>
      </c>
      <c r="K564" s="5" t="s">
        <v>2170</v>
      </c>
    </row>
    <row r="565">
      <c r="A565" s="1" t="s">
        <v>2171</v>
      </c>
      <c r="B565" s="1" t="s">
        <v>2172</v>
      </c>
      <c r="C565" s="1" t="s">
        <v>1849</v>
      </c>
      <c r="D565" s="2">
        <v>474.0</v>
      </c>
      <c r="E565" s="2">
        <v>1799.0</v>
      </c>
      <c r="F565" s="3">
        <f t="shared" si="4"/>
        <v>0.736520289</v>
      </c>
      <c r="G565" s="4">
        <f>IFERROR(__xludf.DUMMYFUNCTION("GOOGLEFINANCE(""CURRENCY:INRBRL"")*D565"),28.344022830479997)</f>
        <v>28.34402283</v>
      </c>
      <c r="H565" s="1">
        <v>4.5</v>
      </c>
      <c r="I565" s="1">
        <v>1454.0</v>
      </c>
      <c r="J565" s="1" t="s">
        <v>2173</v>
      </c>
      <c r="K565" s="5" t="s">
        <v>2174</v>
      </c>
    </row>
    <row r="566">
      <c r="A566" s="1" t="s">
        <v>309</v>
      </c>
      <c r="B566" s="1" t="s">
        <v>310</v>
      </c>
      <c r="C566" s="1" t="s">
        <v>13</v>
      </c>
      <c r="D566" s="2">
        <v>115.0</v>
      </c>
      <c r="E566" s="2">
        <v>499.0</v>
      </c>
      <c r="F566" s="3">
        <f t="shared" si="4"/>
        <v>0.7695390782</v>
      </c>
      <c r="G566" s="4">
        <f>IFERROR(__xludf.DUMMYFUNCTION("GOOGLEFINANCE(""CURRENCY:INRBRL"")*D566"),6.8767143998)</f>
        <v>6.8767144</v>
      </c>
      <c r="H566" s="1">
        <v>4.5</v>
      </c>
      <c r="I566" s="1">
        <v>7732.0</v>
      </c>
      <c r="J566" s="1" t="s">
        <v>311</v>
      </c>
      <c r="K566" s="5" t="s">
        <v>2175</v>
      </c>
    </row>
    <row r="567">
      <c r="A567" s="1" t="s">
        <v>2176</v>
      </c>
      <c r="B567" s="1" t="s">
        <v>2177</v>
      </c>
      <c r="C567" s="1" t="s">
        <v>1448</v>
      </c>
      <c r="D567" s="2">
        <v>239.0</v>
      </c>
      <c r="E567" s="2">
        <v>599.0</v>
      </c>
      <c r="F567" s="3">
        <f t="shared" si="4"/>
        <v>0.6010016694</v>
      </c>
      <c r="G567" s="4">
        <f>IFERROR(__xludf.DUMMYFUNCTION("GOOGLEFINANCE(""CURRENCY:INRBRL"")*D567"),14.29160644828)</f>
        <v>14.29160645</v>
      </c>
      <c r="H567" s="1">
        <v>4.5</v>
      </c>
      <c r="I567" s="1">
        <v>2147.0</v>
      </c>
      <c r="J567" s="1" t="s">
        <v>2178</v>
      </c>
      <c r="K567" s="5" t="s">
        <v>2179</v>
      </c>
    </row>
    <row r="568">
      <c r="A568" s="1" t="s">
        <v>2180</v>
      </c>
      <c r="B568" s="1" t="s">
        <v>2181</v>
      </c>
      <c r="C568" s="1" t="s">
        <v>1366</v>
      </c>
      <c r="D568" s="2">
        <v>7499.0</v>
      </c>
      <c r="E568" s="2">
        <v>9499.0</v>
      </c>
      <c r="F568" s="3">
        <f t="shared" si="4"/>
        <v>0.2105484788</v>
      </c>
      <c r="G568" s="4">
        <f>IFERROR(__xludf.DUMMYFUNCTION("GOOGLEFINANCE(""CURRENCY:INRBRL"")*D568"),448.42157638348)</f>
        <v>448.4215764</v>
      </c>
      <c r="H568" s="1">
        <v>4.5</v>
      </c>
      <c r="I568" s="1">
        <v>313832.0</v>
      </c>
      <c r="J568" s="1" t="s">
        <v>2182</v>
      </c>
      <c r="K568" s="5" t="s">
        <v>2183</v>
      </c>
    </row>
    <row r="569">
      <c r="A569" s="1" t="s">
        <v>2184</v>
      </c>
      <c r="B569" s="1" t="s">
        <v>2185</v>
      </c>
      <c r="C569" s="1" t="s">
        <v>1348</v>
      </c>
      <c r="D569" s="2">
        <v>265.0</v>
      </c>
      <c r="E569" s="2">
        <v>999.0</v>
      </c>
      <c r="F569" s="3">
        <f t="shared" si="4"/>
        <v>0.7347347347</v>
      </c>
      <c r="G569" s="4">
        <f>IFERROR(__xludf.DUMMYFUNCTION("GOOGLEFINANCE(""CURRENCY:INRBRL"")*D569"),15.846341877799999)</f>
        <v>15.84634188</v>
      </c>
      <c r="H569" s="1">
        <v>4.5</v>
      </c>
      <c r="I569" s="1">
        <v>465.0</v>
      </c>
      <c r="J569" s="1" t="s">
        <v>2186</v>
      </c>
      <c r="K569" s="5" t="s">
        <v>2187</v>
      </c>
    </row>
    <row r="570">
      <c r="A570" s="1" t="s">
        <v>2188</v>
      </c>
      <c r="B570" s="1" t="s">
        <v>2189</v>
      </c>
      <c r="C570" s="1" t="s">
        <v>1366</v>
      </c>
      <c r="D570" s="2">
        <v>37990.0</v>
      </c>
      <c r="E570" s="2">
        <v>74999.0</v>
      </c>
      <c r="F570" s="3">
        <f t="shared" si="4"/>
        <v>0.4934599128</v>
      </c>
      <c r="G570" s="4">
        <f>IFERROR(__xludf.DUMMYFUNCTION("GOOGLEFINANCE(""CURRENCY:INRBRL"")*D570"),2271.7076525948)</f>
        <v>2271.707653</v>
      </c>
      <c r="H570" s="1">
        <v>4.5</v>
      </c>
      <c r="I570" s="1">
        <v>2779.0</v>
      </c>
      <c r="J570" s="1" t="s">
        <v>2190</v>
      </c>
      <c r="K570" s="5" t="s">
        <v>2191</v>
      </c>
    </row>
    <row r="571">
      <c r="A571" s="1" t="s">
        <v>317</v>
      </c>
      <c r="B571" s="1" t="s">
        <v>318</v>
      </c>
      <c r="C571" s="1" t="s">
        <v>13</v>
      </c>
      <c r="D571" s="2">
        <v>199.0</v>
      </c>
      <c r="E571" s="2">
        <v>499.0</v>
      </c>
      <c r="F571" s="3">
        <f t="shared" si="4"/>
        <v>0.6012024048</v>
      </c>
      <c r="G571" s="4">
        <f>IFERROR(__xludf.DUMMYFUNCTION("GOOGLEFINANCE(""CURRENCY:INRBRL"")*D571"),11.899705787479999)</f>
        <v>11.89970579</v>
      </c>
      <c r="H571" s="1">
        <v>4.5</v>
      </c>
      <c r="I571" s="1">
        <v>602.0</v>
      </c>
      <c r="J571" s="1" t="s">
        <v>319</v>
      </c>
      <c r="K571" s="5" t="s">
        <v>2192</v>
      </c>
    </row>
    <row r="572">
      <c r="A572" s="1" t="s">
        <v>321</v>
      </c>
      <c r="B572" s="1" t="s">
        <v>322</v>
      </c>
      <c r="C572" s="1" t="s">
        <v>13</v>
      </c>
      <c r="D572" s="2">
        <v>179.0</v>
      </c>
      <c r="E572" s="2">
        <v>399.0</v>
      </c>
      <c r="F572" s="3">
        <f t="shared" si="4"/>
        <v>0.5513784461</v>
      </c>
      <c r="G572" s="4">
        <f>IFERROR(__xludf.DUMMYFUNCTION("GOOGLEFINANCE(""CURRENCY:INRBRL"")*D572"),10.70375545708)</f>
        <v>10.70375546</v>
      </c>
      <c r="H572" s="1">
        <v>4.5</v>
      </c>
      <c r="I572" s="1">
        <v>1423.0</v>
      </c>
      <c r="J572" s="1" t="s">
        <v>323</v>
      </c>
      <c r="K572" s="5" t="s">
        <v>2193</v>
      </c>
    </row>
    <row r="573">
      <c r="A573" s="1" t="s">
        <v>2194</v>
      </c>
      <c r="B573" s="1" t="s">
        <v>2195</v>
      </c>
      <c r="C573" s="1" t="s">
        <v>1579</v>
      </c>
      <c r="D573" s="2">
        <v>1799.0</v>
      </c>
      <c r="E573" s="2">
        <v>3999.0</v>
      </c>
      <c r="F573" s="3">
        <f t="shared" si="4"/>
        <v>0.5501375344</v>
      </c>
      <c r="G573" s="4">
        <f>IFERROR(__xludf.DUMMYFUNCTION("GOOGLEFINANCE(""CURRENCY:INRBRL"")*D573"),107.57573221947999)</f>
        <v>107.5757322</v>
      </c>
      <c r="H573" s="1">
        <v>4.5</v>
      </c>
      <c r="I573" s="1">
        <v>245.0</v>
      </c>
      <c r="J573" s="1" t="s">
        <v>2196</v>
      </c>
      <c r="K573" s="5" t="s">
        <v>2197</v>
      </c>
    </row>
    <row r="574">
      <c r="A574" s="1" t="s">
        <v>2198</v>
      </c>
      <c r="B574" s="1" t="s">
        <v>2199</v>
      </c>
      <c r="C574" s="1" t="s">
        <v>1366</v>
      </c>
      <c r="D574" s="2">
        <v>8499.0</v>
      </c>
      <c r="E574" s="2">
        <v>11999.0</v>
      </c>
      <c r="F574" s="3">
        <f t="shared" si="4"/>
        <v>0.2916909742</v>
      </c>
      <c r="G574" s="4">
        <f>IFERROR(__xludf.DUMMYFUNCTION("GOOGLEFINANCE(""CURRENCY:INRBRL"")*D574"),508.21909290348)</f>
        <v>508.2190929</v>
      </c>
      <c r="H574" s="1">
        <v>4.5</v>
      </c>
      <c r="I574" s="1">
        <v>276.0</v>
      </c>
      <c r="J574" s="1" t="s">
        <v>2200</v>
      </c>
      <c r="K574" s="5" t="s">
        <v>2201</v>
      </c>
    </row>
    <row r="575">
      <c r="A575" s="1" t="s">
        <v>2202</v>
      </c>
      <c r="B575" s="1" t="s">
        <v>2203</v>
      </c>
      <c r="C575" s="1" t="s">
        <v>1348</v>
      </c>
      <c r="D575" s="2">
        <v>1999.0</v>
      </c>
      <c r="E575" s="2">
        <v>3999.0</v>
      </c>
      <c r="F575" s="3">
        <f t="shared" si="4"/>
        <v>0.5001250313</v>
      </c>
      <c r="G575" s="4">
        <f>IFERROR(__xludf.DUMMYFUNCTION("GOOGLEFINANCE(""CURRENCY:INRBRL"")*D575"),119.53523552348)</f>
        <v>119.5352355</v>
      </c>
      <c r="H575" s="1">
        <v>4.5</v>
      </c>
      <c r="I575" s="1">
        <v>30254.0</v>
      </c>
      <c r="J575" s="1" t="s">
        <v>2204</v>
      </c>
      <c r="K575" s="5" t="s">
        <v>2205</v>
      </c>
    </row>
    <row r="576">
      <c r="A576" s="1" t="s">
        <v>2206</v>
      </c>
      <c r="B576" s="1" t="s">
        <v>1509</v>
      </c>
      <c r="C576" s="1" t="s">
        <v>1348</v>
      </c>
      <c r="D576" s="2">
        <v>3999.0</v>
      </c>
      <c r="E576" s="2">
        <v>17999.0</v>
      </c>
      <c r="F576" s="3">
        <f t="shared" si="4"/>
        <v>0.7778209901</v>
      </c>
      <c r="G576" s="4">
        <f>IFERROR(__xludf.DUMMYFUNCTION("GOOGLEFINANCE(""CURRENCY:INRBRL"")*D576"),239.13026856347997)</f>
        <v>239.1302686</v>
      </c>
      <c r="H576" s="1">
        <v>4.5</v>
      </c>
      <c r="I576" s="1">
        <v>17161.0</v>
      </c>
      <c r="J576" s="1" t="s">
        <v>2207</v>
      </c>
      <c r="K576" s="5" t="s">
        <v>2208</v>
      </c>
    </row>
    <row r="577">
      <c r="A577" s="1" t="s">
        <v>2209</v>
      </c>
      <c r="B577" s="1" t="s">
        <v>2210</v>
      </c>
      <c r="C577" s="1" t="s">
        <v>1448</v>
      </c>
      <c r="D577" s="2">
        <v>219.0</v>
      </c>
      <c r="E577" s="2">
        <v>499.0</v>
      </c>
      <c r="F577" s="3">
        <f t="shared" si="4"/>
        <v>0.5611222445</v>
      </c>
      <c r="G577" s="4">
        <f>IFERROR(__xludf.DUMMYFUNCTION("GOOGLEFINANCE(""CURRENCY:INRBRL"")*D577"),13.095656117879999)</f>
        <v>13.09565612</v>
      </c>
      <c r="H577" s="1">
        <v>4.5</v>
      </c>
      <c r="I577" s="1">
        <v>14.0</v>
      </c>
      <c r="J577" s="1" t="s">
        <v>2211</v>
      </c>
      <c r="K577" s="5" t="s">
        <v>2212</v>
      </c>
    </row>
    <row r="578">
      <c r="A578" s="1" t="s">
        <v>2213</v>
      </c>
      <c r="B578" s="1" t="s">
        <v>2214</v>
      </c>
      <c r="C578" s="1" t="s">
        <v>1579</v>
      </c>
      <c r="D578" s="2">
        <v>599.0</v>
      </c>
      <c r="E578" s="2">
        <v>1399.0</v>
      </c>
      <c r="F578" s="3">
        <f t="shared" si="4"/>
        <v>0.5718370264</v>
      </c>
      <c r="G578" s="4">
        <f>IFERROR(__xludf.DUMMYFUNCTION("GOOGLEFINANCE(""CURRENCY:INRBRL"")*D578"),35.81871239548)</f>
        <v>35.8187124</v>
      </c>
      <c r="H578" s="1">
        <v>4.5</v>
      </c>
      <c r="I578" s="1">
        <v>1456.0</v>
      </c>
      <c r="J578" s="1" t="s">
        <v>2215</v>
      </c>
      <c r="K578" s="5" t="s">
        <v>2216</v>
      </c>
    </row>
    <row r="579">
      <c r="A579" s="1" t="s">
        <v>2217</v>
      </c>
      <c r="B579" s="1" t="s">
        <v>2218</v>
      </c>
      <c r="C579" s="1" t="s">
        <v>1361</v>
      </c>
      <c r="D579" s="2">
        <v>2499.0</v>
      </c>
      <c r="E579" s="2">
        <v>2999.0</v>
      </c>
      <c r="F579" s="3">
        <f t="shared" si="4"/>
        <v>0.1667222407</v>
      </c>
      <c r="G579" s="4">
        <f>IFERROR(__xludf.DUMMYFUNCTION("GOOGLEFINANCE(""CURRENCY:INRBRL"")*D579"),149.43399378348)</f>
        <v>149.4339938</v>
      </c>
      <c r="H579" s="1">
        <v>4.5</v>
      </c>
      <c r="I579" s="1">
        <v>3156.0</v>
      </c>
      <c r="J579" s="1" t="s">
        <v>2219</v>
      </c>
      <c r="K579" s="5" t="s">
        <v>2220</v>
      </c>
    </row>
    <row r="580">
      <c r="A580" s="1" t="s">
        <v>2221</v>
      </c>
      <c r="B580" s="1" t="s">
        <v>2222</v>
      </c>
      <c r="C580" s="1" t="s">
        <v>2223</v>
      </c>
      <c r="D580" s="2">
        <v>89.0</v>
      </c>
      <c r="E580" s="2">
        <v>499.0</v>
      </c>
      <c r="F580" s="3">
        <f t="shared" si="4"/>
        <v>0.8216432866</v>
      </c>
      <c r="G580" s="4">
        <f>IFERROR(__xludf.DUMMYFUNCTION("GOOGLEFINANCE(""CURRENCY:INRBRL"")*D580"),5.32197897028)</f>
        <v>5.32197897</v>
      </c>
      <c r="H580" s="1">
        <v>4.5</v>
      </c>
      <c r="I580" s="1">
        <v>934.0</v>
      </c>
      <c r="J580" s="1" t="s">
        <v>2224</v>
      </c>
      <c r="K580" s="5" t="s">
        <v>2225</v>
      </c>
    </row>
    <row r="581">
      <c r="A581" s="1" t="s">
        <v>2226</v>
      </c>
      <c r="B581" s="1" t="s">
        <v>2227</v>
      </c>
      <c r="C581" s="1" t="s">
        <v>1348</v>
      </c>
      <c r="D581" s="2">
        <v>2999.0</v>
      </c>
      <c r="E581" s="2">
        <v>11999.0</v>
      </c>
      <c r="F581" s="3">
        <f t="shared" si="4"/>
        <v>0.7500625052</v>
      </c>
      <c r="G581" s="4">
        <f>IFERROR(__xludf.DUMMYFUNCTION("GOOGLEFINANCE(""CURRENCY:INRBRL"")*D581"),179.33275204347999)</f>
        <v>179.332752</v>
      </c>
      <c r="H581" s="1">
        <v>4.5</v>
      </c>
      <c r="I581" s="1">
        <v>768.0</v>
      </c>
      <c r="J581" s="1" t="s">
        <v>2228</v>
      </c>
      <c r="K581" s="5" t="s">
        <v>2229</v>
      </c>
    </row>
    <row r="582">
      <c r="A582" s="1" t="s">
        <v>2230</v>
      </c>
      <c r="B582" s="1" t="s">
        <v>2231</v>
      </c>
      <c r="C582" s="1" t="s">
        <v>1609</v>
      </c>
      <c r="D582" s="2">
        <v>314.0</v>
      </c>
      <c r="E582" s="2">
        <v>1499.0</v>
      </c>
      <c r="F582" s="3">
        <f t="shared" si="4"/>
        <v>0.790527018</v>
      </c>
      <c r="G582" s="4">
        <f>IFERROR(__xludf.DUMMYFUNCTION("GOOGLEFINANCE(""CURRENCY:INRBRL"")*D582"),18.77642018728)</f>
        <v>18.77642019</v>
      </c>
      <c r="H582" s="1">
        <v>4.5</v>
      </c>
      <c r="I582" s="1">
        <v>28978.0</v>
      </c>
      <c r="J582" s="1" t="s">
        <v>2232</v>
      </c>
      <c r="K582" s="5" t="s">
        <v>2233</v>
      </c>
    </row>
    <row r="583">
      <c r="A583" s="1" t="s">
        <v>2234</v>
      </c>
      <c r="B583" s="1" t="s">
        <v>2235</v>
      </c>
      <c r="C583" s="1" t="s">
        <v>1366</v>
      </c>
      <c r="D583" s="2">
        <v>13999.0</v>
      </c>
      <c r="E583" s="2">
        <v>19499.0</v>
      </c>
      <c r="F583" s="3">
        <f t="shared" si="4"/>
        <v>0.282065747</v>
      </c>
      <c r="G583" s="4">
        <f>IFERROR(__xludf.DUMMYFUNCTION("GOOGLEFINANCE(""CURRENCY:INRBRL"")*D583"),837.1054337634799)</f>
        <v>837.1054338</v>
      </c>
      <c r="H583" s="1">
        <v>4.5</v>
      </c>
      <c r="I583" s="1">
        <v>18998.0</v>
      </c>
      <c r="J583" s="1" t="s">
        <v>1592</v>
      </c>
      <c r="K583" s="5" t="s">
        <v>2236</v>
      </c>
    </row>
    <row r="584">
      <c r="A584" s="1" t="s">
        <v>2237</v>
      </c>
      <c r="B584" s="1" t="s">
        <v>2238</v>
      </c>
      <c r="C584" s="1" t="s">
        <v>1505</v>
      </c>
      <c r="D584" s="2">
        <v>139.0</v>
      </c>
      <c r="E584" s="2">
        <v>499.0</v>
      </c>
      <c r="F584" s="3">
        <f t="shared" si="4"/>
        <v>0.7214428858</v>
      </c>
      <c r="G584" s="4">
        <f>IFERROR(__xludf.DUMMYFUNCTION("GOOGLEFINANCE(""CURRENCY:INRBRL"")*D584"),8.311854796279999)</f>
        <v>8.311854796</v>
      </c>
      <c r="H584" s="1">
        <v>4.5</v>
      </c>
      <c r="I584" s="1">
        <v>4971.0</v>
      </c>
      <c r="J584" s="1" t="s">
        <v>2239</v>
      </c>
      <c r="K584" s="5" t="s">
        <v>2240</v>
      </c>
    </row>
    <row r="585">
      <c r="A585" s="1" t="s">
        <v>2241</v>
      </c>
      <c r="B585" s="1" t="s">
        <v>2242</v>
      </c>
      <c r="C585" s="1" t="s">
        <v>1801</v>
      </c>
      <c r="D585" s="2">
        <v>2599.0</v>
      </c>
      <c r="E585" s="2">
        <v>6999.0</v>
      </c>
      <c r="F585" s="3">
        <f t="shared" si="4"/>
        <v>0.6286612373</v>
      </c>
      <c r="G585" s="4">
        <f>IFERROR(__xludf.DUMMYFUNCTION("GOOGLEFINANCE(""CURRENCY:INRBRL"")*D585"),155.41374543548)</f>
        <v>155.4137454</v>
      </c>
      <c r="H585" s="1">
        <v>4.5</v>
      </c>
      <c r="I585" s="1">
        <v>1526.0</v>
      </c>
      <c r="J585" s="1" t="s">
        <v>2243</v>
      </c>
      <c r="K585" s="5" t="s">
        <v>2244</v>
      </c>
    </row>
    <row r="586">
      <c r="A586" s="1" t="s">
        <v>2245</v>
      </c>
      <c r="B586" s="1" t="s">
        <v>2246</v>
      </c>
      <c r="C586" s="1" t="s">
        <v>1403</v>
      </c>
      <c r="D586" s="2">
        <v>365.0</v>
      </c>
      <c r="E586" s="2">
        <v>999.0</v>
      </c>
      <c r="F586" s="3">
        <f t="shared" si="4"/>
        <v>0.6346346346</v>
      </c>
      <c r="G586" s="4">
        <f>IFERROR(__xludf.DUMMYFUNCTION("GOOGLEFINANCE(""CURRENCY:INRBRL"")*D586"),21.826093529799998)</f>
        <v>21.82609353</v>
      </c>
      <c r="H586" s="1">
        <v>4.5</v>
      </c>
      <c r="I586" s="1">
        <v>363711.0</v>
      </c>
      <c r="J586" s="1" t="s">
        <v>1596</v>
      </c>
      <c r="K586" s="5" t="s">
        <v>2247</v>
      </c>
    </row>
    <row r="587">
      <c r="A587" s="1" t="s">
        <v>2248</v>
      </c>
      <c r="B587" s="1" t="s">
        <v>2249</v>
      </c>
      <c r="C587" s="1" t="s">
        <v>1403</v>
      </c>
      <c r="D587" s="2">
        <v>1499.0</v>
      </c>
      <c r="E587" s="2">
        <v>4499.0</v>
      </c>
      <c r="F587" s="3">
        <f t="shared" si="4"/>
        <v>0.6668148477</v>
      </c>
      <c r="G587" s="4">
        <f>IFERROR(__xludf.DUMMYFUNCTION("GOOGLEFINANCE(""CURRENCY:INRBRL"")*D587"),89.63647726347999)</f>
        <v>89.63647726</v>
      </c>
      <c r="H587" s="1">
        <v>4.5</v>
      </c>
      <c r="I587" s="1">
        <v>136954.0</v>
      </c>
      <c r="J587" s="1" t="s">
        <v>2250</v>
      </c>
      <c r="K587" s="5" t="s">
        <v>2251</v>
      </c>
    </row>
    <row r="588">
      <c r="A588" s="1" t="s">
        <v>1351</v>
      </c>
      <c r="B588" s="1" t="s">
        <v>1352</v>
      </c>
      <c r="C588" s="1" t="s">
        <v>1348</v>
      </c>
      <c r="D588" s="2">
        <v>1998.0</v>
      </c>
      <c r="E588" s="2">
        <v>9999.0</v>
      </c>
      <c r="F588" s="3">
        <f t="shared" si="4"/>
        <v>0.800180018</v>
      </c>
      <c r="G588" s="4">
        <f>IFERROR(__xludf.DUMMYFUNCTION("GOOGLEFINANCE(""CURRENCY:INRBRL"")*D588"),119.47543800695999)</f>
        <v>119.475438</v>
      </c>
      <c r="H588" s="1">
        <v>4.5</v>
      </c>
      <c r="I588" s="1">
        <v>27709.0</v>
      </c>
      <c r="J588" s="1" t="s">
        <v>1353</v>
      </c>
      <c r="K588" s="5" t="s">
        <v>2252</v>
      </c>
    </row>
    <row r="589">
      <c r="A589" s="1" t="s">
        <v>1355</v>
      </c>
      <c r="B589" s="1" t="s">
        <v>1356</v>
      </c>
      <c r="C589" s="1" t="s">
        <v>1348</v>
      </c>
      <c r="D589" s="2">
        <v>1799.0</v>
      </c>
      <c r="E589" s="2">
        <v>7990.0</v>
      </c>
      <c r="F589" s="3">
        <f t="shared" si="4"/>
        <v>0.7748435544</v>
      </c>
      <c r="G589" s="4">
        <f>IFERROR(__xludf.DUMMYFUNCTION("GOOGLEFINANCE(""CURRENCY:INRBRL"")*D589"),107.57573221947999)</f>
        <v>107.5757322</v>
      </c>
      <c r="H589" s="1">
        <v>4.5</v>
      </c>
      <c r="I589" s="1">
        <v>17833.0</v>
      </c>
      <c r="J589" s="1" t="s">
        <v>1357</v>
      </c>
      <c r="K589" s="5" t="s">
        <v>2253</v>
      </c>
    </row>
    <row r="590">
      <c r="A590" s="1" t="s">
        <v>2254</v>
      </c>
      <c r="B590" s="1" t="s">
        <v>2255</v>
      </c>
      <c r="C590" s="1" t="s">
        <v>2256</v>
      </c>
      <c r="D590" s="2">
        <v>289.0</v>
      </c>
      <c r="E590" s="2">
        <v>650.0</v>
      </c>
      <c r="F590" s="3">
        <f t="shared" si="4"/>
        <v>0.5553846154</v>
      </c>
      <c r="G590" s="4">
        <f>IFERROR(__xludf.DUMMYFUNCTION("GOOGLEFINANCE(""CURRENCY:INRBRL"")*D590"),17.28148227428)</f>
        <v>17.28148227</v>
      </c>
      <c r="H590" s="1">
        <v>4.5</v>
      </c>
      <c r="I590" s="1">
        <v>253105.0</v>
      </c>
      <c r="J590" s="1" t="s">
        <v>2257</v>
      </c>
      <c r="K590" s="5" t="s">
        <v>2258</v>
      </c>
    </row>
    <row r="591">
      <c r="A591" s="1" t="s">
        <v>2259</v>
      </c>
      <c r="B591" s="1" t="s">
        <v>2260</v>
      </c>
      <c r="C591" s="1" t="s">
        <v>2261</v>
      </c>
      <c r="D591" s="2">
        <v>599.0</v>
      </c>
      <c r="E591" s="2">
        <v>895.0</v>
      </c>
      <c r="F591" s="3">
        <f t="shared" si="4"/>
        <v>0.330726257</v>
      </c>
      <c r="G591" s="4">
        <f>IFERROR(__xludf.DUMMYFUNCTION("GOOGLEFINANCE(""CURRENCY:INRBRL"")*D591"),35.81871239548)</f>
        <v>35.8187124</v>
      </c>
      <c r="H591" s="1">
        <v>4.5</v>
      </c>
      <c r="I591" s="1">
        <v>61314.0</v>
      </c>
      <c r="J591" s="1" t="s">
        <v>2262</v>
      </c>
      <c r="K591" s="5" t="s">
        <v>2263</v>
      </c>
    </row>
    <row r="592">
      <c r="A592" s="1" t="s">
        <v>2264</v>
      </c>
      <c r="B592" s="1" t="s">
        <v>2265</v>
      </c>
      <c r="C592" s="1" t="s">
        <v>2266</v>
      </c>
      <c r="D592" s="2">
        <v>217.0</v>
      </c>
      <c r="E592" s="2">
        <v>237.0</v>
      </c>
      <c r="F592" s="3">
        <f t="shared" si="4"/>
        <v>0.08438818565</v>
      </c>
      <c r="G592" s="4">
        <f>IFERROR(__xludf.DUMMYFUNCTION("GOOGLEFINANCE(""CURRENCY:INRBRL"")*D592"),12.97606108484)</f>
        <v>12.97606108</v>
      </c>
      <c r="H592" s="1">
        <v>4.5</v>
      </c>
      <c r="I592" s="1">
        <v>7354.0</v>
      </c>
      <c r="J592" s="1" t="s">
        <v>2267</v>
      </c>
      <c r="K592" s="5" t="s">
        <v>2268</v>
      </c>
    </row>
    <row r="593">
      <c r="A593" s="1" t="s">
        <v>2269</v>
      </c>
      <c r="B593" s="1" t="s">
        <v>2270</v>
      </c>
      <c r="C593" s="1" t="s">
        <v>1403</v>
      </c>
      <c r="D593" s="2">
        <v>1299.0</v>
      </c>
      <c r="E593" s="2">
        <v>2990.0</v>
      </c>
      <c r="F593" s="3">
        <f t="shared" si="4"/>
        <v>0.5655518395</v>
      </c>
      <c r="G593" s="4">
        <f>IFERROR(__xludf.DUMMYFUNCTION("GOOGLEFINANCE(""CURRENCY:INRBRL"")*D593"),77.67697395948)</f>
        <v>77.67697396</v>
      </c>
      <c r="H593" s="1">
        <v>4.5</v>
      </c>
      <c r="I593" s="1">
        <v>180998.0</v>
      </c>
      <c r="J593" s="1" t="s">
        <v>2271</v>
      </c>
      <c r="K593" s="5" t="s">
        <v>2272</v>
      </c>
    </row>
    <row r="594">
      <c r="A594" s="1" t="s">
        <v>2273</v>
      </c>
      <c r="B594" s="1" t="s">
        <v>2274</v>
      </c>
      <c r="C594" s="1" t="s">
        <v>2275</v>
      </c>
      <c r="D594" s="2">
        <v>263.0</v>
      </c>
      <c r="E594" s="2">
        <v>699.0</v>
      </c>
      <c r="F594" s="3">
        <f t="shared" si="4"/>
        <v>0.6237482117</v>
      </c>
      <c r="G594" s="4">
        <f>IFERROR(__xludf.DUMMYFUNCTION("GOOGLEFINANCE(""CURRENCY:INRBRL"")*D594"),15.72674684476)</f>
        <v>15.72674684</v>
      </c>
      <c r="H594" s="1">
        <v>4.5</v>
      </c>
      <c r="I594" s="1">
        <v>690.0</v>
      </c>
      <c r="J594" s="1" t="s">
        <v>2276</v>
      </c>
      <c r="K594" s="5" t="s">
        <v>2277</v>
      </c>
    </row>
    <row r="595">
      <c r="A595" s="1" t="s">
        <v>1383</v>
      </c>
      <c r="B595" s="1" t="s">
        <v>1384</v>
      </c>
      <c r="C595" s="1" t="s">
        <v>1385</v>
      </c>
      <c r="D595" s="2">
        <v>569.0</v>
      </c>
      <c r="E595" s="2">
        <v>999.0</v>
      </c>
      <c r="F595" s="3">
        <f t="shared" si="4"/>
        <v>0.4304304304</v>
      </c>
      <c r="G595" s="4">
        <f>IFERROR(__xludf.DUMMYFUNCTION("GOOGLEFINANCE(""CURRENCY:INRBRL"")*D595"),34.02478689988)</f>
        <v>34.0247869</v>
      </c>
      <c r="H595" s="1">
        <v>4.5</v>
      </c>
      <c r="I595" s="1">
        <v>67262.0</v>
      </c>
      <c r="J595" s="1" t="s">
        <v>1386</v>
      </c>
      <c r="K595" s="5" t="s">
        <v>2278</v>
      </c>
    </row>
    <row r="596">
      <c r="A596" s="1" t="s">
        <v>1388</v>
      </c>
      <c r="B596" s="1" t="s">
        <v>1389</v>
      </c>
      <c r="C596" s="1" t="s">
        <v>1348</v>
      </c>
      <c r="D596" s="2">
        <v>1999.0</v>
      </c>
      <c r="E596" s="2">
        <v>4999.0</v>
      </c>
      <c r="F596" s="3">
        <f t="shared" si="4"/>
        <v>0.600120024</v>
      </c>
      <c r="G596" s="4">
        <f>IFERROR(__xludf.DUMMYFUNCTION("GOOGLEFINANCE(""CURRENCY:INRBRL"")*D596"),119.53523552348)</f>
        <v>119.5352355</v>
      </c>
      <c r="H596" s="1">
        <v>4.5</v>
      </c>
      <c r="I596" s="1">
        <v>10689.0</v>
      </c>
      <c r="J596" s="1" t="s">
        <v>1390</v>
      </c>
      <c r="K596" s="5" t="s">
        <v>2279</v>
      </c>
    </row>
    <row r="597">
      <c r="A597" s="1" t="s">
        <v>2280</v>
      </c>
      <c r="B597" s="1" t="s">
        <v>2281</v>
      </c>
      <c r="C597" s="1" t="s">
        <v>1403</v>
      </c>
      <c r="D597" s="2">
        <v>1399.0</v>
      </c>
      <c r="E597" s="2">
        <v>3999.0</v>
      </c>
      <c r="F597" s="3">
        <f t="shared" si="4"/>
        <v>0.6501625406</v>
      </c>
      <c r="G597" s="4">
        <f>IFERROR(__xludf.DUMMYFUNCTION("GOOGLEFINANCE(""CURRENCY:INRBRL"")*D597"),83.65672561148)</f>
        <v>83.65672561</v>
      </c>
      <c r="H597" s="1">
        <v>4.5</v>
      </c>
      <c r="I597" s="1">
        <v>141841.0</v>
      </c>
      <c r="J597" s="1" t="s">
        <v>2282</v>
      </c>
      <c r="K597" s="5" t="s">
        <v>2283</v>
      </c>
    </row>
    <row r="598">
      <c r="A598" s="1" t="s">
        <v>2284</v>
      </c>
      <c r="B598" s="1" t="s">
        <v>2285</v>
      </c>
      <c r="C598" s="1" t="s">
        <v>2286</v>
      </c>
      <c r="D598" s="2">
        <v>349.0</v>
      </c>
      <c r="E598" s="2">
        <v>1499.0</v>
      </c>
      <c r="F598" s="3">
        <f t="shared" si="4"/>
        <v>0.7671781187</v>
      </c>
      <c r="G598" s="4">
        <f>IFERROR(__xludf.DUMMYFUNCTION("GOOGLEFINANCE(""CURRENCY:INRBRL"")*D598"),20.869333265479998)</f>
        <v>20.86933327</v>
      </c>
      <c r="H598" s="1">
        <v>4.5</v>
      </c>
      <c r="I598" s="1">
        <v>24791.0</v>
      </c>
      <c r="J598" s="1" t="s">
        <v>2287</v>
      </c>
      <c r="K598" s="5" t="s">
        <v>2288</v>
      </c>
    </row>
    <row r="599">
      <c r="A599" s="1" t="s">
        <v>2289</v>
      </c>
      <c r="B599" s="1" t="s">
        <v>2290</v>
      </c>
      <c r="C599" s="1" t="s">
        <v>1403</v>
      </c>
      <c r="D599" s="2">
        <v>149.0</v>
      </c>
      <c r="E599" s="2">
        <v>399.0</v>
      </c>
      <c r="F599" s="3">
        <f t="shared" si="4"/>
        <v>0.626566416</v>
      </c>
      <c r="G599" s="4">
        <f>IFERROR(__xludf.DUMMYFUNCTION("GOOGLEFINANCE(""CURRENCY:INRBRL"")*D599"),8.90982996148)</f>
        <v>8.909829961</v>
      </c>
      <c r="H599" s="1">
        <v>4.5</v>
      </c>
      <c r="I599" s="1">
        <v>21764.0</v>
      </c>
      <c r="J599" s="1" t="s">
        <v>2291</v>
      </c>
      <c r="K599" s="5" t="s">
        <v>2292</v>
      </c>
    </row>
    <row r="600">
      <c r="A600" s="1" t="s">
        <v>1401</v>
      </c>
      <c r="B600" s="1" t="s">
        <v>1402</v>
      </c>
      <c r="C600" s="1" t="s">
        <v>1403</v>
      </c>
      <c r="D600" s="2">
        <v>599.0</v>
      </c>
      <c r="E600" s="2">
        <v>999.0</v>
      </c>
      <c r="F600" s="3">
        <f t="shared" si="4"/>
        <v>0.4004004004</v>
      </c>
      <c r="G600" s="4">
        <f>IFERROR(__xludf.DUMMYFUNCTION("GOOGLEFINANCE(""CURRENCY:INRBRL"")*D600"),35.81871239548)</f>
        <v>35.8187124</v>
      </c>
      <c r="H600" s="1">
        <v>4.5</v>
      </c>
      <c r="I600" s="1">
        <v>192587.0</v>
      </c>
      <c r="J600" s="1" t="s">
        <v>1404</v>
      </c>
      <c r="K600" s="5" t="s">
        <v>2293</v>
      </c>
    </row>
    <row r="601">
      <c r="A601" s="1" t="s">
        <v>2294</v>
      </c>
      <c r="B601" s="1" t="s">
        <v>2295</v>
      </c>
      <c r="C601" s="1" t="s">
        <v>2069</v>
      </c>
      <c r="D601" s="2">
        <v>1220.0</v>
      </c>
      <c r="E601" s="2">
        <v>3990.0</v>
      </c>
      <c r="F601" s="3">
        <f t="shared" si="4"/>
        <v>0.694235589</v>
      </c>
      <c r="G601" s="4">
        <f>IFERROR(__xludf.DUMMYFUNCTION("GOOGLEFINANCE(""CURRENCY:INRBRL"")*D601"),72.95297015439999)</f>
        <v>72.95297015</v>
      </c>
      <c r="H601" s="1">
        <v>4.5</v>
      </c>
      <c r="I601" s="1">
        <v>1070151.0</v>
      </c>
      <c r="J601" s="1" t="s">
        <v>2296</v>
      </c>
      <c r="K601" s="5" t="s">
        <v>2297</v>
      </c>
    </row>
    <row r="602">
      <c r="A602" s="1" t="s">
        <v>1397</v>
      </c>
      <c r="B602" s="1" t="s">
        <v>1398</v>
      </c>
      <c r="C602" s="1" t="s">
        <v>1348</v>
      </c>
      <c r="D602" s="2">
        <v>1499.0</v>
      </c>
      <c r="E602" s="2">
        <v>6990.0</v>
      </c>
      <c r="F602" s="3">
        <f t="shared" si="4"/>
        <v>0.7855507868</v>
      </c>
      <c r="G602" s="4">
        <f>IFERROR(__xludf.DUMMYFUNCTION("GOOGLEFINANCE(""CURRENCY:INRBRL"")*D602"),89.63647726347999)</f>
        <v>89.63647726</v>
      </c>
      <c r="H602" s="1">
        <v>4.5</v>
      </c>
      <c r="I602" s="1">
        <v>21797.0</v>
      </c>
      <c r="J602" s="1" t="s">
        <v>1399</v>
      </c>
      <c r="K602" s="5" t="s">
        <v>2298</v>
      </c>
    </row>
    <row r="603">
      <c r="A603" s="1" t="s">
        <v>2299</v>
      </c>
      <c r="B603" s="1" t="s">
        <v>2300</v>
      </c>
      <c r="C603" s="1" t="s">
        <v>1403</v>
      </c>
      <c r="D603" s="2">
        <v>499.0</v>
      </c>
      <c r="E603" s="2">
        <v>999.0</v>
      </c>
      <c r="F603" s="3">
        <f t="shared" si="4"/>
        <v>0.5005005005</v>
      </c>
      <c r="G603" s="4">
        <f>IFERROR(__xludf.DUMMYFUNCTION("GOOGLEFINANCE(""CURRENCY:INRBRL"")*D603"),29.838960743479998)</f>
        <v>29.83896074</v>
      </c>
      <c r="H603" s="1">
        <v>4.5</v>
      </c>
      <c r="I603" s="1">
        <v>92995.0</v>
      </c>
      <c r="J603" s="1" t="s">
        <v>2301</v>
      </c>
      <c r="K603" s="5" t="s">
        <v>2302</v>
      </c>
    </row>
    <row r="604">
      <c r="A604" s="1" t="s">
        <v>2303</v>
      </c>
      <c r="B604" s="1" t="s">
        <v>2304</v>
      </c>
      <c r="C604" s="1" t="s">
        <v>1622</v>
      </c>
      <c r="D604" s="2">
        <v>99.0</v>
      </c>
      <c r="E604" s="2">
        <v>999.0</v>
      </c>
      <c r="F604" s="3">
        <f t="shared" si="4"/>
        <v>0.9009009009</v>
      </c>
      <c r="G604" s="4">
        <f>IFERROR(__xludf.DUMMYFUNCTION("GOOGLEFINANCE(""CURRENCY:INRBRL"")*D604"),5.919954135479999)</f>
        <v>5.919954135</v>
      </c>
      <c r="H604" s="1">
        <v>4.5</v>
      </c>
      <c r="I604" s="1">
        <v>8751.0</v>
      </c>
      <c r="J604" s="1" t="s">
        <v>2152</v>
      </c>
      <c r="K604" s="5" t="s">
        <v>2305</v>
      </c>
    </row>
    <row r="605">
      <c r="A605" s="1" t="s">
        <v>1418</v>
      </c>
      <c r="B605" s="1" t="s">
        <v>1419</v>
      </c>
      <c r="C605" s="1" t="s">
        <v>1420</v>
      </c>
      <c r="D605" s="2">
        <v>349.0</v>
      </c>
      <c r="E605" s="2">
        <v>1299.0</v>
      </c>
      <c r="F605" s="3">
        <f t="shared" si="4"/>
        <v>0.7313317937</v>
      </c>
      <c r="G605" s="4">
        <f>IFERROR(__xludf.DUMMYFUNCTION("GOOGLEFINANCE(""CURRENCY:INRBRL"")*D605"),20.869333265479998)</f>
        <v>20.86933327</v>
      </c>
      <c r="H605" s="1">
        <v>4.5</v>
      </c>
      <c r="I605" s="1">
        <v>14283.0</v>
      </c>
      <c r="J605" s="1" t="s">
        <v>1421</v>
      </c>
      <c r="K605" s="5" t="s">
        <v>2306</v>
      </c>
    </row>
    <row r="606">
      <c r="A606" s="1" t="s">
        <v>2307</v>
      </c>
      <c r="B606" s="1" t="s">
        <v>2308</v>
      </c>
      <c r="C606" s="1" t="s">
        <v>2256</v>
      </c>
      <c r="D606" s="2">
        <v>475.0</v>
      </c>
      <c r="E606" s="2">
        <v>1499.0</v>
      </c>
      <c r="F606" s="3">
        <f t="shared" si="4"/>
        <v>0.6831220814</v>
      </c>
      <c r="G606" s="4">
        <f>IFERROR(__xludf.DUMMYFUNCTION("GOOGLEFINANCE(""CURRENCY:INRBRL"")*D606"),28.403820347)</f>
        <v>28.40382035</v>
      </c>
      <c r="H606" s="1">
        <v>4.5</v>
      </c>
      <c r="I606" s="1">
        <v>64273.0</v>
      </c>
      <c r="J606" s="1" t="s">
        <v>2309</v>
      </c>
      <c r="K606" s="5" t="s">
        <v>2310</v>
      </c>
    </row>
    <row r="607">
      <c r="A607" s="1" t="s">
        <v>2311</v>
      </c>
      <c r="B607" s="1" t="s">
        <v>2312</v>
      </c>
      <c r="C607" s="1" t="s">
        <v>2261</v>
      </c>
      <c r="D607" s="2">
        <v>269.0</v>
      </c>
      <c r="E607" s="2">
        <v>649.0</v>
      </c>
      <c r="F607" s="3">
        <f t="shared" si="4"/>
        <v>0.5855161787</v>
      </c>
      <c r="G607" s="4">
        <f>IFERROR(__xludf.DUMMYFUNCTION("GOOGLEFINANCE(""CURRENCY:INRBRL"")*D607"),16.08553194388)</f>
        <v>16.08553194</v>
      </c>
      <c r="H607" s="1">
        <v>4.5</v>
      </c>
      <c r="I607" s="1">
        <v>54315.0</v>
      </c>
      <c r="J607" s="1" t="s">
        <v>2313</v>
      </c>
      <c r="K607" s="5" t="s">
        <v>2314</v>
      </c>
    </row>
    <row r="608">
      <c r="A608" s="1" t="s">
        <v>2315</v>
      </c>
      <c r="B608" s="1" t="s">
        <v>2316</v>
      </c>
      <c r="C608" s="1" t="s">
        <v>2261</v>
      </c>
      <c r="D608" s="2">
        <v>299.0</v>
      </c>
      <c r="E608" s="2">
        <v>599.0</v>
      </c>
      <c r="F608" s="3">
        <f t="shared" si="4"/>
        <v>0.5008347245</v>
      </c>
      <c r="G608" s="4">
        <f>IFERROR(__xludf.DUMMYFUNCTION("GOOGLEFINANCE(""CURRENCY:INRBRL"")*D608"),17.87945743948)</f>
        <v>17.87945744</v>
      </c>
      <c r="H608" s="1">
        <v>4.5</v>
      </c>
      <c r="I608" s="1">
        <v>1597.0</v>
      </c>
      <c r="J608" s="1" t="s">
        <v>2317</v>
      </c>
      <c r="K608" s="5" t="s">
        <v>2318</v>
      </c>
    </row>
    <row r="609">
      <c r="A609" s="1" t="s">
        <v>1451</v>
      </c>
      <c r="B609" s="1" t="s">
        <v>1452</v>
      </c>
      <c r="C609" s="1" t="s">
        <v>1348</v>
      </c>
      <c r="D609" s="2">
        <v>1599.0</v>
      </c>
      <c r="E609" s="2">
        <v>3999.0</v>
      </c>
      <c r="F609" s="3">
        <f t="shared" si="4"/>
        <v>0.6001500375</v>
      </c>
      <c r="G609" s="4">
        <f>IFERROR(__xludf.DUMMYFUNCTION("GOOGLEFINANCE(""CURRENCY:INRBRL"")*D609"),95.61622891548)</f>
        <v>95.61622892</v>
      </c>
      <c r="H609" s="1">
        <v>4.5</v>
      </c>
      <c r="I609" s="1">
        <v>30254.0</v>
      </c>
      <c r="J609" s="1" t="s">
        <v>1453</v>
      </c>
      <c r="K609" s="5" t="s">
        <v>2319</v>
      </c>
    </row>
    <row r="610">
      <c r="A610" s="1" t="s">
        <v>1455</v>
      </c>
      <c r="B610" s="1" t="s">
        <v>1456</v>
      </c>
      <c r="C610" s="1" t="s">
        <v>1348</v>
      </c>
      <c r="D610" s="2">
        <v>1499.0</v>
      </c>
      <c r="E610" s="2">
        <v>7999.0</v>
      </c>
      <c r="F610" s="3">
        <f t="shared" si="4"/>
        <v>0.8126015752</v>
      </c>
      <c r="G610" s="4">
        <f>IFERROR(__xludf.DUMMYFUNCTION("GOOGLEFINANCE(""CURRENCY:INRBRL"")*D610"),89.63647726347999)</f>
        <v>89.63647726</v>
      </c>
      <c r="H610" s="1">
        <v>4.5</v>
      </c>
      <c r="I610" s="1">
        <v>22638.0</v>
      </c>
      <c r="J610" s="1" t="s">
        <v>1457</v>
      </c>
      <c r="K610" s="5" t="s">
        <v>2320</v>
      </c>
    </row>
    <row r="611">
      <c r="A611" s="1" t="s">
        <v>2321</v>
      </c>
      <c r="B611" s="1" t="s">
        <v>2322</v>
      </c>
      <c r="C611" s="1" t="s">
        <v>1403</v>
      </c>
      <c r="D611" s="2">
        <v>329.0</v>
      </c>
      <c r="E611" s="2">
        <v>999.0</v>
      </c>
      <c r="F611" s="3">
        <f t="shared" si="4"/>
        <v>0.6706706707</v>
      </c>
      <c r="G611" s="4">
        <f>IFERROR(__xludf.DUMMYFUNCTION("GOOGLEFINANCE(""CURRENCY:INRBRL"")*D611"),19.67338293508)</f>
        <v>19.67338294</v>
      </c>
      <c r="H611" s="1">
        <v>4.5</v>
      </c>
      <c r="I611" s="1">
        <v>77027.0</v>
      </c>
      <c r="J611" s="1" t="s">
        <v>2323</v>
      </c>
      <c r="K611" s="5" t="s">
        <v>2324</v>
      </c>
    </row>
    <row r="612">
      <c r="A612" s="1" t="s">
        <v>2325</v>
      </c>
      <c r="B612" s="1" t="s">
        <v>2326</v>
      </c>
      <c r="C612" s="1" t="s">
        <v>2327</v>
      </c>
      <c r="D612" s="2">
        <v>549.0</v>
      </c>
      <c r="E612" s="2">
        <v>1799.0</v>
      </c>
      <c r="F612" s="3">
        <f t="shared" si="4"/>
        <v>0.6948304614</v>
      </c>
      <c r="G612" s="4">
        <f>IFERROR(__xludf.DUMMYFUNCTION("GOOGLEFINANCE(""CURRENCY:INRBRL"")*D612"),32.828836569479996)</f>
        <v>32.82883657</v>
      </c>
      <c r="H612" s="1">
        <v>4.5</v>
      </c>
      <c r="I612" s="1">
        <v>28829.0</v>
      </c>
      <c r="J612" s="1" t="s">
        <v>2328</v>
      </c>
      <c r="K612" s="5" t="s">
        <v>2329</v>
      </c>
    </row>
    <row r="613">
      <c r="A613" s="1" t="s">
        <v>1474</v>
      </c>
      <c r="B613" s="1" t="s">
        <v>1475</v>
      </c>
      <c r="C613" s="1" t="s">
        <v>1348</v>
      </c>
      <c r="D613" s="2">
        <v>2199.0</v>
      </c>
      <c r="E613" s="2">
        <v>9999.0</v>
      </c>
      <c r="F613" s="3">
        <f t="shared" si="4"/>
        <v>0.7800780078</v>
      </c>
      <c r="G613" s="4">
        <f>IFERROR(__xludf.DUMMYFUNCTION("GOOGLEFINANCE(""CURRENCY:INRBRL"")*D613"),131.49473882748)</f>
        <v>131.4947388</v>
      </c>
      <c r="H613" s="1">
        <v>4.5</v>
      </c>
      <c r="I613" s="1">
        <v>29478.0</v>
      </c>
      <c r="J613" s="1" t="s">
        <v>1476</v>
      </c>
      <c r="K613" s="5" t="s">
        <v>2330</v>
      </c>
    </row>
    <row r="614">
      <c r="A614" s="1" t="s">
        <v>2331</v>
      </c>
      <c r="B614" s="1" t="s">
        <v>2332</v>
      </c>
      <c r="C614" s="1" t="s">
        <v>2261</v>
      </c>
      <c r="D614" s="2">
        <v>299.0</v>
      </c>
      <c r="E614" s="2">
        <v>650.0</v>
      </c>
      <c r="F614" s="3">
        <f t="shared" si="4"/>
        <v>0.54</v>
      </c>
      <c r="G614" s="4">
        <f>IFERROR(__xludf.DUMMYFUNCTION("GOOGLEFINANCE(""CURRENCY:INRBRL"")*D614"),17.87945743948)</f>
        <v>17.87945744</v>
      </c>
      <c r="H614" s="1">
        <v>4.5</v>
      </c>
      <c r="I614" s="1">
        <v>33176.0</v>
      </c>
      <c r="J614" s="1" t="s">
        <v>2333</v>
      </c>
      <c r="K614" s="5" t="s">
        <v>2334</v>
      </c>
    </row>
    <row r="615">
      <c r="A615" s="1" t="s">
        <v>2335</v>
      </c>
      <c r="B615" s="1" t="s">
        <v>2336</v>
      </c>
      <c r="C615" s="1" t="s">
        <v>2337</v>
      </c>
      <c r="D615" s="2">
        <v>798.0</v>
      </c>
      <c r="E615" s="2">
        <v>1999.0</v>
      </c>
      <c r="F615" s="3">
        <f t="shared" si="4"/>
        <v>0.6008004002</v>
      </c>
      <c r="G615" s="4">
        <f>IFERROR(__xludf.DUMMYFUNCTION("GOOGLEFINANCE(""CURRENCY:INRBRL"")*D615"),47.718418182959994)</f>
        <v>47.71841818</v>
      </c>
      <c r="H615" s="1">
        <v>4.5</v>
      </c>
      <c r="I615" s="1">
        <v>68664.0</v>
      </c>
      <c r="J615" s="1" t="s">
        <v>2338</v>
      </c>
      <c r="K615" s="5" t="s">
        <v>2339</v>
      </c>
    </row>
    <row r="616">
      <c r="A616" s="1" t="s">
        <v>11</v>
      </c>
      <c r="B616" s="1" t="s">
        <v>12</v>
      </c>
      <c r="C616" s="1" t="s">
        <v>13</v>
      </c>
      <c r="D616" s="2">
        <v>399.0</v>
      </c>
      <c r="E616" s="2">
        <v>1099.0</v>
      </c>
      <c r="F616" s="3">
        <f t="shared" si="4"/>
        <v>0.6369426752</v>
      </c>
      <c r="G616" s="4">
        <f>IFERROR(__xludf.DUMMYFUNCTION("GOOGLEFINANCE(""CURRENCY:INRBRL"")*D616"),23.859209091479997)</f>
        <v>23.85920909</v>
      </c>
      <c r="H616" s="1">
        <v>4.5</v>
      </c>
      <c r="I616" s="1">
        <v>24269.0</v>
      </c>
      <c r="J616" s="1" t="s">
        <v>14</v>
      </c>
      <c r="K616" s="5" t="s">
        <v>2340</v>
      </c>
    </row>
    <row r="617">
      <c r="A617" s="1" t="s">
        <v>2341</v>
      </c>
      <c r="B617" s="1" t="s">
        <v>2342</v>
      </c>
      <c r="C617" s="1" t="s">
        <v>2343</v>
      </c>
      <c r="D617" s="2">
        <v>266.0</v>
      </c>
      <c r="E617" s="2">
        <v>315.0</v>
      </c>
      <c r="F617" s="3">
        <f t="shared" si="4"/>
        <v>0.1555555556</v>
      </c>
      <c r="G617" s="4">
        <f>IFERROR(__xludf.DUMMYFUNCTION("GOOGLEFINANCE(""CURRENCY:INRBRL"")*D617"),15.906139394319998)</f>
        <v>15.90613939</v>
      </c>
      <c r="H617" s="1">
        <v>4.5</v>
      </c>
      <c r="I617" s="1">
        <v>2803.0</v>
      </c>
      <c r="J617" s="1" t="s">
        <v>2344</v>
      </c>
      <c r="K617" s="5" t="s">
        <v>2345</v>
      </c>
    </row>
    <row r="618">
      <c r="A618" s="1" t="s">
        <v>2346</v>
      </c>
      <c r="B618" s="1" t="s">
        <v>2347</v>
      </c>
      <c r="C618" s="1" t="s">
        <v>2348</v>
      </c>
      <c r="D618" s="2">
        <v>50.0</v>
      </c>
      <c r="E618" s="2">
        <v>50.0</v>
      </c>
      <c r="F618" s="3">
        <f t="shared" si="4"/>
        <v>0</v>
      </c>
      <c r="G618" s="4">
        <f>IFERROR(__xludf.DUMMYFUNCTION("GOOGLEFINANCE(""CURRENCY:INRBRL"")*D618"),2.989875826)</f>
        <v>2.989875826</v>
      </c>
      <c r="H618" s="1">
        <v>4.5</v>
      </c>
      <c r="I618" s="1">
        <v>5792.0</v>
      </c>
      <c r="J618" s="1" t="s">
        <v>2349</v>
      </c>
      <c r="K618" s="5" t="s">
        <v>2350</v>
      </c>
    </row>
    <row r="619">
      <c r="A619" s="1" t="s">
        <v>2351</v>
      </c>
      <c r="B619" s="1" t="s">
        <v>2352</v>
      </c>
      <c r="C619" s="1" t="s">
        <v>2353</v>
      </c>
      <c r="D619" s="2">
        <v>130.0</v>
      </c>
      <c r="E619" s="2">
        <v>165.0</v>
      </c>
      <c r="F619" s="3">
        <f t="shared" si="4"/>
        <v>0.2121212121</v>
      </c>
      <c r="G619" s="4">
        <f>IFERROR(__xludf.DUMMYFUNCTION("GOOGLEFINANCE(""CURRENCY:INRBRL"")*D619"),7.7736771476)</f>
        <v>7.773677148</v>
      </c>
      <c r="H619" s="1">
        <v>4.5</v>
      </c>
      <c r="I619" s="1">
        <v>14778.0</v>
      </c>
      <c r="J619" s="1" t="s">
        <v>2354</v>
      </c>
      <c r="K619" s="5" t="s">
        <v>2355</v>
      </c>
    </row>
    <row r="620">
      <c r="A620" s="1" t="s">
        <v>2356</v>
      </c>
      <c r="B620" s="1" t="s">
        <v>2357</v>
      </c>
      <c r="C620" s="1" t="s">
        <v>1403</v>
      </c>
      <c r="D620" s="2">
        <v>449.0</v>
      </c>
      <c r="E620" s="2">
        <v>1299.0</v>
      </c>
      <c r="F620" s="3">
        <f t="shared" si="4"/>
        <v>0.6543494996</v>
      </c>
      <c r="G620" s="4">
        <f>IFERROR(__xludf.DUMMYFUNCTION("GOOGLEFINANCE(""CURRENCY:INRBRL"")*D620"),26.84908491748)</f>
        <v>26.84908492</v>
      </c>
      <c r="H620" s="1">
        <v>4.5</v>
      </c>
      <c r="I620" s="1">
        <v>9177.0</v>
      </c>
      <c r="J620" s="1" t="s">
        <v>2358</v>
      </c>
      <c r="K620" s="5" t="s">
        <v>2359</v>
      </c>
    </row>
    <row r="621">
      <c r="A621" s="1" t="s">
        <v>1508</v>
      </c>
      <c r="B621" s="1" t="s">
        <v>1509</v>
      </c>
      <c r="C621" s="1" t="s">
        <v>1348</v>
      </c>
      <c r="D621" s="2">
        <v>3999.0</v>
      </c>
      <c r="E621" s="2">
        <v>16999.0</v>
      </c>
      <c r="F621" s="3">
        <f t="shared" si="4"/>
        <v>0.7647508677</v>
      </c>
      <c r="G621" s="4">
        <f>IFERROR(__xludf.DUMMYFUNCTION("GOOGLEFINANCE(""CURRENCY:INRBRL"")*D621"),239.13026856347997)</f>
        <v>239.1302686</v>
      </c>
      <c r="H621" s="1">
        <v>4.5</v>
      </c>
      <c r="I621" s="1">
        <v>17162.0</v>
      </c>
      <c r="J621" s="1" t="s">
        <v>1510</v>
      </c>
      <c r="K621" s="5" t="s">
        <v>2360</v>
      </c>
    </row>
    <row r="622">
      <c r="A622" s="1" t="s">
        <v>2361</v>
      </c>
      <c r="B622" s="1" t="s">
        <v>2362</v>
      </c>
      <c r="C622" s="1" t="s">
        <v>1403</v>
      </c>
      <c r="D622" s="2">
        <v>399.0</v>
      </c>
      <c r="E622" s="2">
        <v>1299.0</v>
      </c>
      <c r="F622" s="3">
        <f t="shared" si="4"/>
        <v>0.6928406467</v>
      </c>
      <c r="G622" s="4">
        <f>IFERROR(__xludf.DUMMYFUNCTION("GOOGLEFINANCE(""CURRENCY:INRBRL"")*D622"),23.859209091479997)</f>
        <v>23.85920909</v>
      </c>
      <c r="H622" s="1">
        <v>4.5</v>
      </c>
      <c r="I622" s="1">
        <v>206.0</v>
      </c>
      <c r="J622" s="1" t="s">
        <v>2363</v>
      </c>
      <c r="K622" s="5" t="s">
        <v>2364</v>
      </c>
    </row>
    <row r="623">
      <c r="A623" s="1" t="s">
        <v>2365</v>
      </c>
      <c r="B623" s="1" t="s">
        <v>2366</v>
      </c>
      <c r="C623" s="1" t="s">
        <v>2367</v>
      </c>
      <c r="D623" s="2">
        <v>1399.0</v>
      </c>
      <c r="E623" s="2">
        <v>2498.0</v>
      </c>
      <c r="F623" s="3">
        <f t="shared" si="4"/>
        <v>0.4399519616</v>
      </c>
      <c r="G623" s="4">
        <f>IFERROR(__xludf.DUMMYFUNCTION("GOOGLEFINANCE(""CURRENCY:INRBRL"")*D623"),83.65672561148)</f>
        <v>83.65672561</v>
      </c>
      <c r="H623" s="1">
        <v>4.5</v>
      </c>
      <c r="I623" s="1">
        <v>33717.0</v>
      </c>
      <c r="J623" s="1" t="s">
        <v>2368</v>
      </c>
      <c r="K623" s="5" t="s">
        <v>2369</v>
      </c>
    </row>
    <row r="624">
      <c r="A624" s="1" t="s">
        <v>16</v>
      </c>
      <c r="B624" s="1" t="s">
        <v>17</v>
      </c>
      <c r="C624" s="1" t="s">
        <v>13</v>
      </c>
      <c r="D624" s="2">
        <v>199.0</v>
      </c>
      <c r="E624" s="2">
        <v>349.0</v>
      </c>
      <c r="F624" s="3">
        <f t="shared" si="4"/>
        <v>0.4297994269</v>
      </c>
      <c r="G624" s="4">
        <f>IFERROR(__xludf.DUMMYFUNCTION("GOOGLEFINANCE(""CURRENCY:INRBRL"")*D624"),11.899705787479999)</f>
        <v>11.89970579</v>
      </c>
      <c r="H624" s="1">
        <v>4.5</v>
      </c>
      <c r="I624" s="1">
        <v>43994.0</v>
      </c>
      <c r="J624" s="1" t="s">
        <v>18</v>
      </c>
      <c r="K624" s="5" t="s">
        <v>2370</v>
      </c>
    </row>
    <row r="625">
      <c r="A625" s="1" t="s">
        <v>20</v>
      </c>
      <c r="B625" s="1" t="s">
        <v>21</v>
      </c>
      <c r="C625" s="1" t="s">
        <v>13</v>
      </c>
      <c r="D625" s="2">
        <v>199.0</v>
      </c>
      <c r="E625" s="2">
        <v>999.0</v>
      </c>
      <c r="F625" s="3">
        <f t="shared" si="4"/>
        <v>0.8008008008</v>
      </c>
      <c r="G625" s="4">
        <f>IFERROR(__xludf.DUMMYFUNCTION("GOOGLEFINANCE(""CURRENCY:INRBRL"")*D625"),11.899705787479999)</f>
        <v>11.89970579</v>
      </c>
      <c r="H625" s="1">
        <v>4.5</v>
      </c>
      <c r="I625" s="1">
        <v>7928.0</v>
      </c>
      <c r="J625" s="1" t="s">
        <v>22</v>
      </c>
      <c r="K625" s="5" t="s">
        <v>2371</v>
      </c>
    </row>
    <row r="626">
      <c r="A626" s="1" t="s">
        <v>1512</v>
      </c>
      <c r="B626" s="1" t="s">
        <v>1513</v>
      </c>
      <c r="C626" s="1" t="s">
        <v>1348</v>
      </c>
      <c r="D626" s="2">
        <v>2998.0</v>
      </c>
      <c r="E626" s="2">
        <v>5999.0</v>
      </c>
      <c r="F626" s="3">
        <f t="shared" si="4"/>
        <v>0.5002500417</v>
      </c>
      <c r="G626" s="4">
        <f>IFERROR(__xludf.DUMMYFUNCTION("GOOGLEFINANCE(""CURRENCY:INRBRL"")*D626"),179.27295452695998)</f>
        <v>179.2729545</v>
      </c>
      <c r="H626" s="1">
        <v>4.5</v>
      </c>
      <c r="I626" s="1">
        <v>5179.0</v>
      </c>
      <c r="J626" s="1" t="s">
        <v>1514</v>
      </c>
      <c r="K626" s="5" t="s">
        <v>2372</v>
      </c>
    </row>
    <row r="627">
      <c r="A627" s="1" t="s">
        <v>2373</v>
      </c>
      <c r="B627" s="1" t="s">
        <v>2374</v>
      </c>
      <c r="C627" s="1" t="s">
        <v>2375</v>
      </c>
      <c r="D627" s="2">
        <v>4098.0</v>
      </c>
      <c r="E627" s="2">
        <v>4999.0</v>
      </c>
      <c r="F627" s="3">
        <f t="shared" si="4"/>
        <v>0.1802360472</v>
      </c>
      <c r="G627" s="4">
        <f>IFERROR(__xludf.DUMMYFUNCTION("GOOGLEFINANCE(""CURRENCY:INRBRL"")*D627"),245.05022269896)</f>
        <v>245.0502227</v>
      </c>
      <c r="H627" s="1">
        <v>4.5</v>
      </c>
      <c r="I627" s="1">
        <v>5081.0</v>
      </c>
      <c r="J627" s="1" t="s">
        <v>2376</v>
      </c>
      <c r="K627" s="5" t="s">
        <v>2377</v>
      </c>
    </row>
    <row r="628">
      <c r="A628" s="1" t="s">
        <v>2378</v>
      </c>
      <c r="B628" s="1" t="s">
        <v>2379</v>
      </c>
      <c r="C628" s="1" t="s">
        <v>2380</v>
      </c>
      <c r="D628" s="2">
        <v>499.0</v>
      </c>
      <c r="E628" s="2">
        <v>1999.0</v>
      </c>
      <c r="F628" s="3">
        <f t="shared" si="4"/>
        <v>0.7503751876</v>
      </c>
      <c r="G628" s="4">
        <f>IFERROR(__xludf.DUMMYFUNCTION("GOOGLEFINANCE(""CURRENCY:INRBRL"")*D628"),29.838960743479998)</f>
        <v>29.83896074</v>
      </c>
      <c r="H628" s="1">
        <v>4.5</v>
      </c>
      <c r="I628" s="1">
        <v>3369.0</v>
      </c>
      <c r="J628" s="1" t="s">
        <v>2381</v>
      </c>
      <c r="K628" s="5" t="s">
        <v>2382</v>
      </c>
    </row>
    <row r="629">
      <c r="A629" s="1" t="s">
        <v>2383</v>
      </c>
      <c r="B629" s="1" t="s">
        <v>2384</v>
      </c>
      <c r="C629" s="1" t="s">
        <v>2261</v>
      </c>
      <c r="D629" s="2">
        <v>299.0</v>
      </c>
      <c r="E629" s="2">
        <v>449.0</v>
      </c>
      <c r="F629" s="3">
        <f t="shared" si="4"/>
        <v>0.3340757238</v>
      </c>
      <c r="G629" s="4">
        <f>IFERROR(__xludf.DUMMYFUNCTION("GOOGLEFINANCE(""CURRENCY:INRBRL"")*D629"),17.87945743948)</f>
        <v>17.87945744</v>
      </c>
      <c r="H629" s="1">
        <v>4.5</v>
      </c>
      <c r="I629" s="1">
        <v>11827.0</v>
      </c>
      <c r="J629" s="1" t="s">
        <v>2385</v>
      </c>
      <c r="K629" s="5" t="s">
        <v>2386</v>
      </c>
    </row>
    <row r="630">
      <c r="A630" s="1" t="s">
        <v>24</v>
      </c>
      <c r="B630" s="1" t="s">
        <v>25</v>
      </c>
      <c r="C630" s="1" t="s">
        <v>13</v>
      </c>
      <c r="D630" s="2">
        <v>329.0</v>
      </c>
      <c r="E630" s="2">
        <v>699.0</v>
      </c>
      <c r="F630" s="3">
        <f t="shared" si="4"/>
        <v>0.5293276109</v>
      </c>
      <c r="G630" s="4">
        <f>IFERROR(__xludf.DUMMYFUNCTION("GOOGLEFINANCE(""CURRENCY:INRBRL"")*D630"),19.67338293508)</f>
        <v>19.67338294</v>
      </c>
      <c r="H630" s="1">
        <v>4.5</v>
      </c>
      <c r="I630" s="1">
        <v>94364.0</v>
      </c>
      <c r="J630" s="1" t="s">
        <v>26</v>
      </c>
      <c r="K630" s="5" t="s">
        <v>2387</v>
      </c>
    </row>
    <row r="631">
      <c r="A631" s="1" t="s">
        <v>2388</v>
      </c>
      <c r="B631" s="1" t="s">
        <v>2389</v>
      </c>
      <c r="C631" s="1" t="s">
        <v>2367</v>
      </c>
      <c r="D631" s="2">
        <v>699.0</v>
      </c>
      <c r="E631" s="2">
        <v>999.0</v>
      </c>
      <c r="F631" s="3">
        <f t="shared" si="4"/>
        <v>0.3003003003</v>
      </c>
      <c r="G631" s="4">
        <f>IFERROR(__xludf.DUMMYFUNCTION("GOOGLEFINANCE(""CURRENCY:INRBRL"")*D631"),41.798464047479996)</f>
        <v>41.79846405</v>
      </c>
      <c r="H631" s="1">
        <v>4.5</v>
      </c>
      <c r="I631" s="1">
        <v>15295.0</v>
      </c>
      <c r="J631" s="1" t="s">
        <v>2390</v>
      </c>
      <c r="K631" s="5" t="s">
        <v>2391</v>
      </c>
    </row>
    <row r="632">
      <c r="A632" s="1" t="s">
        <v>2392</v>
      </c>
      <c r="B632" s="1" t="s">
        <v>2393</v>
      </c>
      <c r="C632" s="1" t="s">
        <v>2394</v>
      </c>
      <c r="D632" s="2">
        <v>799.0</v>
      </c>
      <c r="E632" s="2">
        <v>3999.0</v>
      </c>
      <c r="F632" s="3">
        <f t="shared" si="4"/>
        <v>0.80020005</v>
      </c>
      <c r="G632" s="4">
        <f>IFERROR(__xludf.DUMMYFUNCTION("GOOGLEFINANCE(""CURRENCY:INRBRL"")*D632"),47.77821569948)</f>
        <v>47.7782157</v>
      </c>
      <c r="H632" s="1">
        <v>4.5</v>
      </c>
      <c r="I632" s="1">
        <v>27139.0</v>
      </c>
      <c r="J632" s="1" t="s">
        <v>2395</v>
      </c>
      <c r="K632" s="5" t="s">
        <v>2396</v>
      </c>
    </row>
    <row r="633">
      <c r="A633" s="1" t="s">
        <v>2397</v>
      </c>
      <c r="B633" s="1" t="s">
        <v>2398</v>
      </c>
      <c r="C633" s="1" t="s">
        <v>1403</v>
      </c>
      <c r="D633" s="2">
        <v>1399.0</v>
      </c>
      <c r="E633" s="2">
        <v>5499.0</v>
      </c>
      <c r="F633" s="3">
        <f t="shared" si="4"/>
        <v>0.7455901073</v>
      </c>
      <c r="G633" s="4">
        <f>IFERROR(__xludf.DUMMYFUNCTION("GOOGLEFINANCE(""CURRENCY:INRBRL"")*D633"),83.65672561148)</f>
        <v>83.65672561</v>
      </c>
      <c r="H633" s="1">
        <v>4.5</v>
      </c>
      <c r="I633" s="1">
        <v>9504.0</v>
      </c>
      <c r="J633" s="1" t="s">
        <v>2399</v>
      </c>
      <c r="K633" s="5" t="s">
        <v>2400</v>
      </c>
    </row>
    <row r="634">
      <c r="A634" s="1" t="s">
        <v>28</v>
      </c>
      <c r="B634" s="1" t="s">
        <v>29</v>
      </c>
      <c r="C634" s="1" t="s">
        <v>13</v>
      </c>
      <c r="D634" s="2">
        <v>154.0</v>
      </c>
      <c r="E634" s="2">
        <v>399.0</v>
      </c>
      <c r="F634" s="3">
        <f t="shared" si="4"/>
        <v>0.6140350877</v>
      </c>
      <c r="G634" s="4">
        <f>IFERROR(__xludf.DUMMYFUNCTION("GOOGLEFINANCE(""CURRENCY:INRBRL"")*D634"),9.208817544079999)</f>
        <v>9.208817544</v>
      </c>
      <c r="H634" s="1">
        <v>4.5</v>
      </c>
      <c r="I634" s="1">
        <v>16905.0</v>
      </c>
      <c r="J634" s="1" t="s">
        <v>30</v>
      </c>
      <c r="K634" s="5" t="s">
        <v>2401</v>
      </c>
    </row>
    <row r="635">
      <c r="A635" s="1" t="s">
        <v>2402</v>
      </c>
      <c r="B635" s="1" t="s">
        <v>2403</v>
      </c>
      <c r="C635" s="1" t="s">
        <v>2256</v>
      </c>
      <c r="D635" s="2">
        <v>519.0</v>
      </c>
      <c r="E635" s="2">
        <v>1359.0</v>
      </c>
      <c r="F635" s="3">
        <f t="shared" si="4"/>
        <v>0.6181015453</v>
      </c>
      <c r="G635" s="4">
        <f>IFERROR(__xludf.DUMMYFUNCTION("GOOGLEFINANCE(""CURRENCY:INRBRL"")*D635"),31.034911073879996)</f>
        <v>31.03491107</v>
      </c>
      <c r="H635" s="1">
        <v>4.5</v>
      </c>
      <c r="I635" s="1">
        <v>30058.0</v>
      </c>
      <c r="J635" s="1" t="s">
        <v>2404</v>
      </c>
      <c r="K635" s="5" t="s">
        <v>2405</v>
      </c>
    </row>
    <row r="636">
      <c r="A636" s="1" t="s">
        <v>1573</v>
      </c>
      <c r="B636" s="1" t="s">
        <v>1574</v>
      </c>
      <c r="C636" s="1" t="s">
        <v>1348</v>
      </c>
      <c r="D636" s="2">
        <v>2299.0</v>
      </c>
      <c r="E636" s="2">
        <v>7990.0</v>
      </c>
      <c r="F636" s="3">
        <f t="shared" si="4"/>
        <v>0.7122653317</v>
      </c>
      <c r="G636" s="4">
        <f>IFERROR(__xludf.DUMMYFUNCTION("GOOGLEFINANCE(""CURRENCY:INRBRL"")*D636"),137.47449047947998)</f>
        <v>137.4744905</v>
      </c>
      <c r="H636" s="1">
        <v>4.5</v>
      </c>
      <c r="I636" s="1">
        <v>69619.0</v>
      </c>
      <c r="J636" s="1" t="s">
        <v>1575</v>
      </c>
      <c r="K636" s="5" t="s">
        <v>2406</v>
      </c>
    </row>
    <row r="637">
      <c r="A637" s="1" t="s">
        <v>1577</v>
      </c>
      <c r="B637" s="1" t="s">
        <v>1578</v>
      </c>
      <c r="C637" s="1" t="s">
        <v>1579</v>
      </c>
      <c r="D637" s="2">
        <v>399.0</v>
      </c>
      <c r="E637" s="2">
        <v>1999.0</v>
      </c>
      <c r="F637" s="3">
        <f t="shared" si="4"/>
        <v>0.8004002001</v>
      </c>
      <c r="G637" s="4">
        <f>IFERROR(__xludf.DUMMYFUNCTION("GOOGLEFINANCE(""CURRENCY:INRBRL"")*D637"),23.859209091479997)</f>
        <v>23.85920909</v>
      </c>
      <c r="H637" s="1">
        <v>4.5</v>
      </c>
      <c r="I637" s="1">
        <v>3382.0</v>
      </c>
      <c r="J637" s="1" t="s">
        <v>1580</v>
      </c>
      <c r="K637" s="5" t="s">
        <v>2407</v>
      </c>
    </row>
    <row r="638">
      <c r="A638" s="1" t="s">
        <v>2408</v>
      </c>
      <c r="B638" s="1" t="s">
        <v>2409</v>
      </c>
      <c r="C638" s="1" t="s">
        <v>1403</v>
      </c>
      <c r="D638" s="2">
        <v>1499.0</v>
      </c>
      <c r="E638" s="2">
        <v>3999.0</v>
      </c>
      <c r="F638" s="3">
        <f t="shared" si="4"/>
        <v>0.6251562891</v>
      </c>
      <c r="G638" s="4">
        <f>IFERROR(__xludf.DUMMYFUNCTION("GOOGLEFINANCE(""CURRENCY:INRBRL"")*D638"),89.63647726347999)</f>
        <v>89.63647726</v>
      </c>
      <c r="H638" s="1">
        <v>4.5</v>
      </c>
      <c r="I638" s="1">
        <v>1090864.0</v>
      </c>
      <c r="J638" s="1" t="s">
        <v>2410</v>
      </c>
      <c r="K638" s="5" t="s">
        <v>2411</v>
      </c>
    </row>
    <row r="639">
      <c r="A639" s="1" t="s">
        <v>2412</v>
      </c>
      <c r="B639" s="1" t="s">
        <v>2413</v>
      </c>
      <c r="C639" s="1" t="s">
        <v>2414</v>
      </c>
      <c r="D639" s="2">
        <v>1295.0</v>
      </c>
      <c r="E639" s="2">
        <v>1295.0</v>
      </c>
      <c r="F639" s="3">
        <f t="shared" si="4"/>
        <v>0</v>
      </c>
      <c r="G639" s="4">
        <f>IFERROR(__xludf.DUMMYFUNCTION("GOOGLEFINANCE(""CURRENCY:INRBRL"")*D639"),77.4377838934)</f>
        <v>77.43778389</v>
      </c>
      <c r="H639" s="1">
        <v>4.5</v>
      </c>
      <c r="I639" s="1">
        <v>576.0</v>
      </c>
      <c r="J639" s="1" t="s">
        <v>2415</v>
      </c>
      <c r="K639" s="5" t="s">
        <v>2416</v>
      </c>
    </row>
    <row r="640">
      <c r="A640" s="1" t="s">
        <v>2417</v>
      </c>
      <c r="B640" s="1" t="s">
        <v>2418</v>
      </c>
      <c r="C640" s="1" t="s">
        <v>2419</v>
      </c>
      <c r="D640" s="2">
        <v>1889.0</v>
      </c>
      <c r="E640" s="2">
        <v>5499.0</v>
      </c>
      <c r="F640" s="3">
        <f t="shared" si="4"/>
        <v>0.6564829969</v>
      </c>
      <c r="G640" s="4">
        <f>IFERROR(__xludf.DUMMYFUNCTION("GOOGLEFINANCE(""CURRENCY:INRBRL"")*D640"),112.95750870628)</f>
        <v>112.9575087</v>
      </c>
      <c r="H640" s="1">
        <v>4.5</v>
      </c>
      <c r="I640" s="1">
        <v>49551.0</v>
      </c>
      <c r="J640" s="1" t="s">
        <v>2420</v>
      </c>
      <c r="K640" s="5" t="s">
        <v>2421</v>
      </c>
    </row>
    <row r="641">
      <c r="A641" s="1" t="s">
        <v>2422</v>
      </c>
      <c r="B641" s="1" t="s">
        <v>2423</v>
      </c>
      <c r="C641" s="1" t="s">
        <v>1403</v>
      </c>
      <c r="D641" s="2">
        <v>455.0</v>
      </c>
      <c r="E641" s="2">
        <v>1490.0</v>
      </c>
      <c r="F641" s="3">
        <f t="shared" si="4"/>
        <v>0.6946308725</v>
      </c>
      <c r="G641" s="4">
        <f>IFERROR(__xludf.DUMMYFUNCTION("GOOGLEFINANCE(""CURRENCY:INRBRL"")*D641"),27.207870016599998)</f>
        <v>27.20787002</v>
      </c>
      <c r="H641" s="1">
        <v>4.5</v>
      </c>
      <c r="I641" s="1">
        <v>161677.0</v>
      </c>
      <c r="J641" s="1" t="s">
        <v>2424</v>
      </c>
      <c r="K641" s="5" t="s">
        <v>2425</v>
      </c>
    </row>
    <row r="642">
      <c r="A642" s="1" t="s">
        <v>2426</v>
      </c>
      <c r="B642" s="1" t="s">
        <v>2427</v>
      </c>
      <c r="C642" s="1" t="s">
        <v>2428</v>
      </c>
      <c r="D642" s="2">
        <v>399.0</v>
      </c>
      <c r="E642" s="2">
        <v>995.0</v>
      </c>
      <c r="F642" s="3">
        <f t="shared" si="4"/>
        <v>0.5989949749</v>
      </c>
      <c r="G642" s="4">
        <f>IFERROR(__xludf.DUMMYFUNCTION("GOOGLEFINANCE(""CURRENCY:INRBRL"")*D642"),23.859209091479997)</f>
        <v>23.85920909</v>
      </c>
      <c r="H642" s="1">
        <v>4.5</v>
      </c>
      <c r="I642" s="1">
        <v>21372.0</v>
      </c>
      <c r="J642" s="1" t="s">
        <v>2429</v>
      </c>
      <c r="K642" s="5" t="s">
        <v>2430</v>
      </c>
    </row>
    <row r="643">
      <c r="A643" s="1" t="s">
        <v>1582</v>
      </c>
      <c r="B643" s="1" t="s">
        <v>1583</v>
      </c>
      <c r="C643" s="1" t="s">
        <v>1385</v>
      </c>
      <c r="D643" s="2">
        <v>1059.0</v>
      </c>
      <c r="E643" s="2">
        <v>3999.0</v>
      </c>
      <c r="F643" s="3">
        <f t="shared" si="4"/>
        <v>0.7351837959</v>
      </c>
      <c r="G643" s="4">
        <f>IFERROR(__xludf.DUMMYFUNCTION("GOOGLEFINANCE(""CURRENCY:INRBRL"")*D643"),63.325569994679995)</f>
        <v>63.32556999</v>
      </c>
      <c r="H643" s="1">
        <v>4.5</v>
      </c>
      <c r="I643" s="1">
        <v>140035.0</v>
      </c>
      <c r="J643" s="1" t="s">
        <v>1584</v>
      </c>
      <c r="K643" s="5" t="s">
        <v>2431</v>
      </c>
    </row>
    <row r="644">
      <c r="A644" s="1" t="s">
        <v>32</v>
      </c>
      <c r="B644" s="1" t="s">
        <v>33</v>
      </c>
      <c r="C644" s="1" t="s">
        <v>13</v>
      </c>
      <c r="D644" s="2">
        <v>149.0</v>
      </c>
      <c r="E644" s="2">
        <v>999.0</v>
      </c>
      <c r="F644" s="3">
        <f t="shared" si="4"/>
        <v>0.8508508509</v>
      </c>
      <c r="G644" s="4">
        <f>IFERROR(__xludf.DUMMYFUNCTION("GOOGLEFINANCE(""CURRENCY:INRBRL"")*D644"),8.90982996148)</f>
        <v>8.909829961</v>
      </c>
      <c r="H644" s="1">
        <v>4.5</v>
      </c>
      <c r="I644" s="1">
        <v>2487.0</v>
      </c>
      <c r="J644" s="1" t="s">
        <v>34</v>
      </c>
      <c r="K644" s="5" t="s">
        <v>2432</v>
      </c>
    </row>
    <row r="645">
      <c r="A645" s="1" t="s">
        <v>2433</v>
      </c>
      <c r="B645" s="1" t="s">
        <v>2434</v>
      </c>
      <c r="C645" s="1" t="s">
        <v>2435</v>
      </c>
      <c r="D645" s="2">
        <v>717.0</v>
      </c>
      <c r="E645" s="2">
        <v>761.0</v>
      </c>
      <c r="F645" s="3">
        <f t="shared" si="4"/>
        <v>0.05781865966</v>
      </c>
      <c r="G645" s="4">
        <f>IFERROR(__xludf.DUMMYFUNCTION("GOOGLEFINANCE(""CURRENCY:INRBRL"")*D645"),42.87481934484)</f>
        <v>42.87481934</v>
      </c>
      <c r="H645" s="1">
        <v>4.5</v>
      </c>
      <c r="I645" s="1">
        <v>7199.0</v>
      </c>
      <c r="J645" s="1" t="s">
        <v>2436</v>
      </c>
      <c r="K645" s="5" t="s">
        <v>2437</v>
      </c>
    </row>
    <row r="646">
      <c r="A646" s="1" t="s">
        <v>1620</v>
      </c>
      <c r="B646" s="1" t="s">
        <v>1621</v>
      </c>
      <c r="C646" s="1" t="s">
        <v>1622</v>
      </c>
      <c r="D646" s="2">
        <v>99.0</v>
      </c>
      <c r="E646" s="2">
        <v>999.0</v>
      </c>
      <c r="F646" s="3">
        <f t="shared" si="4"/>
        <v>0.9009009009</v>
      </c>
      <c r="G646" s="4">
        <f>IFERROR(__xludf.DUMMYFUNCTION("GOOGLEFINANCE(""CURRENCY:INRBRL"")*D646"),5.919954135479999)</f>
        <v>5.919954135</v>
      </c>
      <c r="H646" s="1">
        <v>4.5</v>
      </c>
      <c r="I646" s="1">
        <v>1396.0</v>
      </c>
      <c r="J646" s="1" t="s">
        <v>1623</v>
      </c>
      <c r="K646" s="5" t="s">
        <v>2438</v>
      </c>
    </row>
    <row r="647">
      <c r="A647" s="1" t="s">
        <v>2439</v>
      </c>
      <c r="B647" s="1" t="s">
        <v>2440</v>
      </c>
      <c r="C647" s="1" t="s">
        <v>2441</v>
      </c>
      <c r="D647" s="2">
        <v>39.0</v>
      </c>
      <c r="E647" s="2">
        <v>299.0</v>
      </c>
      <c r="F647" s="3">
        <f t="shared" si="4"/>
        <v>0.8695652174</v>
      </c>
      <c r="G647" s="4">
        <f>IFERROR(__xludf.DUMMYFUNCTION("GOOGLEFINANCE(""CURRENCY:INRBRL"")*D647"),2.33210314428)</f>
        <v>2.332103144</v>
      </c>
      <c r="H647" s="1">
        <v>4.5</v>
      </c>
      <c r="I647" s="1">
        <v>15233.0</v>
      </c>
      <c r="J647" s="1" t="s">
        <v>2442</v>
      </c>
      <c r="K647" s="5" t="s">
        <v>2443</v>
      </c>
    </row>
    <row r="648">
      <c r="A648" s="1" t="s">
        <v>2444</v>
      </c>
      <c r="B648" s="1" t="s">
        <v>2445</v>
      </c>
      <c r="C648" s="1" t="s">
        <v>2256</v>
      </c>
      <c r="D648" s="2">
        <v>889.0</v>
      </c>
      <c r="E648" s="2">
        <v>2499.0</v>
      </c>
      <c r="F648" s="3">
        <f t="shared" si="4"/>
        <v>0.6442577031</v>
      </c>
      <c r="G648" s="4">
        <f>IFERROR(__xludf.DUMMYFUNCTION("GOOGLEFINANCE(""CURRENCY:INRBRL"")*D648"),53.15999218628)</f>
        <v>53.15999219</v>
      </c>
      <c r="H648" s="1">
        <v>4.5</v>
      </c>
      <c r="I648" s="1">
        <v>55747.0</v>
      </c>
      <c r="J648" s="1" t="s">
        <v>2446</v>
      </c>
      <c r="K648" s="5" t="s">
        <v>2447</v>
      </c>
    </row>
    <row r="649">
      <c r="A649" s="1" t="s">
        <v>2448</v>
      </c>
      <c r="B649" s="1" t="s">
        <v>2449</v>
      </c>
      <c r="C649" s="1" t="s">
        <v>1403</v>
      </c>
      <c r="D649" s="2">
        <v>1199.0</v>
      </c>
      <c r="E649" s="2">
        <v>4999.0</v>
      </c>
      <c r="F649" s="3">
        <f t="shared" si="4"/>
        <v>0.7601520304</v>
      </c>
      <c r="G649" s="4">
        <f>IFERROR(__xludf.DUMMYFUNCTION("GOOGLEFINANCE(""CURRENCY:INRBRL"")*D649"),71.69722230747999)</f>
        <v>71.69722231</v>
      </c>
      <c r="H649" s="1">
        <v>4.5</v>
      </c>
      <c r="I649" s="1">
        <v>14961.0</v>
      </c>
      <c r="J649" s="1" t="s">
        <v>2450</v>
      </c>
      <c r="K649" s="5" t="s">
        <v>2451</v>
      </c>
    </row>
    <row r="650">
      <c r="A650" s="1" t="s">
        <v>2452</v>
      </c>
      <c r="B650" s="1" t="s">
        <v>2453</v>
      </c>
      <c r="C650" s="1" t="s">
        <v>2261</v>
      </c>
      <c r="D650" s="2">
        <v>569.0</v>
      </c>
      <c r="E650" s="2">
        <v>1299.0</v>
      </c>
      <c r="F650" s="3">
        <f t="shared" si="4"/>
        <v>0.5619707467</v>
      </c>
      <c r="G650" s="4">
        <f>IFERROR(__xludf.DUMMYFUNCTION("GOOGLEFINANCE(""CURRENCY:INRBRL"")*D650"),34.02478689988)</f>
        <v>34.0247869</v>
      </c>
      <c r="H650" s="1">
        <v>4.5</v>
      </c>
      <c r="I650" s="1">
        <v>9275.0</v>
      </c>
      <c r="J650" s="1" t="s">
        <v>2454</v>
      </c>
      <c r="K650" s="5" t="s">
        <v>2455</v>
      </c>
    </row>
    <row r="651">
      <c r="A651" s="1" t="s">
        <v>2456</v>
      </c>
      <c r="B651" s="1" t="s">
        <v>2457</v>
      </c>
      <c r="C651" s="1" t="s">
        <v>1403</v>
      </c>
      <c r="D651" s="2">
        <v>1499.0</v>
      </c>
      <c r="E651" s="2">
        <v>8999.0</v>
      </c>
      <c r="F651" s="3">
        <f>((D651-E651)/E651)*-1</f>
        <v>0.8334259362</v>
      </c>
      <c r="G651" s="4">
        <f>IFERROR(__xludf.DUMMYFUNCTION("GOOGLEFINANCE(""CURRENCY:INRBRL"")*D651"),89.63647726347999)</f>
        <v>89.63647726</v>
      </c>
      <c r="H651" s="1">
        <v>4.5</v>
      </c>
      <c r="I651" s="1">
        <v>28324.0</v>
      </c>
      <c r="J651" s="1" t="s">
        <v>2458</v>
      </c>
      <c r="K651" s="5" t="s">
        <v>2459</v>
      </c>
    </row>
    <row r="652">
      <c r="A652" s="1" t="s">
        <v>2460</v>
      </c>
      <c r="B652" s="1" t="s">
        <v>2461</v>
      </c>
      <c r="C652" s="1" t="s">
        <v>2343</v>
      </c>
      <c r="D652" s="2">
        <v>149.0</v>
      </c>
      <c r="E652" s="2">
        <v>180.0</v>
      </c>
      <c r="F652" s="3">
        <f t="shared" ref="F652:F808" si="5">((D652-E652)/-E652)</f>
        <v>0.1722222222</v>
      </c>
      <c r="G652" s="4">
        <f>IFERROR(__xludf.DUMMYFUNCTION("GOOGLEFINANCE(""CURRENCY:INRBRL"")*D652"),8.90982996148)</f>
        <v>8.909829961</v>
      </c>
      <c r="H652" s="1">
        <v>4.5</v>
      </c>
      <c r="I652" s="1">
        <v>644.0</v>
      </c>
      <c r="J652" s="1" t="s">
        <v>2462</v>
      </c>
      <c r="K652" s="5" t="s">
        <v>2463</v>
      </c>
    </row>
    <row r="653">
      <c r="A653" s="1" t="s">
        <v>2464</v>
      </c>
      <c r="B653" s="1" t="s">
        <v>2465</v>
      </c>
      <c r="C653" s="1" t="s">
        <v>2466</v>
      </c>
      <c r="D653" s="2">
        <v>399.0</v>
      </c>
      <c r="E653" s="2">
        <v>549.0</v>
      </c>
      <c r="F653" s="3">
        <f t="shared" si="5"/>
        <v>0.2732240437</v>
      </c>
      <c r="G653" s="4">
        <f>IFERROR(__xludf.DUMMYFUNCTION("GOOGLEFINANCE(""CURRENCY:INRBRL"")*D653"),23.859209091479997)</f>
        <v>23.85920909</v>
      </c>
      <c r="H653" s="1">
        <v>4.5</v>
      </c>
      <c r="I653" s="1">
        <v>18139.0</v>
      </c>
      <c r="J653" s="1" t="s">
        <v>2467</v>
      </c>
      <c r="K653" s="5" t="s">
        <v>2468</v>
      </c>
    </row>
    <row r="654">
      <c r="A654" s="1" t="s">
        <v>2469</v>
      </c>
      <c r="B654" s="1" t="s">
        <v>2470</v>
      </c>
      <c r="C654" s="1" t="s">
        <v>2471</v>
      </c>
      <c r="D654" s="2">
        <v>191.0</v>
      </c>
      <c r="E654" s="2">
        <v>225.0</v>
      </c>
      <c r="F654" s="3">
        <f t="shared" si="5"/>
        <v>0.1511111111</v>
      </c>
      <c r="G654" s="4">
        <f>IFERROR(__xludf.DUMMYFUNCTION("GOOGLEFINANCE(""CURRENCY:INRBRL"")*D654"),11.421325655319999)</f>
        <v>11.42132566</v>
      </c>
      <c r="H654" s="1">
        <v>4.5</v>
      </c>
      <c r="I654" s="1">
        <v>7203.0</v>
      </c>
      <c r="J654" s="1" t="s">
        <v>2472</v>
      </c>
      <c r="K654" s="5" t="s">
        <v>2473</v>
      </c>
    </row>
    <row r="655">
      <c r="A655" s="1" t="s">
        <v>2474</v>
      </c>
      <c r="B655" s="1" t="s">
        <v>2475</v>
      </c>
      <c r="C655" s="1" t="s">
        <v>2476</v>
      </c>
      <c r="D655" s="2">
        <v>129.0</v>
      </c>
      <c r="E655" s="2">
        <v>999.0</v>
      </c>
      <c r="F655" s="3">
        <f t="shared" si="5"/>
        <v>0.8708708709</v>
      </c>
      <c r="G655" s="4">
        <f>IFERROR(__xludf.DUMMYFUNCTION("GOOGLEFINANCE(""CURRENCY:INRBRL"")*D655"),7.713879631079999)</f>
        <v>7.713879631</v>
      </c>
      <c r="H655" s="1">
        <v>4.5</v>
      </c>
      <c r="I655" s="1">
        <v>491.0</v>
      </c>
      <c r="J655" s="1" t="s">
        <v>2477</v>
      </c>
      <c r="K655" s="5" t="s">
        <v>2478</v>
      </c>
    </row>
    <row r="656">
      <c r="A656" s="1" t="s">
        <v>2479</v>
      </c>
      <c r="B656" s="1" t="s">
        <v>2480</v>
      </c>
      <c r="C656" s="1" t="s">
        <v>2481</v>
      </c>
      <c r="D656" s="2">
        <v>199.0</v>
      </c>
      <c r="E656" s="2">
        <v>599.0</v>
      </c>
      <c r="F656" s="3">
        <f t="shared" si="5"/>
        <v>0.6677796327</v>
      </c>
      <c r="G656" s="4">
        <f>IFERROR(__xludf.DUMMYFUNCTION("GOOGLEFINANCE(""CURRENCY:INRBRL"")*D656"),11.899705787479999)</f>
        <v>11.89970579</v>
      </c>
      <c r="H656" s="1">
        <v>4.5</v>
      </c>
      <c r="I656" s="1">
        <v>13568.0</v>
      </c>
      <c r="J656" s="1" t="s">
        <v>2482</v>
      </c>
      <c r="K656" s="5" t="s">
        <v>2483</v>
      </c>
    </row>
    <row r="657">
      <c r="A657" s="1" t="s">
        <v>2484</v>
      </c>
      <c r="B657" s="1" t="s">
        <v>2485</v>
      </c>
      <c r="C657" s="1" t="s">
        <v>1403</v>
      </c>
      <c r="D657" s="2">
        <v>999.0</v>
      </c>
      <c r="E657" s="2">
        <v>4499.0</v>
      </c>
      <c r="F657" s="3">
        <f t="shared" si="5"/>
        <v>0.7779506557</v>
      </c>
      <c r="G657" s="4">
        <f>IFERROR(__xludf.DUMMYFUNCTION("GOOGLEFINANCE(""CURRENCY:INRBRL"")*D657"),59.737719003479995)</f>
        <v>59.737719</v>
      </c>
      <c r="H657" s="1">
        <v>4.5</v>
      </c>
      <c r="I657" s="1">
        <v>339.0</v>
      </c>
      <c r="J657" s="1" t="s">
        <v>2486</v>
      </c>
      <c r="K657" s="5" t="s">
        <v>2487</v>
      </c>
    </row>
    <row r="658">
      <c r="A658" s="1" t="s">
        <v>2488</v>
      </c>
      <c r="B658" s="1" t="s">
        <v>2489</v>
      </c>
      <c r="C658" s="1" t="s">
        <v>1403</v>
      </c>
      <c r="D658" s="2">
        <v>899.0</v>
      </c>
      <c r="E658" s="2">
        <v>4499.0</v>
      </c>
      <c r="F658" s="3">
        <f t="shared" si="5"/>
        <v>0.8001778173</v>
      </c>
      <c r="G658" s="4">
        <f>IFERROR(__xludf.DUMMYFUNCTION("GOOGLEFINANCE(""CURRENCY:INRBRL"")*D658"),53.75796735148)</f>
        <v>53.75796735</v>
      </c>
      <c r="H658" s="1">
        <v>4.5</v>
      </c>
      <c r="I658" s="1">
        <v>1031952.0</v>
      </c>
      <c r="J658" s="1" t="s">
        <v>2490</v>
      </c>
      <c r="K658" s="5" t="s">
        <v>2491</v>
      </c>
    </row>
    <row r="659">
      <c r="A659" s="1" t="s">
        <v>1657</v>
      </c>
      <c r="B659" s="1" t="s">
        <v>1658</v>
      </c>
      <c r="C659" s="1" t="s">
        <v>1361</v>
      </c>
      <c r="D659" s="2">
        <v>1799.0</v>
      </c>
      <c r="E659" s="2">
        <v>2499.0</v>
      </c>
      <c r="F659" s="3">
        <f t="shared" si="5"/>
        <v>0.2801120448</v>
      </c>
      <c r="G659" s="4">
        <f>IFERROR(__xludf.DUMMYFUNCTION("GOOGLEFINANCE(""CURRENCY:INRBRL"")*D659"),107.57573221947999)</f>
        <v>107.5757322</v>
      </c>
      <c r="H659" s="1">
        <v>4.5</v>
      </c>
      <c r="I659" s="1">
        <v>18678.0</v>
      </c>
      <c r="J659" s="1" t="s">
        <v>1659</v>
      </c>
      <c r="K659" s="5" t="s">
        <v>2492</v>
      </c>
    </row>
    <row r="660">
      <c r="A660" s="1" t="s">
        <v>36</v>
      </c>
      <c r="B660" s="1" t="s">
        <v>37</v>
      </c>
      <c r="C660" s="1" t="s">
        <v>13</v>
      </c>
      <c r="D660" s="2">
        <v>176.68</v>
      </c>
      <c r="E660" s="2">
        <v>499.0</v>
      </c>
      <c r="F660" s="3">
        <f t="shared" si="5"/>
        <v>0.6459318637</v>
      </c>
      <c r="G660" s="4">
        <f>IFERROR(__xludf.DUMMYFUNCTION("GOOGLEFINANCE(""CURRENCY:INRBRL"")*D660"),10.5650252187536)</f>
        <v>10.56502522</v>
      </c>
      <c r="H660" s="1">
        <v>4.5</v>
      </c>
      <c r="I660" s="1">
        <v>15189.0</v>
      </c>
      <c r="J660" s="1" t="s">
        <v>38</v>
      </c>
      <c r="K660" s="5" t="s">
        <v>2493</v>
      </c>
    </row>
    <row r="661">
      <c r="A661" s="1" t="s">
        <v>2494</v>
      </c>
      <c r="B661" s="1" t="s">
        <v>2495</v>
      </c>
      <c r="C661" s="1" t="s">
        <v>2414</v>
      </c>
      <c r="D661" s="2">
        <v>522.0</v>
      </c>
      <c r="E661" s="2">
        <v>550.0</v>
      </c>
      <c r="F661" s="3">
        <f t="shared" si="5"/>
        <v>0.05090909091</v>
      </c>
      <c r="G661" s="4">
        <f>IFERROR(__xludf.DUMMYFUNCTION("GOOGLEFINANCE(""CURRENCY:INRBRL"")*D661"),31.21430362344)</f>
        <v>31.21430362</v>
      </c>
      <c r="H661" s="1">
        <v>4.5</v>
      </c>
      <c r="I661" s="1">
        <v>12179.0</v>
      </c>
      <c r="J661" s="1" t="s">
        <v>2496</v>
      </c>
      <c r="K661" s="5" t="s">
        <v>2497</v>
      </c>
    </row>
    <row r="662">
      <c r="A662" s="1" t="s">
        <v>2498</v>
      </c>
      <c r="B662" s="1" t="s">
        <v>2499</v>
      </c>
      <c r="C662" s="1" t="s">
        <v>2500</v>
      </c>
      <c r="D662" s="2">
        <v>799.0</v>
      </c>
      <c r="E662" s="2">
        <v>1999.0</v>
      </c>
      <c r="F662" s="3">
        <f t="shared" si="5"/>
        <v>0.6003001501</v>
      </c>
      <c r="G662" s="4">
        <f>IFERROR(__xludf.DUMMYFUNCTION("GOOGLEFINANCE(""CURRENCY:INRBRL"")*D662"),47.77821569948)</f>
        <v>47.7782157</v>
      </c>
      <c r="H662" s="1">
        <v>4.5</v>
      </c>
      <c r="I662" s="1">
        <v>12958.0</v>
      </c>
      <c r="J662" s="1" t="s">
        <v>2501</v>
      </c>
      <c r="K662" s="5" t="s">
        <v>2502</v>
      </c>
    </row>
    <row r="663">
      <c r="A663" s="1" t="s">
        <v>2503</v>
      </c>
      <c r="B663" s="1" t="s">
        <v>2504</v>
      </c>
      <c r="C663" s="1" t="s">
        <v>2261</v>
      </c>
      <c r="D663" s="2">
        <v>681.0</v>
      </c>
      <c r="E663" s="2">
        <v>1199.0</v>
      </c>
      <c r="F663" s="3">
        <f t="shared" si="5"/>
        <v>0.4320266889</v>
      </c>
      <c r="G663" s="4">
        <f>IFERROR(__xludf.DUMMYFUNCTION("GOOGLEFINANCE(""CURRENCY:INRBRL"")*D663"),40.72210875012)</f>
        <v>40.72210875</v>
      </c>
      <c r="H663" s="1">
        <v>4.5</v>
      </c>
      <c r="I663" s="1">
        <v>8258.0</v>
      </c>
      <c r="J663" s="1" t="s">
        <v>2505</v>
      </c>
      <c r="K663" s="5" t="s">
        <v>2506</v>
      </c>
    </row>
    <row r="664">
      <c r="A664" s="1" t="s">
        <v>2507</v>
      </c>
      <c r="B664" s="1" t="s">
        <v>2508</v>
      </c>
      <c r="C664" s="1" t="s">
        <v>2509</v>
      </c>
      <c r="D664" s="2">
        <v>1199.0</v>
      </c>
      <c r="E664" s="2">
        <v>3490.0</v>
      </c>
      <c r="F664" s="3">
        <f t="shared" si="5"/>
        <v>0.6564469914</v>
      </c>
      <c r="G664" s="4">
        <f>IFERROR(__xludf.DUMMYFUNCTION("GOOGLEFINANCE(""CURRENCY:INRBRL"")*D664"),71.69722230747999)</f>
        <v>71.69722231</v>
      </c>
      <c r="H664" s="1">
        <v>4.5</v>
      </c>
      <c r="I664" s="1">
        <v>11716.0</v>
      </c>
      <c r="J664" s="1" t="s">
        <v>2510</v>
      </c>
      <c r="K664" s="5" t="s">
        <v>2511</v>
      </c>
    </row>
    <row r="665">
      <c r="A665" s="1" t="s">
        <v>2512</v>
      </c>
      <c r="B665" s="1" t="s">
        <v>2513</v>
      </c>
      <c r="C665" s="1" t="s">
        <v>2514</v>
      </c>
      <c r="D665" s="2">
        <v>2499.0</v>
      </c>
      <c r="E665" s="2">
        <v>4999.0</v>
      </c>
      <c r="F665" s="3">
        <f t="shared" si="5"/>
        <v>0.50010002</v>
      </c>
      <c r="G665" s="4">
        <f>IFERROR(__xludf.DUMMYFUNCTION("GOOGLEFINANCE(""CURRENCY:INRBRL"")*D665"),149.43399378348)</f>
        <v>149.4339938</v>
      </c>
      <c r="H665" s="1">
        <v>4.5</v>
      </c>
      <c r="I665" s="1">
        <v>35024.0</v>
      </c>
      <c r="J665" s="1" t="s">
        <v>2515</v>
      </c>
      <c r="K665" s="5" t="s">
        <v>2516</v>
      </c>
    </row>
    <row r="666">
      <c r="A666" s="1" t="s">
        <v>2517</v>
      </c>
      <c r="B666" s="1" t="s">
        <v>2518</v>
      </c>
      <c r="C666" s="1" t="s">
        <v>2519</v>
      </c>
      <c r="D666" s="2">
        <v>1799.0</v>
      </c>
      <c r="E666" s="2">
        <v>4999.0</v>
      </c>
      <c r="F666" s="3">
        <f t="shared" si="5"/>
        <v>0.6401280256</v>
      </c>
      <c r="G666" s="4">
        <f>IFERROR(__xludf.DUMMYFUNCTION("GOOGLEFINANCE(""CURRENCY:INRBRL"")*D666"),107.57573221947999)</f>
        <v>107.5757322</v>
      </c>
      <c r="H666" s="1">
        <v>4.5</v>
      </c>
      <c r="I666" s="1">
        <v>55192.0</v>
      </c>
      <c r="J666" s="1" t="s">
        <v>2520</v>
      </c>
      <c r="K666" s="5" t="s">
        <v>2521</v>
      </c>
    </row>
    <row r="667">
      <c r="A667" s="1" t="s">
        <v>2522</v>
      </c>
      <c r="B667" s="1" t="s">
        <v>2523</v>
      </c>
      <c r="C667" s="1" t="s">
        <v>1403</v>
      </c>
      <c r="D667" s="2">
        <v>429.0</v>
      </c>
      <c r="E667" s="2">
        <v>599.0</v>
      </c>
      <c r="F667" s="3">
        <f t="shared" si="5"/>
        <v>0.2838063439</v>
      </c>
      <c r="G667" s="4">
        <f>IFERROR(__xludf.DUMMYFUNCTION("GOOGLEFINANCE(""CURRENCY:INRBRL"")*D667"),25.653134587079997)</f>
        <v>25.65313459</v>
      </c>
      <c r="H667" s="1">
        <v>4.5</v>
      </c>
      <c r="I667" s="1">
        <v>119466.0</v>
      </c>
      <c r="J667" s="1" t="s">
        <v>2524</v>
      </c>
      <c r="K667" s="5" t="s">
        <v>2525</v>
      </c>
    </row>
    <row r="668">
      <c r="A668" s="1" t="s">
        <v>2526</v>
      </c>
      <c r="B668" s="1" t="s">
        <v>2527</v>
      </c>
      <c r="C668" s="1" t="s">
        <v>2266</v>
      </c>
      <c r="D668" s="2">
        <v>100.0</v>
      </c>
      <c r="E668" s="2">
        <v>499.0</v>
      </c>
      <c r="F668" s="3">
        <f t="shared" si="5"/>
        <v>0.7995991984</v>
      </c>
      <c r="G668" s="4">
        <f>IFERROR(__xludf.DUMMYFUNCTION("GOOGLEFINANCE(""CURRENCY:INRBRL"")*D668"),5.979751652)</f>
        <v>5.979751652</v>
      </c>
      <c r="H668" s="1">
        <v>4.5</v>
      </c>
      <c r="I668" s="1">
        <v>9638.0</v>
      </c>
      <c r="J668" s="1" t="s">
        <v>2528</v>
      </c>
      <c r="K668" s="5" t="s">
        <v>2529</v>
      </c>
    </row>
    <row r="669">
      <c r="A669" s="1" t="s">
        <v>2530</v>
      </c>
      <c r="B669" s="1" t="s">
        <v>2531</v>
      </c>
      <c r="C669" s="1" t="s">
        <v>2327</v>
      </c>
      <c r="D669" s="2">
        <v>329.0</v>
      </c>
      <c r="E669" s="2">
        <v>399.0</v>
      </c>
      <c r="F669" s="3">
        <f t="shared" si="5"/>
        <v>0.1754385965</v>
      </c>
      <c r="G669" s="4">
        <f>IFERROR(__xludf.DUMMYFUNCTION("GOOGLEFINANCE(""CURRENCY:INRBRL"")*D669"),19.67338293508)</f>
        <v>19.67338294</v>
      </c>
      <c r="H669" s="1">
        <v>4.5</v>
      </c>
      <c r="I669" s="1">
        <v>33735.0</v>
      </c>
      <c r="J669" s="1" t="s">
        <v>2532</v>
      </c>
      <c r="K669" s="5" t="s">
        <v>2533</v>
      </c>
    </row>
    <row r="670">
      <c r="A670" s="1" t="s">
        <v>40</v>
      </c>
      <c r="B670" s="1" t="s">
        <v>41</v>
      </c>
      <c r="C670" s="1" t="s">
        <v>13</v>
      </c>
      <c r="D670" s="2">
        <v>229.0</v>
      </c>
      <c r="E670" s="2">
        <v>299.0</v>
      </c>
      <c r="F670" s="3">
        <f t="shared" si="5"/>
        <v>0.2341137124</v>
      </c>
      <c r="G670" s="4">
        <f>IFERROR(__xludf.DUMMYFUNCTION("GOOGLEFINANCE(""CURRENCY:INRBRL"")*D670"),13.693631283079998)</f>
        <v>13.69363128</v>
      </c>
      <c r="H670" s="1">
        <v>4.5</v>
      </c>
      <c r="I670" s="1">
        <v>30411.0</v>
      </c>
      <c r="J670" s="1" t="s">
        <v>42</v>
      </c>
      <c r="K670" s="5" t="s">
        <v>2534</v>
      </c>
    </row>
    <row r="671">
      <c r="A671" s="1" t="s">
        <v>2535</v>
      </c>
      <c r="B671" s="1" t="s">
        <v>2536</v>
      </c>
      <c r="C671" s="1" t="s">
        <v>2261</v>
      </c>
      <c r="D671" s="2">
        <v>139.0</v>
      </c>
      <c r="E671" s="2">
        <v>299.0</v>
      </c>
      <c r="F671" s="3">
        <f t="shared" si="5"/>
        <v>0.5351170569</v>
      </c>
      <c r="G671" s="4">
        <f>IFERROR(__xludf.DUMMYFUNCTION("GOOGLEFINANCE(""CURRENCY:INRBRL"")*D671"),8.311854796279999)</f>
        <v>8.311854796</v>
      </c>
      <c r="H671" s="1">
        <v>4.5</v>
      </c>
      <c r="I671" s="1">
        <v>3044.0</v>
      </c>
      <c r="J671" s="1" t="s">
        <v>2537</v>
      </c>
      <c r="K671" s="5" t="s">
        <v>2538</v>
      </c>
    </row>
    <row r="672">
      <c r="A672" s="1" t="s">
        <v>2539</v>
      </c>
      <c r="B672" s="1" t="s">
        <v>2540</v>
      </c>
      <c r="C672" s="1" t="s">
        <v>2069</v>
      </c>
      <c r="D672" s="2">
        <v>1199.0</v>
      </c>
      <c r="E672" s="2">
        <v>2499.0</v>
      </c>
      <c r="F672" s="3">
        <f t="shared" si="5"/>
        <v>0.5202080832</v>
      </c>
      <c r="G672" s="4">
        <f>IFERROR(__xludf.DUMMYFUNCTION("GOOGLEFINANCE(""CURRENCY:INRBRL"")*D672"),71.69722230747999)</f>
        <v>71.69722231</v>
      </c>
      <c r="H672" s="1">
        <v>4.5</v>
      </c>
      <c r="I672" s="1">
        <v>33584.0</v>
      </c>
      <c r="J672" s="1" t="s">
        <v>2541</v>
      </c>
      <c r="K672" s="5" t="s">
        <v>2542</v>
      </c>
    </row>
    <row r="673">
      <c r="A673" s="1" t="s">
        <v>2543</v>
      </c>
      <c r="B673" s="1" t="s">
        <v>2544</v>
      </c>
      <c r="C673" s="1" t="s">
        <v>2545</v>
      </c>
      <c r="D673" s="2">
        <v>1049.0</v>
      </c>
      <c r="E673" s="2">
        <v>2299.0</v>
      </c>
      <c r="F673" s="3">
        <f t="shared" si="5"/>
        <v>0.5437146585</v>
      </c>
      <c r="G673" s="4">
        <f>IFERROR(__xludf.DUMMYFUNCTION("GOOGLEFINANCE(""CURRENCY:INRBRL"")*D673"),62.72759482948)</f>
        <v>62.72759483</v>
      </c>
      <c r="H673" s="1">
        <v>4.5</v>
      </c>
      <c r="I673" s="1">
        <v>1779.0</v>
      </c>
      <c r="J673" s="1" t="s">
        <v>2546</v>
      </c>
      <c r="K673" s="5" t="s">
        <v>2547</v>
      </c>
    </row>
    <row r="674">
      <c r="A674" s="1" t="s">
        <v>1679</v>
      </c>
      <c r="B674" s="1" t="s">
        <v>1680</v>
      </c>
      <c r="C674" s="1" t="s">
        <v>1681</v>
      </c>
      <c r="D674" s="2">
        <v>119.0</v>
      </c>
      <c r="E674" s="2">
        <v>299.0</v>
      </c>
      <c r="F674" s="3">
        <f t="shared" si="5"/>
        <v>0.602006689</v>
      </c>
      <c r="G674" s="4">
        <f>IFERROR(__xludf.DUMMYFUNCTION("GOOGLEFINANCE(""CURRENCY:INRBRL"")*D674"),7.11590446588)</f>
        <v>7.115904466</v>
      </c>
      <c r="H674" s="1">
        <v>4.5</v>
      </c>
      <c r="I674" s="1">
        <v>5999.0</v>
      </c>
      <c r="J674" s="1" t="s">
        <v>1682</v>
      </c>
      <c r="K674" s="5" t="s">
        <v>2548</v>
      </c>
    </row>
    <row r="675">
      <c r="A675" s="1" t="s">
        <v>53</v>
      </c>
      <c r="B675" s="1" t="s">
        <v>54</v>
      </c>
      <c r="C675" s="1" t="s">
        <v>13</v>
      </c>
      <c r="D675" s="2">
        <v>154.0</v>
      </c>
      <c r="E675" s="2">
        <v>339.0</v>
      </c>
      <c r="F675" s="3">
        <f t="shared" si="5"/>
        <v>0.5457227139</v>
      </c>
      <c r="G675" s="4">
        <f>IFERROR(__xludf.DUMMYFUNCTION("GOOGLEFINANCE(""CURRENCY:INRBRL"")*D675"),9.208817544079999)</f>
        <v>9.208817544</v>
      </c>
      <c r="H675" s="1">
        <v>4.5</v>
      </c>
      <c r="I675" s="1">
        <v>13391.0</v>
      </c>
      <c r="J675" s="1" t="s">
        <v>55</v>
      </c>
      <c r="K675" s="5" t="s">
        <v>2549</v>
      </c>
    </row>
    <row r="676">
      <c r="A676" s="1" t="s">
        <v>2550</v>
      </c>
      <c r="B676" s="1" t="s">
        <v>2551</v>
      </c>
      <c r="C676" s="1" t="s">
        <v>2552</v>
      </c>
      <c r="D676" s="2">
        <v>225.0</v>
      </c>
      <c r="E676" s="2">
        <v>250.0</v>
      </c>
      <c r="F676" s="3">
        <f t="shared" si="5"/>
        <v>0.1</v>
      </c>
      <c r="G676" s="4">
        <f>IFERROR(__xludf.DUMMYFUNCTION("GOOGLEFINANCE(""CURRENCY:INRBRL"")*D676"),13.454441217)</f>
        <v>13.45444122</v>
      </c>
      <c r="H676" s="1">
        <v>4.5</v>
      </c>
      <c r="I676" s="1">
        <v>26556.0</v>
      </c>
      <c r="J676" s="1" t="s">
        <v>2553</v>
      </c>
      <c r="K676" s="5" t="s">
        <v>2554</v>
      </c>
    </row>
    <row r="677">
      <c r="A677" s="1" t="s">
        <v>2555</v>
      </c>
      <c r="B677" s="1" t="s">
        <v>2556</v>
      </c>
      <c r="C677" s="1" t="s">
        <v>2275</v>
      </c>
      <c r="D677" s="2">
        <v>656.0</v>
      </c>
      <c r="E677" s="2">
        <v>1499.0</v>
      </c>
      <c r="F677" s="3">
        <f t="shared" si="5"/>
        <v>0.5623749166</v>
      </c>
      <c r="G677" s="4">
        <f>IFERROR(__xludf.DUMMYFUNCTION("GOOGLEFINANCE(""CURRENCY:INRBRL"")*D677"),39.22717083712)</f>
        <v>39.22717084</v>
      </c>
      <c r="H677" s="1">
        <v>4.5</v>
      </c>
      <c r="I677" s="1">
        <v>25903.0</v>
      </c>
      <c r="J677" s="1" t="s">
        <v>2557</v>
      </c>
      <c r="K677" s="5" t="s">
        <v>2558</v>
      </c>
    </row>
    <row r="678">
      <c r="A678" s="1" t="s">
        <v>2559</v>
      </c>
      <c r="B678" s="1" t="s">
        <v>2560</v>
      </c>
      <c r="C678" s="1" t="s">
        <v>2256</v>
      </c>
      <c r="D678" s="2">
        <v>1109.0</v>
      </c>
      <c r="E678" s="2">
        <v>2799.0</v>
      </c>
      <c r="F678" s="3">
        <f t="shared" si="5"/>
        <v>0.6037870668</v>
      </c>
      <c r="G678" s="4">
        <f>IFERROR(__xludf.DUMMYFUNCTION("GOOGLEFINANCE(""CURRENCY:INRBRL"")*D678"),66.31544582068)</f>
        <v>66.31544582</v>
      </c>
      <c r="H678" s="1">
        <v>4.5</v>
      </c>
      <c r="I678" s="1">
        <v>53464.0</v>
      </c>
      <c r="J678" s="1" t="s">
        <v>2561</v>
      </c>
      <c r="K678" s="5" t="s">
        <v>2562</v>
      </c>
    </row>
    <row r="679">
      <c r="A679" s="1" t="s">
        <v>1665</v>
      </c>
      <c r="B679" s="1" t="s">
        <v>1666</v>
      </c>
      <c r="C679" s="1" t="s">
        <v>1348</v>
      </c>
      <c r="D679" s="2">
        <v>2999.0</v>
      </c>
      <c r="E679" s="2">
        <v>7999.0</v>
      </c>
      <c r="F679" s="3">
        <f t="shared" si="5"/>
        <v>0.6250781348</v>
      </c>
      <c r="G679" s="4">
        <f>IFERROR(__xludf.DUMMYFUNCTION("GOOGLEFINANCE(""CURRENCY:INRBRL"")*D679"),179.33275204347999)</f>
        <v>179.332752</v>
      </c>
      <c r="H679" s="1">
        <v>4.5</v>
      </c>
      <c r="I679" s="1">
        <v>48448.0</v>
      </c>
      <c r="J679" s="1" t="s">
        <v>1575</v>
      </c>
      <c r="K679" s="5" t="s">
        <v>2563</v>
      </c>
    </row>
    <row r="680">
      <c r="A680" s="1" t="s">
        <v>2564</v>
      </c>
      <c r="B680" s="1" t="s">
        <v>2565</v>
      </c>
      <c r="C680" s="1" t="s">
        <v>2476</v>
      </c>
      <c r="D680" s="2">
        <v>169.0</v>
      </c>
      <c r="E680" s="2">
        <v>299.0</v>
      </c>
      <c r="F680" s="3">
        <f t="shared" si="5"/>
        <v>0.4347826087</v>
      </c>
      <c r="G680" s="4">
        <f>IFERROR(__xludf.DUMMYFUNCTION("GOOGLEFINANCE(""CURRENCY:INRBRL"")*D680"),10.105780291879999)</f>
        <v>10.10578029</v>
      </c>
      <c r="H680" s="1">
        <v>4.5</v>
      </c>
      <c r="I680" s="1">
        <v>5176.0</v>
      </c>
      <c r="J680" s="1" t="s">
        <v>2566</v>
      </c>
      <c r="K680" s="5" t="s">
        <v>2567</v>
      </c>
    </row>
    <row r="681">
      <c r="A681" s="1" t="s">
        <v>2568</v>
      </c>
      <c r="B681" s="1" t="s">
        <v>2569</v>
      </c>
      <c r="C681" s="1" t="s">
        <v>2435</v>
      </c>
      <c r="D681" s="2">
        <v>309.0</v>
      </c>
      <c r="E681" s="2">
        <v>404.0</v>
      </c>
      <c r="F681" s="3">
        <f t="shared" si="5"/>
        <v>0.2351485149</v>
      </c>
      <c r="G681" s="4">
        <f>IFERROR(__xludf.DUMMYFUNCTION("GOOGLEFINANCE(""CURRENCY:INRBRL"")*D681"),18.47743260468)</f>
        <v>18.4774326</v>
      </c>
      <c r="H681" s="1">
        <v>4.5</v>
      </c>
      <c r="I681" s="1">
        <v>8614.0</v>
      </c>
      <c r="J681" s="1" t="s">
        <v>2570</v>
      </c>
      <c r="K681" s="5" t="s">
        <v>2571</v>
      </c>
    </row>
    <row r="682">
      <c r="A682" s="1" t="s">
        <v>2572</v>
      </c>
      <c r="B682" s="1" t="s">
        <v>2573</v>
      </c>
      <c r="C682" s="1" t="s">
        <v>2069</v>
      </c>
      <c r="D682" s="2">
        <v>599.0</v>
      </c>
      <c r="E682" s="2">
        <v>1399.0</v>
      </c>
      <c r="F682" s="3">
        <f t="shared" si="5"/>
        <v>0.5718370264</v>
      </c>
      <c r="G682" s="4">
        <f>IFERROR(__xludf.DUMMYFUNCTION("GOOGLEFINANCE(""CURRENCY:INRBRL"")*D682"),35.81871239548)</f>
        <v>35.8187124</v>
      </c>
      <c r="H682" s="1">
        <v>4.5</v>
      </c>
      <c r="I682" s="1">
        <v>60026.0</v>
      </c>
      <c r="J682" s="1" t="s">
        <v>2574</v>
      </c>
      <c r="K682" s="5" t="s">
        <v>2575</v>
      </c>
    </row>
    <row r="683">
      <c r="A683" s="1" t="s">
        <v>2576</v>
      </c>
      <c r="B683" s="1" t="s">
        <v>2577</v>
      </c>
      <c r="C683" s="1" t="s">
        <v>2327</v>
      </c>
      <c r="D683" s="2">
        <v>299.0</v>
      </c>
      <c r="E683" s="2">
        <v>599.0</v>
      </c>
      <c r="F683" s="3">
        <f t="shared" si="5"/>
        <v>0.5008347245</v>
      </c>
      <c r="G683" s="4">
        <f>IFERROR(__xludf.DUMMYFUNCTION("GOOGLEFINANCE(""CURRENCY:INRBRL"")*D683"),17.87945743948)</f>
        <v>17.87945744</v>
      </c>
      <c r="H683" s="1">
        <v>4.5</v>
      </c>
      <c r="I683" s="1">
        <v>3066.0</v>
      </c>
      <c r="J683" s="1" t="s">
        <v>2578</v>
      </c>
      <c r="K683" s="5" t="s">
        <v>2579</v>
      </c>
    </row>
    <row r="684">
      <c r="A684" s="1" t="s">
        <v>2580</v>
      </c>
      <c r="B684" s="1" t="s">
        <v>2581</v>
      </c>
      <c r="C684" s="1" t="s">
        <v>2275</v>
      </c>
      <c r="D684" s="2">
        <v>449.0</v>
      </c>
      <c r="E684" s="2">
        <v>999.0</v>
      </c>
      <c r="F684" s="3">
        <f t="shared" si="5"/>
        <v>0.5505505506</v>
      </c>
      <c r="G684" s="4">
        <f>IFERROR(__xludf.DUMMYFUNCTION("GOOGLEFINANCE(""CURRENCY:INRBRL"")*D684"),26.84908491748)</f>
        <v>26.84908492</v>
      </c>
      <c r="H684" s="1">
        <v>4.5</v>
      </c>
      <c r="I684" s="1">
        <v>2102.0</v>
      </c>
      <c r="J684" s="1" t="s">
        <v>2582</v>
      </c>
      <c r="K684" s="5" t="s">
        <v>2583</v>
      </c>
    </row>
    <row r="685">
      <c r="A685" s="1" t="s">
        <v>2584</v>
      </c>
      <c r="B685" s="1" t="s">
        <v>2585</v>
      </c>
      <c r="C685" s="1" t="s">
        <v>2261</v>
      </c>
      <c r="D685" s="2">
        <v>799.0</v>
      </c>
      <c r="E685" s="2">
        <v>1295.0</v>
      </c>
      <c r="F685" s="3">
        <f t="shared" si="5"/>
        <v>0.383011583</v>
      </c>
      <c r="G685" s="4">
        <f>IFERROR(__xludf.DUMMYFUNCTION("GOOGLEFINANCE(""CURRENCY:INRBRL"")*D685"),47.77821569948)</f>
        <v>47.7782157</v>
      </c>
      <c r="H685" s="1">
        <v>4.5</v>
      </c>
      <c r="I685" s="1">
        <v>34852.0</v>
      </c>
      <c r="J685" s="1" t="s">
        <v>2586</v>
      </c>
      <c r="K685" s="5" t="s">
        <v>2587</v>
      </c>
    </row>
    <row r="686">
      <c r="A686" s="1" t="s">
        <v>61</v>
      </c>
      <c r="B686" s="1" t="s">
        <v>62</v>
      </c>
      <c r="C686" s="1" t="s">
        <v>63</v>
      </c>
      <c r="D686" s="2">
        <v>219.0</v>
      </c>
      <c r="E686" s="2">
        <v>700.0</v>
      </c>
      <c r="F686" s="3">
        <f t="shared" si="5"/>
        <v>0.6871428571</v>
      </c>
      <c r="G686" s="4">
        <f>IFERROR(__xludf.DUMMYFUNCTION("GOOGLEFINANCE(""CURRENCY:INRBRL"")*D686"),13.095656117879999)</f>
        <v>13.09565612</v>
      </c>
      <c r="H686" s="1">
        <v>4.5</v>
      </c>
      <c r="I686" s="1">
        <v>426972.0</v>
      </c>
      <c r="J686" s="1" t="s">
        <v>64</v>
      </c>
      <c r="K686" s="5" t="s">
        <v>2588</v>
      </c>
    </row>
    <row r="687">
      <c r="A687" s="1" t="s">
        <v>2589</v>
      </c>
      <c r="B687" s="1" t="s">
        <v>2590</v>
      </c>
      <c r="C687" s="1" t="s">
        <v>2591</v>
      </c>
      <c r="D687" s="2">
        <v>157.0</v>
      </c>
      <c r="E687" s="2">
        <v>160.0</v>
      </c>
      <c r="F687" s="3">
        <f t="shared" si="5"/>
        <v>0.01875</v>
      </c>
      <c r="G687" s="4">
        <f>IFERROR(__xludf.DUMMYFUNCTION("GOOGLEFINANCE(""CURRENCY:INRBRL"")*D687"),9.38821009364)</f>
        <v>9.388210094</v>
      </c>
      <c r="H687" s="1">
        <v>4.5</v>
      </c>
      <c r="I687" s="1">
        <v>8618.0</v>
      </c>
      <c r="J687" s="1" t="s">
        <v>2592</v>
      </c>
      <c r="K687" s="5" t="s">
        <v>2593</v>
      </c>
    </row>
    <row r="688">
      <c r="A688" s="1" t="s">
        <v>1705</v>
      </c>
      <c r="B688" s="1" t="s">
        <v>1706</v>
      </c>
      <c r="C688" s="1" t="s">
        <v>1385</v>
      </c>
      <c r="D688" s="2">
        <v>369.0</v>
      </c>
      <c r="E688" s="2">
        <v>1599.0</v>
      </c>
      <c r="F688" s="3">
        <f t="shared" si="5"/>
        <v>0.7692307692</v>
      </c>
      <c r="G688" s="4">
        <f>IFERROR(__xludf.DUMMYFUNCTION("GOOGLEFINANCE(""CURRENCY:INRBRL"")*D688"),22.06528359588)</f>
        <v>22.0652836</v>
      </c>
      <c r="H688" s="1">
        <v>4.5</v>
      </c>
      <c r="I688" s="1">
        <v>32625.0</v>
      </c>
      <c r="J688" s="1" t="s">
        <v>2594</v>
      </c>
      <c r="K688" s="5" t="s">
        <v>2595</v>
      </c>
    </row>
    <row r="689">
      <c r="A689" s="1" t="s">
        <v>2596</v>
      </c>
      <c r="B689" s="1" t="s">
        <v>2597</v>
      </c>
      <c r="C689" s="1" t="s">
        <v>2261</v>
      </c>
      <c r="D689" s="2">
        <v>599.0</v>
      </c>
      <c r="E689" s="2">
        <v>899.0</v>
      </c>
      <c r="F689" s="3">
        <f t="shared" si="5"/>
        <v>0.3337041157</v>
      </c>
      <c r="G689" s="4">
        <f>IFERROR(__xludf.DUMMYFUNCTION("GOOGLEFINANCE(""CURRENCY:INRBRL"")*D689"),35.81871239548)</f>
        <v>35.8187124</v>
      </c>
      <c r="H689" s="1">
        <v>4.5</v>
      </c>
      <c r="I689" s="1">
        <v>4018.0</v>
      </c>
      <c r="J689" s="1" t="s">
        <v>2598</v>
      </c>
      <c r="K689" s="5" t="s">
        <v>2599</v>
      </c>
    </row>
    <row r="690">
      <c r="A690" s="1" t="s">
        <v>2600</v>
      </c>
      <c r="B690" s="1" t="s">
        <v>2601</v>
      </c>
      <c r="C690" s="1" t="s">
        <v>2602</v>
      </c>
      <c r="D690" s="2">
        <v>479.0</v>
      </c>
      <c r="E690" s="2">
        <v>599.0</v>
      </c>
      <c r="F690" s="3">
        <f t="shared" si="5"/>
        <v>0.2003338898</v>
      </c>
      <c r="G690" s="4">
        <f>IFERROR(__xludf.DUMMYFUNCTION("GOOGLEFINANCE(""CURRENCY:INRBRL"")*D690"),28.64301041308)</f>
        <v>28.64301041</v>
      </c>
      <c r="H690" s="1">
        <v>4.5</v>
      </c>
      <c r="I690" s="1">
        <v>11687.0</v>
      </c>
      <c r="J690" s="1" t="s">
        <v>2603</v>
      </c>
      <c r="K690" s="5" t="s">
        <v>2604</v>
      </c>
    </row>
    <row r="691">
      <c r="A691" s="1" t="s">
        <v>66</v>
      </c>
      <c r="B691" s="1" t="s">
        <v>67</v>
      </c>
      <c r="C691" s="1" t="s">
        <v>13</v>
      </c>
      <c r="D691" s="2">
        <v>350.0</v>
      </c>
      <c r="E691" s="2">
        <v>899.0</v>
      </c>
      <c r="F691" s="3">
        <f t="shared" si="5"/>
        <v>0.6106785317</v>
      </c>
      <c r="G691" s="4">
        <f>IFERROR(__xludf.DUMMYFUNCTION("GOOGLEFINANCE(""CURRENCY:INRBRL"")*D691"),20.929130781999998)</f>
        <v>20.92913078</v>
      </c>
      <c r="H691" s="1">
        <v>4.5</v>
      </c>
      <c r="I691" s="1">
        <v>2262.0</v>
      </c>
      <c r="J691" s="1" t="s">
        <v>68</v>
      </c>
      <c r="K691" s="5" t="s">
        <v>2605</v>
      </c>
    </row>
    <row r="692">
      <c r="A692" s="1" t="s">
        <v>2606</v>
      </c>
      <c r="B692" s="1" t="s">
        <v>2607</v>
      </c>
      <c r="C692" s="1" t="s">
        <v>1403</v>
      </c>
      <c r="D692" s="2">
        <v>1598.0</v>
      </c>
      <c r="E692" s="2">
        <v>2990.0</v>
      </c>
      <c r="F692" s="3">
        <f t="shared" si="5"/>
        <v>0.4655518395</v>
      </c>
      <c r="G692" s="4">
        <f>IFERROR(__xludf.DUMMYFUNCTION("GOOGLEFINANCE(""CURRENCY:INRBRL"")*D692"),95.55643139896)</f>
        <v>95.5564314</v>
      </c>
      <c r="H692" s="1">
        <v>4.5</v>
      </c>
      <c r="I692" s="1">
        <v>11015.0</v>
      </c>
      <c r="J692" s="1" t="s">
        <v>2608</v>
      </c>
      <c r="K692" s="5" t="s">
        <v>2609</v>
      </c>
    </row>
    <row r="693">
      <c r="A693" s="1" t="s">
        <v>2610</v>
      </c>
      <c r="B693" s="1" t="s">
        <v>2611</v>
      </c>
      <c r="C693" s="1" t="s">
        <v>2612</v>
      </c>
      <c r="D693" s="2">
        <v>599.0</v>
      </c>
      <c r="E693" s="2">
        <v>899.0</v>
      </c>
      <c r="F693" s="3">
        <f t="shared" si="5"/>
        <v>0.3337041157</v>
      </c>
      <c r="G693" s="4">
        <f>IFERROR(__xludf.DUMMYFUNCTION("GOOGLEFINANCE(""CURRENCY:INRBRL"")*D693"),35.81871239548)</f>
        <v>35.8187124</v>
      </c>
      <c r="H693" s="1">
        <v>4.5</v>
      </c>
      <c r="I693" s="1">
        <v>95116.0</v>
      </c>
      <c r="J693" s="1" t="s">
        <v>2613</v>
      </c>
      <c r="K693" s="5" t="s">
        <v>2614</v>
      </c>
    </row>
    <row r="694">
      <c r="A694" s="1" t="s">
        <v>70</v>
      </c>
      <c r="B694" s="1" t="s">
        <v>71</v>
      </c>
      <c r="C694" s="1" t="s">
        <v>13</v>
      </c>
      <c r="D694" s="2">
        <v>159.0</v>
      </c>
      <c r="E694" s="2">
        <v>399.0</v>
      </c>
      <c r="F694" s="3">
        <f t="shared" si="5"/>
        <v>0.6015037594</v>
      </c>
      <c r="G694" s="4">
        <f>IFERROR(__xludf.DUMMYFUNCTION("GOOGLEFINANCE(""CURRENCY:INRBRL"")*D694"),9.50780512668)</f>
        <v>9.507805127</v>
      </c>
      <c r="H694" s="1">
        <v>4.5</v>
      </c>
      <c r="I694" s="1">
        <v>4768.0</v>
      </c>
      <c r="J694" s="1" t="s">
        <v>30</v>
      </c>
      <c r="K694" s="5" t="s">
        <v>2615</v>
      </c>
    </row>
    <row r="695">
      <c r="A695" s="1" t="s">
        <v>2616</v>
      </c>
      <c r="B695" s="1" t="s">
        <v>2617</v>
      </c>
      <c r="C695" s="1" t="s">
        <v>2256</v>
      </c>
      <c r="D695" s="2">
        <v>1299.0</v>
      </c>
      <c r="E695" s="2">
        <v>2999.0</v>
      </c>
      <c r="F695" s="3">
        <f t="shared" si="5"/>
        <v>0.5668556185</v>
      </c>
      <c r="G695" s="4">
        <f>IFERROR(__xludf.DUMMYFUNCTION("GOOGLEFINANCE(""CURRENCY:INRBRL"")*D695"),77.67697395948)</f>
        <v>77.67697396</v>
      </c>
      <c r="H695" s="1">
        <v>4.5</v>
      </c>
      <c r="I695" s="1">
        <v>23022.0</v>
      </c>
      <c r="J695" s="1" t="s">
        <v>2618</v>
      </c>
      <c r="K695" s="5" t="s">
        <v>2619</v>
      </c>
    </row>
    <row r="696">
      <c r="A696" s="1" t="s">
        <v>1760</v>
      </c>
      <c r="B696" s="1" t="s">
        <v>1761</v>
      </c>
      <c r="C696" s="1" t="s">
        <v>1348</v>
      </c>
      <c r="D696" s="2">
        <v>1599.0</v>
      </c>
      <c r="E696" s="2">
        <v>4999.0</v>
      </c>
      <c r="F696" s="3">
        <f t="shared" si="5"/>
        <v>0.6801360272</v>
      </c>
      <c r="G696" s="4">
        <f>IFERROR(__xludf.DUMMYFUNCTION("GOOGLEFINANCE(""CURRENCY:INRBRL"")*D696"),95.61622891548)</f>
        <v>95.61622892</v>
      </c>
      <c r="H696" s="1">
        <v>4.5</v>
      </c>
      <c r="I696" s="1">
        <v>67951.0</v>
      </c>
      <c r="J696" s="1" t="s">
        <v>1762</v>
      </c>
      <c r="K696" s="5" t="s">
        <v>2620</v>
      </c>
    </row>
    <row r="697">
      <c r="A697" s="1" t="s">
        <v>2621</v>
      </c>
      <c r="B697" s="1" t="s">
        <v>2622</v>
      </c>
      <c r="C697" s="1" t="s">
        <v>2623</v>
      </c>
      <c r="D697" s="2">
        <v>294.0</v>
      </c>
      <c r="E697" s="2">
        <v>4999.0</v>
      </c>
      <c r="F697" s="3">
        <f t="shared" si="5"/>
        <v>0.9411882376</v>
      </c>
      <c r="G697" s="4">
        <f>IFERROR(__xludf.DUMMYFUNCTION("GOOGLEFINANCE(""CURRENCY:INRBRL"")*D697"),17.58046985688)</f>
        <v>17.58046986</v>
      </c>
      <c r="H697" s="1">
        <v>4.5</v>
      </c>
      <c r="I697" s="1">
        <v>4426.0</v>
      </c>
      <c r="J697" s="1" t="s">
        <v>2624</v>
      </c>
      <c r="K697" s="5" t="s">
        <v>2625</v>
      </c>
    </row>
    <row r="698">
      <c r="A698" s="1" t="s">
        <v>2626</v>
      </c>
      <c r="B698" s="1" t="s">
        <v>2627</v>
      </c>
      <c r="C698" s="1" t="s">
        <v>2435</v>
      </c>
      <c r="D698" s="2">
        <v>828.0</v>
      </c>
      <c r="E698" s="2">
        <v>861.0</v>
      </c>
      <c r="F698" s="3">
        <f t="shared" si="5"/>
        <v>0.03832752613</v>
      </c>
      <c r="G698" s="4">
        <f>IFERROR(__xludf.DUMMYFUNCTION("GOOGLEFINANCE(""CURRENCY:INRBRL"")*D698"),49.51234367855999)</f>
        <v>49.51234368</v>
      </c>
      <c r="H698" s="1">
        <v>4.5</v>
      </c>
      <c r="I698" s="1">
        <v>4567.0</v>
      </c>
      <c r="J698" s="1" t="s">
        <v>2628</v>
      </c>
      <c r="K698" s="5" t="s">
        <v>2629</v>
      </c>
    </row>
    <row r="699">
      <c r="A699" s="1" t="s">
        <v>2630</v>
      </c>
      <c r="B699" s="1" t="s">
        <v>2631</v>
      </c>
      <c r="C699" s="1" t="s">
        <v>2069</v>
      </c>
      <c r="D699" s="2">
        <v>745.0</v>
      </c>
      <c r="E699" s="2">
        <v>795.0</v>
      </c>
      <c r="F699" s="3">
        <f t="shared" si="5"/>
        <v>0.06289308176</v>
      </c>
      <c r="G699" s="4">
        <f>IFERROR(__xludf.DUMMYFUNCTION("GOOGLEFINANCE(""CURRENCY:INRBRL"")*D699"),44.5491498074)</f>
        <v>44.54914981</v>
      </c>
      <c r="H699" s="1">
        <v>4.5</v>
      </c>
      <c r="I699" s="1">
        <v>13797.0</v>
      </c>
      <c r="J699" s="1" t="s">
        <v>2632</v>
      </c>
      <c r="K699" s="5" t="s">
        <v>2633</v>
      </c>
    </row>
    <row r="700">
      <c r="A700" s="1" t="s">
        <v>2634</v>
      </c>
      <c r="B700" s="1" t="s">
        <v>2635</v>
      </c>
      <c r="C700" s="1" t="s">
        <v>2636</v>
      </c>
      <c r="D700" s="2">
        <v>1549.0</v>
      </c>
      <c r="E700" s="2">
        <v>2495.0</v>
      </c>
      <c r="F700" s="3">
        <f t="shared" si="5"/>
        <v>0.3791583166</v>
      </c>
      <c r="G700" s="4">
        <f>IFERROR(__xludf.DUMMYFUNCTION("GOOGLEFINANCE(""CURRENCY:INRBRL"")*D700"),92.62635308947999)</f>
        <v>92.62635309</v>
      </c>
      <c r="H700" s="1">
        <v>4.5</v>
      </c>
      <c r="I700" s="1">
        <v>15137.0</v>
      </c>
      <c r="J700" s="1" t="s">
        <v>2637</v>
      </c>
      <c r="K700" s="5" t="s">
        <v>2638</v>
      </c>
    </row>
    <row r="701">
      <c r="A701" s="1" t="s">
        <v>73</v>
      </c>
      <c r="B701" s="1" t="s">
        <v>74</v>
      </c>
      <c r="C701" s="1" t="s">
        <v>13</v>
      </c>
      <c r="D701" s="2">
        <v>349.0</v>
      </c>
      <c r="E701" s="2">
        <v>399.0</v>
      </c>
      <c r="F701" s="3">
        <f t="shared" si="5"/>
        <v>0.1253132832</v>
      </c>
      <c r="G701" s="4">
        <f>IFERROR(__xludf.DUMMYFUNCTION("GOOGLEFINANCE(""CURRENCY:INRBRL"")*D701"),20.869333265479998)</f>
        <v>20.86933327</v>
      </c>
      <c r="H701" s="1">
        <v>4.5</v>
      </c>
      <c r="I701" s="1">
        <v>18757.0</v>
      </c>
      <c r="J701" s="1" t="s">
        <v>2639</v>
      </c>
      <c r="K701" s="5" t="s">
        <v>2640</v>
      </c>
    </row>
    <row r="702">
      <c r="A702" s="1" t="s">
        <v>94</v>
      </c>
      <c r="B702" s="1" t="s">
        <v>95</v>
      </c>
      <c r="C702" s="1" t="s">
        <v>13</v>
      </c>
      <c r="D702" s="2">
        <v>970.0</v>
      </c>
      <c r="E702" s="2">
        <v>1799.0</v>
      </c>
      <c r="F702" s="3">
        <f t="shared" si="5"/>
        <v>0.460811562</v>
      </c>
      <c r="G702" s="4">
        <f>IFERROR(__xludf.DUMMYFUNCTION("GOOGLEFINANCE(""CURRENCY:INRBRL"")*D702"),58.003591024399995)</f>
        <v>58.00359102</v>
      </c>
      <c r="H702" s="1">
        <v>4.5</v>
      </c>
      <c r="I702" s="1">
        <v>815.0</v>
      </c>
      <c r="J702" s="1" t="s">
        <v>96</v>
      </c>
      <c r="K702" s="5" t="s">
        <v>2641</v>
      </c>
    </row>
    <row r="703">
      <c r="A703" s="1" t="s">
        <v>2642</v>
      </c>
      <c r="B703" s="1" t="s">
        <v>2643</v>
      </c>
      <c r="C703" s="1" t="s">
        <v>2419</v>
      </c>
      <c r="D703" s="2">
        <v>1469.0</v>
      </c>
      <c r="E703" s="2">
        <v>2499.0</v>
      </c>
      <c r="F703" s="3">
        <f t="shared" si="5"/>
        <v>0.4121648659</v>
      </c>
      <c r="G703" s="4">
        <f>IFERROR(__xludf.DUMMYFUNCTION("GOOGLEFINANCE(""CURRENCY:INRBRL"")*D703"),87.84255176788)</f>
        <v>87.84255177</v>
      </c>
      <c r="H703" s="1">
        <v>4.5</v>
      </c>
      <c r="I703" s="1">
        <v>156638.0</v>
      </c>
      <c r="J703" s="1" t="s">
        <v>2644</v>
      </c>
      <c r="K703" s="5" t="s">
        <v>2645</v>
      </c>
    </row>
    <row r="704">
      <c r="A704" s="1" t="s">
        <v>2646</v>
      </c>
      <c r="B704" s="1" t="s">
        <v>2647</v>
      </c>
      <c r="C704" s="1" t="s">
        <v>2648</v>
      </c>
      <c r="D704" s="2">
        <v>198.0</v>
      </c>
      <c r="E704" s="2">
        <v>800.0</v>
      </c>
      <c r="F704" s="3">
        <f t="shared" si="5"/>
        <v>0.7525</v>
      </c>
      <c r="G704" s="4">
        <f>IFERROR(__xludf.DUMMYFUNCTION("GOOGLEFINANCE(""CURRENCY:INRBRL"")*D704"),11.839908270959999)</f>
        <v>11.83990827</v>
      </c>
      <c r="H704" s="1">
        <v>4.5</v>
      </c>
      <c r="I704" s="1">
        <v>9344.0</v>
      </c>
      <c r="J704" s="1" t="s">
        <v>2649</v>
      </c>
      <c r="K704" s="5" t="s">
        <v>2650</v>
      </c>
    </row>
    <row r="705">
      <c r="A705" s="1" t="s">
        <v>2651</v>
      </c>
      <c r="B705" s="1" t="s">
        <v>2652</v>
      </c>
      <c r="C705" s="1" t="s">
        <v>2653</v>
      </c>
      <c r="D705" s="2">
        <v>549.0</v>
      </c>
      <c r="E705" s="2">
        <v>549.0</v>
      </c>
      <c r="F705" s="3">
        <f t="shared" si="5"/>
        <v>0</v>
      </c>
      <c r="G705" s="4">
        <f>IFERROR(__xludf.DUMMYFUNCTION("GOOGLEFINANCE(""CURRENCY:INRBRL"")*D705"),32.828836569479996)</f>
        <v>32.82883657</v>
      </c>
      <c r="H705" s="1">
        <v>4.5</v>
      </c>
      <c r="I705" s="1">
        <v>4875.0</v>
      </c>
      <c r="J705" s="1" t="s">
        <v>2654</v>
      </c>
      <c r="K705" s="5" t="s">
        <v>2655</v>
      </c>
    </row>
    <row r="706">
      <c r="A706" s="1" t="s">
        <v>1843</v>
      </c>
      <c r="B706" s="1" t="s">
        <v>1844</v>
      </c>
      <c r="C706" s="1" t="s">
        <v>1348</v>
      </c>
      <c r="D706" s="2">
        <v>2999.0</v>
      </c>
      <c r="E706" s="2">
        <v>9999.0</v>
      </c>
      <c r="F706" s="3">
        <f t="shared" si="5"/>
        <v>0.700070007</v>
      </c>
      <c r="G706" s="4">
        <f>IFERROR(__xludf.DUMMYFUNCTION("GOOGLEFINANCE(""CURRENCY:INRBRL"")*D706"),179.33275204347999)</f>
        <v>179.332752</v>
      </c>
      <c r="H706" s="1">
        <v>4.5</v>
      </c>
      <c r="I706" s="1">
        <v>20881.0</v>
      </c>
      <c r="J706" s="1" t="s">
        <v>1845</v>
      </c>
      <c r="K706" s="5" t="s">
        <v>2656</v>
      </c>
    </row>
    <row r="707">
      <c r="A707" s="1" t="s">
        <v>2657</v>
      </c>
      <c r="B707" s="1" t="s">
        <v>2658</v>
      </c>
      <c r="C707" s="1" t="s">
        <v>1348</v>
      </c>
      <c r="D707" s="2">
        <v>11999.0</v>
      </c>
      <c r="E707" s="2">
        <v>29999.0</v>
      </c>
      <c r="F707" s="3">
        <f t="shared" si="5"/>
        <v>0.6000200007</v>
      </c>
      <c r="G707" s="4">
        <f>IFERROR(__xludf.DUMMYFUNCTION("GOOGLEFINANCE(""CURRENCY:INRBRL"")*D707"),717.51040072348)</f>
        <v>717.5104007</v>
      </c>
      <c r="H707" s="1">
        <v>4.5</v>
      </c>
      <c r="I707" s="1">
        <v>4744.0</v>
      </c>
      <c r="J707" s="1" t="s">
        <v>2659</v>
      </c>
      <c r="K707" s="5" t="s">
        <v>2660</v>
      </c>
    </row>
    <row r="708">
      <c r="A708" s="1" t="s">
        <v>2661</v>
      </c>
      <c r="B708" s="1" t="s">
        <v>2662</v>
      </c>
      <c r="C708" s="1" t="s">
        <v>1403</v>
      </c>
      <c r="D708" s="2">
        <v>1299.0</v>
      </c>
      <c r="E708" s="2">
        <v>3499.0</v>
      </c>
      <c r="F708" s="3">
        <f t="shared" si="5"/>
        <v>0.6287510717</v>
      </c>
      <c r="G708" s="4">
        <f>IFERROR(__xludf.DUMMYFUNCTION("GOOGLEFINANCE(""CURRENCY:INRBRL"")*D708"),77.67697395948)</f>
        <v>77.67697396</v>
      </c>
      <c r="H708" s="1">
        <v>4.5</v>
      </c>
      <c r="I708" s="1">
        <v>12452.0</v>
      </c>
      <c r="J708" s="1" t="s">
        <v>2663</v>
      </c>
      <c r="K708" s="5" t="s">
        <v>2664</v>
      </c>
    </row>
    <row r="709">
      <c r="A709" s="1" t="s">
        <v>2665</v>
      </c>
      <c r="B709" s="1" t="s">
        <v>2666</v>
      </c>
      <c r="C709" s="1" t="s">
        <v>2343</v>
      </c>
      <c r="D709" s="2">
        <v>269.0</v>
      </c>
      <c r="E709" s="2">
        <v>315.0</v>
      </c>
      <c r="F709" s="3">
        <f t="shared" si="5"/>
        <v>0.146031746</v>
      </c>
      <c r="G709" s="4">
        <f>IFERROR(__xludf.DUMMYFUNCTION("GOOGLEFINANCE(""CURRENCY:INRBRL"")*D709"),16.08553194388)</f>
        <v>16.08553194</v>
      </c>
      <c r="H709" s="1">
        <v>4.5</v>
      </c>
      <c r="I709" s="1">
        <v>1781.0</v>
      </c>
      <c r="J709" s="1" t="s">
        <v>2667</v>
      </c>
      <c r="K709" s="5" t="s">
        <v>2668</v>
      </c>
    </row>
    <row r="710">
      <c r="A710" s="1" t="s">
        <v>2669</v>
      </c>
      <c r="B710" s="1" t="s">
        <v>2670</v>
      </c>
      <c r="C710" s="1" t="s">
        <v>1403</v>
      </c>
      <c r="D710" s="2">
        <v>799.0</v>
      </c>
      <c r="E710" s="2">
        <v>1499.0</v>
      </c>
      <c r="F710" s="3">
        <f t="shared" si="5"/>
        <v>0.4669779853</v>
      </c>
      <c r="G710" s="4">
        <f>IFERROR(__xludf.DUMMYFUNCTION("GOOGLEFINANCE(""CURRENCY:INRBRL"")*D710"),47.77821569948)</f>
        <v>47.7782157</v>
      </c>
      <c r="H710" s="1">
        <v>4.5</v>
      </c>
      <c r="I710" s="1">
        <v>53648.0</v>
      </c>
      <c r="J710" s="1" t="s">
        <v>2671</v>
      </c>
      <c r="K710" s="5" t="s">
        <v>2672</v>
      </c>
    </row>
    <row r="711">
      <c r="A711" s="1" t="s">
        <v>2673</v>
      </c>
      <c r="B711" s="1" t="s">
        <v>2674</v>
      </c>
      <c r="C711" s="1" t="s">
        <v>2675</v>
      </c>
      <c r="D711" s="2">
        <v>6299.0</v>
      </c>
      <c r="E711" s="2">
        <v>13750.0</v>
      </c>
      <c r="F711" s="3">
        <f t="shared" si="5"/>
        <v>0.5418909091</v>
      </c>
      <c r="G711" s="4">
        <f>IFERROR(__xludf.DUMMYFUNCTION("GOOGLEFINANCE(""CURRENCY:INRBRL"")*D711"),376.66455655948)</f>
        <v>376.6645566</v>
      </c>
      <c r="H711" s="1">
        <v>4.5</v>
      </c>
      <c r="I711" s="1">
        <v>2014.0</v>
      </c>
      <c r="J711" s="1" t="s">
        <v>2676</v>
      </c>
      <c r="K711" s="5" t="s">
        <v>2677</v>
      </c>
    </row>
    <row r="712">
      <c r="A712" s="1" t="s">
        <v>2678</v>
      </c>
      <c r="B712" s="1" t="s">
        <v>2679</v>
      </c>
      <c r="C712" s="1" t="s">
        <v>2680</v>
      </c>
      <c r="D712" s="2">
        <v>59.0</v>
      </c>
      <c r="E712" s="2">
        <v>59.0</v>
      </c>
      <c r="F712" s="3">
        <f t="shared" si="5"/>
        <v>0</v>
      </c>
      <c r="G712" s="4">
        <f>IFERROR(__xludf.DUMMYFUNCTION("GOOGLEFINANCE(""CURRENCY:INRBRL"")*D712"),3.5280534746799996)</f>
        <v>3.528053475</v>
      </c>
      <c r="H712" s="1">
        <v>4.5</v>
      </c>
      <c r="I712" s="1">
        <v>5958.0</v>
      </c>
      <c r="J712" s="1" t="s">
        <v>2681</v>
      </c>
      <c r="K712" s="5" t="s">
        <v>2682</v>
      </c>
    </row>
    <row r="713">
      <c r="A713" s="1" t="s">
        <v>2683</v>
      </c>
      <c r="B713" s="1" t="s">
        <v>2684</v>
      </c>
      <c r="C713" s="1" t="s">
        <v>1420</v>
      </c>
      <c r="D713" s="2">
        <v>571.0</v>
      </c>
      <c r="E713" s="2">
        <v>999.0</v>
      </c>
      <c r="F713" s="3">
        <f t="shared" si="5"/>
        <v>0.4284284284</v>
      </c>
      <c r="G713" s="4">
        <f>IFERROR(__xludf.DUMMYFUNCTION("GOOGLEFINANCE(""CURRENCY:INRBRL"")*D713"),34.14438193292)</f>
        <v>34.14438193</v>
      </c>
      <c r="H713" s="1">
        <v>4.5</v>
      </c>
      <c r="I713" s="1">
        <v>38221.0</v>
      </c>
      <c r="J713" s="1" t="s">
        <v>2685</v>
      </c>
      <c r="K713" s="5" t="s">
        <v>2686</v>
      </c>
    </row>
    <row r="714">
      <c r="A714" s="1" t="s">
        <v>2687</v>
      </c>
      <c r="B714" s="1" t="s">
        <v>2688</v>
      </c>
      <c r="C714" s="1" t="s">
        <v>2545</v>
      </c>
      <c r="D714" s="2">
        <v>549.0</v>
      </c>
      <c r="E714" s="2">
        <v>999.0</v>
      </c>
      <c r="F714" s="3">
        <f t="shared" si="5"/>
        <v>0.4504504505</v>
      </c>
      <c r="G714" s="4">
        <f>IFERROR(__xludf.DUMMYFUNCTION("GOOGLEFINANCE(""CURRENCY:INRBRL"")*D714"),32.828836569479996)</f>
        <v>32.82883657</v>
      </c>
      <c r="H714" s="1">
        <v>4.5</v>
      </c>
      <c r="I714" s="1">
        <v>64705.0</v>
      </c>
      <c r="J714" s="1" t="s">
        <v>2689</v>
      </c>
      <c r="K714" s="5" t="s">
        <v>2690</v>
      </c>
    </row>
    <row r="715">
      <c r="A715" s="1" t="s">
        <v>1799</v>
      </c>
      <c r="B715" s="1" t="s">
        <v>1800</v>
      </c>
      <c r="C715" s="1" t="s">
        <v>1801</v>
      </c>
      <c r="D715" s="2">
        <v>2099.0</v>
      </c>
      <c r="E715" s="2">
        <v>5999.0</v>
      </c>
      <c r="F715" s="3">
        <f t="shared" si="5"/>
        <v>0.6501083514</v>
      </c>
      <c r="G715" s="4">
        <f>IFERROR(__xludf.DUMMYFUNCTION("GOOGLEFINANCE(""CURRENCY:INRBRL"")*D715"),125.51498717547999)</f>
        <v>125.5149872</v>
      </c>
      <c r="H715" s="1">
        <v>4.5</v>
      </c>
      <c r="I715" s="1">
        <v>17129.0</v>
      </c>
      <c r="J715" s="1" t="s">
        <v>1802</v>
      </c>
      <c r="K715" s="5" t="s">
        <v>2691</v>
      </c>
    </row>
    <row r="716">
      <c r="A716" s="1" t="s">
        <v>90</v>
      </c>
      <c r="B716" s="1" t="s">
        <v>91</v>
      </c>
      <c r="C716" s="1" t="s">
        <v>79</v>
      </c>
      <c r="D716" s="2">
        <v>13490.0</v>
      </c>
      <c r="E716" s="2">
        <v>21999.0</v>
      </c>
      <c r="F716" s="3">
        <f t="shared" si="5"/>
        <v>0.3867903087</v>
      </c>
      <c r="G716" s="4">
        <f>IFERROR(__xludf.DUMMYFUNCTION("GOOGLEFINANCE(""CURRENCY:INRBRL"")*D716"),806.6684978548)</f>
        <v>806.6684979</v>
      </c>
      <c r="H716" s="1">
        <v>4.5</v>
      </c>
      <c r="I716" s="1">
        <v>11976.0</v>
      </c>
      <c r="J716" s="1" t="s">
        <v>92</v>
      </c>
      <c r="K716" s="5" t="s">
        <v>2692</v>
      </c>
    </row>
    <row r="717">
      <c r="A717" s="1" t="s">
        <v>2693</v>
      </c>
      <c r="B717" s="1" t="s">
        <v>2694</v>
      </c>
      <c r="C717" s="1" t="s">
        <v>2367</v>
      </c>
      <c r="D717" s="2">
        <v>448.0</v>
      </c>
      <c r="E717" s="2">
        <v>699.0</v>
      </c>
      <c r="F717" s="3">
        <f t="shared" si="5"/>
        <v>0.3590844063</v>
      </c>
      <c r="G717" s="4">
        <f>IFERROR(__xludf.DUMMYFUNCTION("GOOGLEFINANCE(""CURRENCY:INRBRL"")*D717"),26.78928740096)</f>
        <v>26.7892874</v>
      </c>
      <c r="H717" s="1">
        <v>4.5</v>
      </c>
      <c r="I717" s="1">
        <v>17348.0</v>
      </c>
      <c r="J717" s="1" t="s">
        <v>2695</v>
      </c>
      <c r="K717" s="5" t="s">
        <v>2696</v>
      </c>
    </row>
    <row r="718">
      <c r="A718" s="1" t="s">
        <v>2697</v>
      </c>
      <c r="B718" s="1" t="s">
        <v>2698</v>
      </c>
      <c r="C718" s="1" t="s">
        <v>1403</v>
      </c>
      <c r="D718" s="2">
        <v>1499.0</v>
      </c>
      <c r="E718" s="2">
        <v>2999.0</v>
      </c>
      <c r="F718" s="3">
        <f t="shared" si="5"/>
        <v>0.5001667222</v>
      </c>
      <c r="G718" s="4">
        <f>IFERROR(__xludf.DUMMYFUNCTION("GOOGLEFINANCE(""CURRENCY:INRBRL"")*D718"),89.63647726347999)</f>
        <v>89.63647726</v>
      </c>
      <c r="H718" s="1">
        <v>4.5</v>
      </c>
      <c r="I718" s="1">
        <v>87798.0</v>
      </c>
      <c r="J718" s="1" t="s">
        <v>2699</v>
      </c>
      <c r="K718" s="5" t="s">
        <v>2700</v>
      </c>
    </row>
    <row r="719">
      <c r="A719" s="1" t="s">
        <v>2701</v>
      </c>
      <c r="B719" s="1" t="s">
        <v>2702</v>
      </c>
      <c r="C719" s="1" t="s">
        <v>2703</v>
      </c>
      <c r="D719" s="2">
        <v>299.0</v>
      </c>
      <c r="E719" s="2">
        <v>499.0</v>
      </c>
      <c r="F719" s="3">
        <f t="shared" si="5"/>
        <v>0.4008016032</v>
      </c>
      <c r="G719" s="4">
        <f>IFERROR(__xludf.DUMMYFUNCTION("GOOGLEFINANCE(""CURRENCY:INRBRL"")*D719"),17.87945743948)</f>
        <v>17.87945744</v>
      </c>
      <c r="H719" s="1">
        <v>4.5</v>
      </c>
      <c r="I719" s="1">
        <v>24432.0</v>
      </c>
      <c r="J719" s="1" t="s">
        <v>2704</v>
      </c>
      <c r="K719" s="5" t="s">
        <v>2705</v>
      </c>
    </row>
    <row r="720">
      <c r="A720" s="1" t="s">
        <v>2706</v>
      </c>
      <c r="B720" s="1" t="s">
        <v>2707</v>
      </c>
      <c r="C720" s="1" t="s">
        <v>2256</v>
      </c>
      <c r="D720" s="2">
        <v>579.0</v>
      </c>
      <c r="E720" s="2">
        <v>1399.0</v>
      </c>
      <c r="F720" s="3">
        <f t="shared" si="5"/>
        <v>0.5861329521</v>
      </c>
      <c r="G720" s="4">
        <f>IFERROR(__xludf.DUMMYFUNCTION("GOOGLEFINANCE(""CURRENCY:INRBRL"")*D720"),34.622762065079996)</f>
        <v>34.62276207</v>
      </c>
      <c r="H720" s="1">
        <v>4.5</v>
      </c>
      <c r="I720" s="1">
        <v>189104.0</v>
      </c>
      <c r="J720" s="1" t="s">
        <v>2708</v>
      </c>
      <c r="K720" s="5" t="s">
        <v>2709</v>
      </c>
    </row>
    <row r="721">
      <c r="A721" s="1" t="s">
        <v>2710</v>
      </c>
      <c r="B721" s="1" t="s">
        <v>2711</v>
      </c>
      <c r="C721" s="1" t="s">
        <v>2712</v>
      </c>
      <c r="D721" s="2">
        <v>2499.0</v>
      </c>
      <c r="E721" s="2">
        <v>3299.0</v>
      </c>
      <c r="F721" s="3">
        <f t="shared" si="5"/>
        <v>0.2424977266</v>
      </c>
      <c r="G721" s="4">
        <f>IFERROR(__xludf.DUMMYFUNCTION("GOOGLEFINANCE(""CURRENCY:INRBRL"")*D721"),149.43399378348)</f>
        <v>149.4339938</v>
      </c>
      <c r="H721" s="1">
        <v>4.5</v>
      </c>
      <c r="I721" s="1">
        <v>93112.0</v>
      </c>
      <c r="J721" s="1" t="s">
        <v>2713</v>
      </c>
      <c r="K721" s="5" t="s">
        <v>2714</v>
      </c>
    </row>
    <row r="722">
      <c r="A722" s="1" t="s">
        <v>2715</v>
      </c>
      <c r="B722" s="1" t="s">
        <v>2716</v>
      </c>
      <c r="C722" s="1" t="s">
        <v>1403</v>
      </c>
      <c r="D722" s="2">
        <v>1199.0</v>
      </c>
      <c r="E722" s="2">
        <v>5999.0</v>
      </c>
      <c r="F722" s="3">
        <f t="shared" si="5"/>
        <v>0.8001333556</v>
      </c>
      <c r="G722" s="4">
        <f>IFERROR(__xludf.DUMMYFUNCTION("GOOGLEFINANCE(""CURRENCY:INRBRL"")*D722"),71.69722230747999)</f>
        <v>71.69722231</v>
      </c>
      <c r="H722" s="1">
        <v>4.5</v>
      </c>
      <c r="I722" s="1">
        <v>47521.0</v>
      </c>
      <c r="J722" s="1" t="s">
        <v>2717</v>
      </c>
      <c r="K722" s="5" t="s">
        <v>2718</v>
      </c>
    </row>
    <row r="723">
      <c r="A723" s="1" t="s">
        <v>2719</v>
      </c>
      <c r="B723" s="1" t="s">
        <v>2720</v>
      </c>
      <c r="C723" s="1" t="s">
        <v>2602</v>
      </c>
      <c r="D723" s="2">
        <v>399.0</v>
      </c>
      <c r="E723" s="2">
        <v>499.0</v>
      </c>
      <c r="F723" s="3">
        <f t="shared" si="5"/>
        <v>0.2004008016</v>
      </c>
      <c r="G723" s="4">
        <f>IFERROR(__xludf.DUMMYFUNCTION("GOOGLEFINANCE(""CURRENCY:INRBRL"")*D723"),23.859209091479997)</f>
        <v>23.85920909</v>
      </c>
      <c r="H723" s="1">
        <v>4.5</v>
      </c>
      <c r="I723" s="1">
        <v>27201.0</v>
      </c>
      <c r="J723" s="1" t="s">
        <v>2721</v>
      </c>
      <c r="K723" s="5" t="s">
        <v>2722</v>
      </c>
    </row>
    <row r="724">
      <c r="A724" s="1" t="s">
        <v>98</v>
      </c>
      <c r="B724" s="1" t="s">
        <v>99</v>
      </c>
      <c r="C724" s="1" t="s">
        <v>63</v>
      </c>
      <c r="D724" s="2">
        <v>279.0</v>
      </c>
      <c r="E724" s="2">
        <v>499.0</v>
      </c>
      <c r="F724" s="3">
        <f t="shared" si="5"/>
        <v>0.4408817635</v>
      </c>
      <c r="G724" s="4">
        <f>IFERROR(__xludf.DUMMYFUNCTION("GOOGLEFINANCE(""CURRENCY:INRBRL"")*D724"),16.68350710908)</f>
        <v>16.68350711</v>
      </c>
      <c r="H724" s="1">
        <v>4.5</v>
      </c>
      <c r="I724" s="1">
        <v>10962.0</v>
      </c>
      <c r="J724" s="1" t="s">
        <v>100</v>
      </c>
      <c r="K724" s="5" t="s">
        <v>2723</v>
      </c>
    </row>
    <row r="725">
      <c r="A725" s="1" t="s">
        <v>102</v>
      </c>
      <c r="B725" s="1" t="s">
        <v>103</v>
      </c>
      <c r="C725" s="1" t="s">
        <v>79</v>
      </c>
      <c r="D725" s="2">
        <v>13490.0</v>
      </c>
      <c r="E725" s="2">
        <v>22899.0</v>
      </c>
      <c r="F725" s="3">
        <f t="shared" si="5"/>
        <v>0.4108913053</v>
      </c>
      <c r="G725" s="4">
        <f>IFERROR(__xludf.DUMMYFUNCTION("GOOGLEFINANCE(""CURRENCY:INRBRL"")*D725"),806.6684978548)</f>
        <v>806.6684979</v>
      </c>
      <c r="H725" s="1">
        <v>4.5</v>
      </c>
      <c r="I725" s="1">
        <v>16299.0</v>
      </c>
      <c r="J725" s="1" t="s">
        <v>104</v>
      </c>
      <c r="K725" s="5" t="s">
        <v>2724</v>
      </c>
    </row>
    <row r="726">
      <c r="A726" s="1" t="s">
        <v>2725</v>
      </c>
      <c r="B726" s="1" t="s">
        <v>2726</v>
      </c>
      <c r="C726" s="1" t="s">
        <v>2261</v>
      </c>
      <c r="D726" s="2">
        <v>279.0</v>
      </c>
      <c r="E726" s="2">
        <v>375.0</v>
      </c>
      <c r="F726" s="3">
        <f t="shared" si="5"/>
        <v>0.256</v>
      </c>
      <c r="G726" s="4">
        <f>IFERROR(__xludf.DUMMYFUNCTION("GOOGLEFINANCE(""CURRENCY:INRBRL"")*D726"),16.68350710908)</f>
        <v>16.68350711</v>
      </c>
      <c r="H726" s="1">
        <v>4.5</v>
      </c>
      <c r="I726" s="1">
        <v>31534.0</v>
      </c>
      <c r="J726" s="1" t="s">
        <v>2727</v>
      </c>
      <c r="K726" s="5" t="s">
        <v>2728</v>
      </c>
    </row>
    <row r="727">
      <c r="A727" s="1" t="s">
        <v>2729</v>
      </c>
      <c r="B727" s="1" t="s">
        <v>2730</v>
      </c>
      <c r="C727" s="1" t="s">
        <v>1348</v>
      </c>
      <c r="D727" s="2">
        <v>2499.0</v>
      </c>
      <c r="E727" s="2">
        <v>4999.0</v>
      </c>
      <c r="F727" s="3">
        <f t="shared" si="5"/>
        <v>0.50010002</v>
      </c>
      <c r="G727" s="4">
        <f>IFERROR(__xludf.DUMMYFUNCTION("GOOGLEFINANCE(""CURRENCY:INRBRL"")*D727"),149.43399378348)</f>
        <v>149.4339938</v>
      </c>
      <c r="H727" s="1">
        <v>4.5</v>
      </c>
      <c r="I727" s="1">
        <v>7571.0</v>
      </c>
      <c r="J727" s="1" t="s">
        <v>2731</v>
      </c>
      <c r="K727" s="5" t="s">
        <v>2732</v>
      </c>
    </row>
    <row r="728">
      <c r="A728" s="1" t="s">
        <v>2733</v>
      </c>
      <c r="B728" s="1" t="s">
        <v>2734</v>
      </c>
      <c r="C728" s="1" t="s">
        <v>2591</v>
      </c>
      <c r="D728" s="2">
        <v>137.0</v>
      </c>
      <c r="E728" s="2">
        <v>160.0</v>
      </c>
      <c r="F728" s="3">
        <f t="shared" si="5"/>
        <v>0.14375</v>
      </c>
      <c r="G728" s="4">
        <f>IFERROR(__xludf.DUMMYFUNCTION("GOOGLEFINANCE(""CURRENCY:INRBRL"")*D728"),8.19225976324)</f>
        <v>8.192259763</v>
      </c>
      <c r="H728" s="1">
        <v>4.5</v>
      </c>
      <c r="I728" s="1">
        <v>6537.0</v>
      </c>
      <c r="J728" s="1" t="s">
        <v>2735</v>
      </c>
      <c r="K728" s="5" t="s">
        <v>2736</v>
      </c>
    </row>
    <row r="729">
      <c r="A729" s="1" t="s">
        <v>106</v>
      </c>
      <c r="B729" s="1" t="s">
        <v>107</v>
      </c>
      <c r="C729" s="1" t="s">
        <v>13</v>
      </c>
      <c r="D729" s="2">
        <v>59.0</v>
      </c>
      <c r="E729" s="2">
        <v>199.0</v>
      </c>
      <c r="F729" s="3">
        <f t="shared" si="5"/>
        <v>0.7035175879</v>
      </c>
      <c r="G729" s="4">
        <f>IFERROR(__xludf.DUMMYFUNCTION("GOOGLEFINANCE(""CURRENCY:INRBRL"")*D729"),3.5280534746799996)</f>
        <v>3.528053475</v>
      </c>
      <c r="H729" s="1">
        <v>4.5</v>
      </c>
      <c r="I729" s="1">
        <v>9377.0</v>
      </c>
      <c r="J729" s="1" t="s">
        <v>108</v>
      </c>
      <c r="K729" s="5" t="s">
        <v>2737</v>
      </c>
    </row>
    <row r="730">
      <c r="A730" s="1" t="s">
        <v>2738</v>
      </c>
      <c r="B730" s="1" t="s">
        <v>2739</v>
      </c>
      <c r="C730" s="1" t="s">
        <v>2481</v>
      </c>
      <c r="D730" s="2">
        <v>299.0</v>
      </c>
      <c r="E730" s="2">
        <v>499.0</v>
      </c>
      <c r="F730" s="3">
        <f t="shared" si="5"/>
        <v>0.4008016032</v>
      </c>
      <c r="G730" s="4">
        <f>IFERROR(__xludf.DUMMYFUNCTION("GOOGLEFINANCE(""CURRENCY:INRBRL"")*D730"),17.87945743948)</f>
        <v>17.87945744</v>
      </c>
      <c r="H730" s="1">
        <v>4.5</v>
      </c>
      <c r="I730" s="1">
        <v>2101.0</v>
      </c>
      <c r="J730" s="1" t="s">
        <v>2740</v>
      </c>
      <c r="K730" s="5" t="s">
        <v>2741</v>
      </c>
    </row>
    <row r="731">
      <c r="A731" s="1" t="s">
        <v>2742</v>
      </c>
      <c r="B731" s="1" t="s">
        <v>2743</v>
      </c>
      <c r="C731" s="1" t="s">
        <v>1403</v>
      </c>
      <c r="D731" s="2">
        <v>1799.0</v>
      </c>
      <c r="E731" s="2">
        <v>3999.0</v>
      </c>
      <c r="F731" s="3">
        <f t="shared" si="5"/>
        <v>0.5501375344</v>
      </c>
      <c r="G731" s="4">
        <f>IFERROR(__xludf.DUMMYFUNCTION("GOOGLEFINANCE(""CURRENCY:INRBRL"")*D731"),107.57573221947999)</f>
        <v>107.5757322</v>
      </c>
      <c r="H731" s="1">
        <v>4.5</v>
      </c>
      <c r="I731" s="1">
        <v>3517.0</v>
      </c>
      <c r="J731" s="1" t="s">
        <v>2744</v>
      </c>
      <c r="K731" s="5" t="s">
        <v>2745</v>
      </c>
    </row>
    <row r="732">
      <c r="A732" s="1" t="s">
        <v>2746</v>
      </c>
      <c r="B732" s="1" t="s">
        <v>2747</v>
      </c>
      <c r="C732" s="1" t="s">
        <v>2545</v>
      </c>
      <c r="D732" s="2">
        <v>1999.0</v>
      </c>
      <c r="E732" s="2">
        <v>2999.0</v>
      </c>
      <c r="F732" s="3">
        <f t="shared" si="5"/>
        <v>0.3334444815</v>
      </c>
      <c r="G732" s="4">
        <f>IFERROR(__xludf.DUMMYFUNCTION("GOOGLEFINANCE(""CURRENCY:INRBRL"")*D732"),119.53523552348)</f>
        <v>119.5352355</v>
      </c>
      <c r="H732" s="1">
        <v>4.5</v>
      </c>
      <c r="I732" s="1">
        <v>63899.0</v>
      </c>
      <c r="J732" s="1" t="s">
        <v>2748</v>
      </c>
      <c r="K732" s="5" t="s">
        <v>2749</v>
      </c>
    </row>
    <row r="733">
      <c r="A733" s="1" t="s">
        <v>114</v>
      </c>
      <c r="B733" s="1" t="s">
        <v>115</v>
      </c>
      <c r="C733" s="1" t="s">
        <v>63</v>
      </c>
      <c r="D733" s="2">
        <v>199.0</v>
      </c>
      <c r="E733" s="2">
        <v>699.0</v>
      </c>
      <c r="F733" s="3">
        <f t="shared" si="5"/>
        <v>0.7153075823</v>
      </c>
      <c r="G733" s="4">
        <f>IFERROR(__xludf.DUMMYFUNCTION("GOOGLEFINANCE(""CURRENCY:INRBRL"")*D733"),11.899705787479999)</f>
        <v>11.89970579</v>
      </c>
      <c r="H733" s="1">
        <v>4.5</v>
      </c>
      <c r="I733" s="1">
        <v>12153.0</v>
      </c>
      <c r="J733" s="1" t="s">
        <v>116</v>
      </c>
      <c r="K733" s="5" t="s">
        <v>2750</v>
      </c>
    </row>
    <row r="734">
      <c r="A734" s="1" t="s">
        <v>2751</v>
      </c>
      <c r="B734" s="1" t="s">
        <v>2752</v>
      </c>
      <c r="C734" s="1" t="s">
        <v>2753</v>
      </c>
      <c r="D734" s="2">
        <v>399.0</v>
      </c>
      <c r="E734" s="2">
        <v>1499.0</v>
      </c>
      <c r="F734" s="3">
        <f t="shared" si="5"/>
        <v>0.7338225484</v>
      </c>
      <c r="G734" s="4">
        <f>IFERROR(__xludf.DUMMYFUNCTION("GOOGLEFINANCE(""CURRENCY:INRBRL"")*D734"),23.859209091479997)</f>
        <v>23.85920909</v>
      </c>
      <c r="H734" s="1">
        <v>4.5</v>
      </c>
      <c r="I734" s="1">
        <v>573.0</v>
      </c>
      <c r="J734" s="1" t="s">
        <v>2754</v>
      </c>
      <c r="K734" s="5" t="s">
        <v>2755</v>
      </c>
    </row>
    <row r="735">
      <c r="A735" s="1" t="s">
        <v>2756</v>
      </c>
      <c r="B735" s="1" t="s">
        <v>2757</v>
      </c>
      <c r="C735" s="1" t="s">
        <v>2758</v>
      </c>
      <c r="D735" s="2">
        <v>1699.0</v>
      </c>
      <c r="E735" s="2">
        <v>3999.0</v>
      </c>
      <c r="F735" s="3">
        <f t="shared" si="5"/>
        <v>0.5751437859</v>
      </c>
      <c r="G735" s="4">
        <f>IFERROR(__xludf.DUMMYFUNCTION("GOOGLEFINANCE(""CURRENCY:INRBRL"")*D735"),101.59598056748)</f>
        <v>101.5959806</v>
      </c>
      <c r="H735" s="1">
        <v>4.5</v>
      </c>
      <c r="I735" s="1">
        <v>25488.0</v>
      </c>
      <c r="J735" s="1" t="s">
        <v>2759</v>
      </c>
      <c r="K735" s="5" t="s">
        <v>2760</v>
      </c>
    </row>
    <row r="736">
      <c r="A736" s="1" t="s">
        <v>2761</v>
      </c>
      <c r="B736" s="1" t="s">
        <v>2762</v>
      </c>
      <c r="C736" s="1" t="s">
        <v>2261</v>
      </c>
      <c r="D736" s="2">
        <v>699.0</v>
      </c>
      <c r="E736" s="2">
        <v>995.0</v>
      </c>
      <c r="F736" s="3">
        <f t="shared" si="5"/>
        <v>0.2974874372</v>
      </c>
      <c r="G736" s="4">
        <f>IFERROR(__xludf.DUMMYFUNCTION("GOOGLEFINANCE(""CURRENCY:INRBRL"")*D736"),41.798464047479996)</f>
        <v>41.79846405</v>
      </c>
      <c r="H736" s="1">
        <v>4.5</v>
      </c>
      <c r="I736" s="1">
        <v>54405.0</v>
      </c>
      <c r="J736" s="1" t="s">
        <v>2763</v>
      </c>
      <c r="K736" s="5" t="s">
        <v>2764</v>
      </c>
    </row>
    <row r="737">
      <c r="A737" s="1" t="s">
        <v>1882</v>
      </c>
      <c r="B737" s="1" t="s">
        <v>1883</v>
      </c>
      <c r="C737" s="1" t="s">
        <v>1681</v>
      </c>
      <c r="D737" s="2">
        <v>95.0</v>
      </c>
      <c r="E737" s="2">
        <v>499.0</v>
      </c>
      <c r="F737" s="3">
        <f t="shared" si="5"/>
        <v>0.8096192385</v>
      </c>
      <c r="G737" s="4">
        <f>IFERROR(__xludf.DUMMYFUNCTION("GOOGLEFINANCE(""CURRENCY:INRBRL"")*D737"),5.6807640693999994)</f>
        <v>5.680764069</v>
      </c>
      <c r="H737" s="1">
        <v>4.5</v>
      </c>
      <c r="I737" s="1">
        <v>1949.0</v>
      </c>
      <c r="J737" s="1" t="s">
        <v>1884</v>
      </c>
      <c r="K737" s="5" t="s">
        <v>2765</v>
      </c>
    </row>
    <row r="738">
      <c r="A738" s="1" t="s">
        <v>2766</v>
      </c>
      <c r="B738" s="1" t="s">
        <v>2767</v>
      </c>
      <c r="C738" s="1" t="s">
        <v>2514</v>
      </c>
      <c r="D738" s="2">
        <v>1149.0</v>
      </c>
      <c r="E738" s="2">
        <v>1699.0</v>
      </c>
      <c r="F738" s="3">
        <f t="shared" si="5"/>
        <v>0.3237198352</v>
      </c>
      <c r="G738" s="4">
        <f>IFERROR(__xludf.DUMMYFUNCTION("GOOGLEFINANCE(""CURRENCY:INRBRL"")*D738"),68.70734648148)</f>
        <v>68.70734648</v>
      </c>
      <c r="H738" s="1">
        <v>4.5</v>
      </c>
      <c r="I738" s="1">
        <v>122478.0</v>
      </c>
      <c r="J738" s="1" t="s">
        <v>2768</v>
      </c>
      <c r="K738" s="5" t="s">
        <v>2769</v>
      </c>
    </row>
    <row r="739">
      <c r="A739" s="1" t="s">
        <v>2770</v>
      </c>
      <c r="B739" s="1" t="s">
        <v>2771</v>
      </c>
      <c r="C739" s="1" t="s">
        <v>2367</v>
      </c>
      <c r="D739" s="2">
        <v>1495.0</v>
      </c>
      <c r="E739" s="2">
        <v>1995.0</v>
      </c>
      <c r="F739" s="3">
        <f t="shared" si="5"/>
        <v>0.2506265664</v>
      </c>
      <c r="G739" s="4">
        <f>IFERROR(__xludf.DUMMYFUNCTION("GOOGLEFINANCE(""CURRENCY:INRBRL"")*D739"),89.39728719739999)</f>
        <v>89.3972872</v>
      </c>
      <c r="H739" s="1">
        <v>4.5</v>
      </c>
      <c r="I739" s="1">
        <v>7241.0</v>
      </c>
      <c r="J739" s="1" t="s">
        <v>2772</v>
      </c>
      <c r="K739" s="5" t="s">
        <v>2773</v>
      </c>
    </row>
    <row r="740">
      <c r="A740" s="1" t="s">
        <v>2774</v>
      </c>
      <c r="B740" s="1" t="s">
        <v>2775</v>
      </c>
      <c r="C740" s="1" t="s">
        <v>2275</v>
      </c>
      <c r="D740" s="2">
        <v>849.0</v>
      </c>
      <c r="E740" s="2">
        <v>4999.0</v>
      </c>
      <c r="F740" s="3">
        <f t="shared" si="5"/>
        <v>0.8301660332</v>
      </c>
      <c r="G740" s="4">
        <f>IFERROR(__xludf.DUMMYFUNCTION("GOOGLEFINANCE(""CURRENCY:INRBRL"")*D740"),50.768091525479996)</f>
        <v>50.76809153</v>
      </c>
      <c r="H740" s="1">
        <v>4.5</v>
      </c>
      <c r="I740" s="1">
        <v>20457.0</v>
      </c>
      <c r="J740" s="1" t="s">
        <v>2776</v>
      </c>
      <c r="K740" s="5" t="s">
        <v>2777</v>
      </c>
    </row>
    <row r="741">
      <c r="A741" s="1" t="s">
        <v>2778</v>
      </c>
      <c r="B741" s="1" t="s">
        <v>2779</v>
      </c>
      <c r="C741" s="1" t="s">
        <v>2780</v>
      </c>
      <c r="D741" s="2">
        <v>440.0</v>
      </c>
      <c r="E741" s="2">
        <v>440.0</v>
      </c>
      <c r="F741" s="3">
        <f t="shared" si="5"/>
        <v>0</v>
      </c>
      <c r="G741" s="4">
        <f>IFERROR(__xludf.DUMMYFUNCTION("GOOGLEFINANCE(""CURRENCY:INRBRL"")*D741"),26.310907268799998)</f>
        <v>26.31090727</v>
      </c>
      <c r="H741" s="1">
        <v>4.5</v>
      </c>
      <c r="I741" s="1">
        <v>861.0</v>
      </c>
      <c r="J741" s="1" t="s">
        <v>2781</v>
      </c>
      <c r="K741" s="5" t="s">
        <v>2782</v>
      </c>
    </row>
    <row r="742">
      <c r="A742" s="1" t="s">
        <v>1865</v>
      </c>
      <c r="B742" s="1" t="s">
        <v>1866</v>
      </c>
      <c r="C742" s="1" t="s">
        <v>1801</v>
      </c>
      <c r="D742" s="2">
        <v>349.0</v>
      </c>
      <c r="E742" s="2">
        <v>999.0</v>
      </c>
      <c r="F742" s="3">
        <f t="shared" si="5"/>
        <v>0.6506506507</v>
      </c>
      <c r="G742" s="4">
        <f>IFERROR(__xludf.DUMMYFUNCTION("GOOGLEFINANCE(""CURRENCY:INRBRL"")*D742"),20.869333265479998)</f>
        <v>20.86933327</v>
      </c>
      <c r="H742" s="1">
        <v>4.5</v>
      </c>
      <c r="I742" s="1">
        <v>16557.0</v>
      </c>
      <c r="J742" s="1" t="s">
        <v>1867</v>
      </c>
      <c r="K742" s="5" t="s">
        <v>2783</v>
      </c>
    </row>
    <row r="743">
      <c r="A743" s="1" t="s">
        <v>2784</v>
      </c>
      <c r="B743" s="1" t="s">
        <v>2785</v>
      </c>
      <c r="C743" s="1" t="s">
        <v>2275</v>
      </c>
      <c r="D743" s="2">
        <v>599.0</v>
      </c>
      <c r="E743" s="2">
        <v>3999.0</v>
      </c>
      <c r="F743" s="3">
        <f t="shared" si="5"/>
        <v>0.8502125531</v>
      </c>
      <c r="G743" s="4">
        <f>IFERROR(__xludf.DUMMYFUNCTION("GOOGLEFINANCE(""CURRENCY:INRBRL"")*D743"),35.81871239548)</f>
        <v>35.8187124</v>
      </c>
      <c r="H743" s="1">
        <v>4.5</v>
      </c>
      <c r="I743" s="1">
        <v>1087.0</v>
      </c>
      <c r="J743" s="1" t="s">
        <v>2786</v>
      </c>
      <c r="K743" s="5" t="s">
        <v>2787</v>
      </c>
    </row>
    <row r="744">
      <c r="A744" s="1" t="s">
        <v>2788</v>
      </c>
      <c r="B744" s="1" t="s">
        <v>2789</v>
      </c>
      <c r="C744" s="1" t="s">
        <v>2623</v>
      </c>
      <c r="D744" s="2">
        <v>149.0</v>
      </c>
      <c r="E744" s="2">
        <v>399.0</v>
      </c>
      <c r="F744" s="3">
        <f t="shared" si="5"/>
        <v>0.626566416</v>
      </c>
      <c r="G744" s="4">
        <f>IFERROR(__xludf.DUMMYFUNCTION("GOOGLEFINANCE(""CURRENCY:INRBRL"")*D744"),8.90982996148)</f>
        <v>8.909829961</v>
      </c>
      <c r="H744" s="1">
        <v>4.5</v>
      </c>
      <c r="I744" s="1">
        <v>154.0</v>
      </c>
      <c r="J744" s="1" t="s">
        <v>2790</v>
      </c>
      <c r="K744" s="5" t="s">
        <v>2791</v>
      </c>
    </row>
    <row r="745">
      <c r="A745" s="1" t="s">
        <v>2792</v>
      </c>
      <c r="B745" s="1" t="s">
        <v>2793</v>
      </c>
      <c r="C745" s="1" t="s">
        <v>2266</v>
      </c>
      <c r="D745" s="2">
        <v>289.0</v>
      </c>
      <c r="E745" s="2">
        <v>999.0</v>
      </c>
      <c r="F745" s="3">
        <f t="shared" si="5"/>
        <v>0.7107107107</v>
      </c>
      <c r="G745" s="4">
        <f>IFERROR(__xludf.DUMMYFUNCTION("GOOGLEFINANCE(""CURRENCY:INRBRL"")*D745"),17.28148227428)</f>
        <v>17.28148227</v>
      </c>
      <c r="H745" s="1">
        <v>4.5</v>
      </c>
      <c r="I745" s="1">
        <v>401.0</v>
      </c>
      <c r="J745" s="1" t="s">
        <v>2794</v>
      </c>
      <c r="K745" s="5" t="s">
        <v>2795</v>
      </c>
    </row>
    <row r="746">
      <c r="A746" s="1" t="s">
        <v>2796</v>
      </c>
      <c r="B746" s="1" t="s">
        <v>2797</v>
      </c>
      <c r="C746" s="1" t="s">
        <v>2798</v>
      </c>
      <c r="D746" s="2">
        <v>179.0</v>
      </c>
      <c r="E746" s="2">
        <v>499.0</v>
      </c>
      <c r="F746" s="3">
        <f t="shared" si="5"/>
        <v>0.6412825651</v>
      </c>
      <c r="G746" s="4">
        <f>IFERROR(__xludf.DUMMYFUNCTION("GOOGLEFINANCE(""CURRENCY:INRBRL"")*D746"),10.70375545708)</f>
        <v>10.70375546</v>
      </c>
      <c r="H746" s="1">
        <v>4.5</v>
      </c>
      <c r="I746" s="1">
        <v>9385.0</v>
      </c>
      <c r="J746" s="1" t="s">
        <v>2799</v>
      </c>
      <c r="K746" s="5" t="s">
        <v>2800</v>
      </c>
    </row>
    <row r="747">
      <c r="A747" s="1" t="s">
        <v>2801</v>
      </c>
      <c r="B747" s="1" t="s">
        <v>2802</v>
      </c>
      <c r="C747" s="1" t="s">
        <v>1348</v>
      </c>
      <c r="D747" s="2">
        <v>1499.0</v>
      </c>
      <c r="E747" s="2">
        <v>4999.0</v>
      </c>
      <c r="F747" s="3">
        <f t="shared" si="5"/>
        <v>0.700140028</v>
      </c>
      <c r="G747" s="4">
        <f>IFERROR(__xludf.DUMMYFUNCTION("GOOGLEFINANCE(""CURRENCY:INRBRL"")*D747"),89.63647726347999)</f>
        <v>89.63647726</v>
      </c>
      <c r="H747" s="1">
        <v>4.5</v>
      </c>
      <c r="I747" s="1">
        <v>92588.0</v>
      </c>
      <c r="J747" s="1" t="s">
        <v>2803</v>
      </c>
      <c r="K747" s="5" t="s">
        <v>2804</v>
      </c>
    </row>
    <row r="748">
      <c r="A748" s="1" t="s">
        <v>2805</v>
      </c>
      <c r="B748" s="1" t="s">
        <v>2806</v>
      </c>
      <c r="C748" s="1" t="s">
        <v>1403</v>
      </c>
      <c r="D748" s="2">
        <v>399.0</v>
      </c>
      <c r="E748" s="2">
        <v>699.0</v>
      </c>
      <c r="F748" s="3">
        <f t="shared" si="5"/>
        <v>0.4291845494</v>
      </c>
      <c r="G748" s="4">
        <f>IFERROR(__xludf.DUMMYFUNCTION("GOOGLEFINANCE(""CURRENCY:INRBRL"")*D748"),23.859209091479997)</f>
        <v>23.85920909</v>
      </c>
      <c r="H748" s="1">
        <v>4.5</v>
      </c>
      <c r="I748" s="1">
        <v>3454.0</v>
      </c>
      <c r="J748" s="1" t="s">
        <v>2807</v>
      </c>
      <c r="K748" s="5" t="s">
        <v>2808</v>
      </c>
    </row>
    <row r="749">
      <c r="A749" s="1" t="s">
        <v>2809</v>
      </c>
      <c r="B749" s="1" t="s">
        <v>2810</v>
      </c>
      <c r="C749" s="1" t="s">
        <v>2466</v>
      </c>
      <c r="D749" s="2">
        <v>599.0</v>
      </c>
      <c r="E749" s="2">
        <v>799.0</v>
      </c>
      <c r="F749" s="3">
        <f t="shared" si="5"/>
        <v>0.2503128911</v>
      </c>
      <c r="G749" s="4">
        <f>IFERROR(__xludf.DUMMYFUNCTION("GOOGLEFINANCE(""CURRENCY:INRBRL"")*D749"),35.81871239548)</f>
        <v>35.8187124</v>
      </c>
      <c r="H749" s="1">
        <v>4.5</v>
      </c>
      <c r="I749" s="1">
        <v>1579.0</v>
      </c>
      <c r="J749" s="1" t="s">
        <v>2811</v>
      </c>
      <c r="K749" s="5" t="s">
        <v>2812</v>
      </c>
    </row>
    <row r="750">
      <c r="A750" s="1" t="s">
        <v>2813</v>
      </c>
      <c r="B750" s="1" t="s">
        <v>2814</v>
      </c>
      <c r="C750" s="1" t="s">
        <v>2815</v>
      </c>
      <c r="D750" s="2">
        <v>949.0</v>
      </c>
      <c r="E750" s="2">
        <v>1999.0</v>
      </c>
      <c r="F750" s="3">
        <f t="shared" si="5"/>
        <v>0.5252626313</v>
      </c>
      <c r="G750" s="4">
        <f>IFERROR(__xludf.DUMMYFUNCTION("GOOGLEFINANCE(""CURRENCY:INRBRL"")*D750"),56.74784317748)</f>
        <v>56.74784318</v>
      </c>
      <c r="H750" s="1">
        <v>4.5</v>
      </c>
      <c r="I750" s="1">
        <v>14969.0</v>
      </c>
      <c r="J750" s="1" t="s">
        <v>2816</v>
      </c>
      <c r="K750" s="5" t="s">
        <v>2817</v>
      </c>
    </row>
    <row r="751">
      <c r="A751" s="1" t="s">
        <v>2818</v>
      </c>
      <c r="B751" s="1" t="s">
        <v>2819</v>
      </c>
      <c r="C751" s="1" t="s">
        <v>1348</v>
      </c>
      <c r="D751" s="2">
        <v>2499.0</v>
      </c>
      <c r="E751" s="2">
        <v>9999.0</v>
      </c>
      <c r="F751" s="3">
        <f t="shared" si="5"/>
        <v>0.7500750075</v>
      </c>
      <c r="G751" s="4">
        <f>IFERROR(__xludf.DUMMYFUNCTION("GOOGLEFINANCE(""CURRENCY:INRBRL"")*D751"),149.43399378348)</f>
        <v>149.4339938</v>
      </c>
      <c r="H751" s="1">
        <v>4.5</v>
      </c>
      <c r="I751" s="1">
        <v>42139.0</v>
      </c>
      <c r="J751" s="1" t="s">
        <v>2820</v>
      </c>
      <c r="K751" s="5" t="s">
        <v>2821</v>
      </c>
    </row>
    <row r="752">
      <c r="A752" s="1" t="s">
        <v>2822</v>
      </c>
      <c r="B752" s="1" t="s">
        <v>2823</v>
      </c>
      <c r="C752" s="1" t="s">
        <v>2343</v>
      </c>
      <c r="D752" s="2">
        <v>159.0</v>
      </c>
      <c r="E752" s="2">
        <v>180.0</v>
      </c>
      <c r="F752" s="3">
        <f t="shared" si="5"/>
        <v>0.1166666667</v>
      </c>
      <c r="G752" s="4">
        <f>IFERROR(__xludf.DUMMYFUNCTION("GOOGLEFINANCE(""CURRENCY:INRBRL"")*D752"),9.50780512668)</f>
        <v>9.507805127</v>
      </c>
      <c r="H752" s="1">
        <v>4.5</v>
      </c>
      <c r="I752" s="1">
        <v>989.0</v>
      </c>
      <c r="J752" s="1" t="s">
        <v>2824</v>
      </c>
      <c r="K752" s="5" t="s">
        <v>2825</v>
      </c>
    </row>
    <row r="753">
      <c r="A753" s="1" t="s">
        <v>2826</v>
      </c>
      <c r="B753" s="1" t="s">
        <v>2827</v>
      </c>
      <c r="C753" s="1" t="s">
        <v>1385</v>
      </c>
      <c r="D753" s="2">
        <v>1329.0</v>
      </c>
      <c r="E753" s="2">
        <v>2899.0</v>
      </c>
      <c r="F753" s="3">
        <f t="shared" si="5"/>
        <v>0.5415660573</v>
      </c>
      <c r="G753" s="4">
        <f>IFERROR(__xludf.DUMMYFUNCTION("GOOGLEFINANCE(""CURRENCY:INRBRL"")*D753"),79.47089945508)</f>
        <v>79.47089946</v>
      </c>
      <c r="H753" s="1">
        <v>4.5</v>
      </c>
      <c r="I753" s="1">
        <v>19624.0</v>
      </c>
      <c r="J753" s="1" t="s">
        <v>2828</v>
      </c>
      <c r="K753" s="5" t="s">
        <v>2829</v>
      </c>
    </row>
    <row r="754">
      <c r="A754" s="1" t="s">
        <v>2830</v>
      </c>
      <c r="B754" s="1" t="s">
        <v>2831</v>
      </c>
      <c r="C754" s="1" t="s">
        <v>2798</v>
      </c>
      <c r="D754" s="2">
        <v>570.0</v>
      </c>
      <c r="E754" s="2">
        <v>999.0</v>
      </c>
      <c r="F754" s="3">
        <f t="shared" si="5"/>
        <v>0.4294294294</v>
      </c>
      <c r="G754" s="4">
        <f>IFERROR(__xludf.DUMMYFUNCTION("GOOGLEFINANCE(""CURRENCY:INRBRL"")*D754"),34.0845844164)</f>
        <v>34.08458442</v>
      </c>
      <c r="H754" s="1">
        <v>4.5</v>
      </c>
      <c r="I754" s="1">
        <v>3201.0</v>
      </c>
      <c r="J754" s="1" t="s">
        <v>2832</v>
      </c>
      <c r="K754" s="5" t="s">
        <v>2833</v>
      </c>
    </row>
    <row r="755">
      <c r="A755" s="1" t="s">
        <v>2834</v>
      </c>
      <c r="B755" s="1" t="s">
        <v>2835</v>
      </c>
      <c r="C755" s="1" t="s">
        <v>2836</v>
      </c>
      <c r="D755" s="2">
        <v>899.0</v>
      </c>
      <c r="E755" s="2">
        <v>1999.0</v>
      </c>
      <c r="F755" s="3">
        <f t="shared" si="5"/>
        <v>0.5502751376</v>
      </c>
      <c r="G755" s="4">
        <f>IFERROR(__xludf.DUMMYFUNCTION("GOOGLEFINANCE(""CURRENCY:INRBRL"")*D755"),53.75796735148)</f>
        <v>53.75796735</v>
      </c>
      <c r="H755" s="1">
        <v>4.5</v>
      </c>
      <c r="I755" s="1">
        <v>30469.0</v>
      </c>
      <c r="J755" s="1" t="s">
        <v>2837</v>
      </c>
      <c r="K755" s="5" t="s">
        <v>2838</v>
      </c>
    </row>
    <row r="756">
      <c r="A756" s="1" t="s">
        <v>2839</v>
      </c>
      <c r="B756" s="1" t="s">
        <v>2840</v>
      </c>
      <c r="C756" s="1" t="s">
        <v>2841</v>
      </c>
      <c r="D756" s="2">
        <v>449.0</v>
      </c>
      <c r="E756" s="2">
        <v>999.0</v>
      </c>
      <c r="F756" s="3">
        <f t="shared" si="5"/>
        <v>0.5505505506</v>
      </c>
      <c r="G756" s="4">
        <f>IFERROR(__xludf.DUMMYFUNCTION("GOOGLEFINANCE(""CURRENCY:INRBRL"")*D756"),26.84908491748)</f>
        <v>26.84908492</v>
      </c>
      <c r="H756" s="1">
        <v>4.5</v>
      </c>
      <c r="I756" s="1">
        <v>994.0</v>
      </c>
      <c r="J756" s="1" t="s">
        <v>2842</v>
      </c>
      <c r="K756" s="5" t="s">
        <v>2843</v>
      </c>
    </row>
    <row r="757">
      <c r="A757" s="1" t="s">
        <v>2844</v>
      </c>
      <c r="B757" s="1" t="s">
        <v>2845</v>
      </c>
      <c r="C757" s="1" t="s">
        <v>2846</v>
      </c>
      <c r="D757" s="2">
        <v>549.0</v>
      </c>
      <c r="E757" s="2">
        <v>999.0</v>
      </c>
      <c r="F757" s="3">
        <f t="shared" si="5"/>
        <v>0.4504504505</v>
      </c>
      <c r="G757" s="4">
        <f>IFERROR(__xludf.DUMMYFUNCTION("GOOGLEFINANCE(""CURRENCY:INRBRL"")*D757"),32.828836569479996)</f>
        <v>32.82883657</v>
      </c>
      <c r="H757" s="1">
        <v>4.5</v>
      </c>
      <c r="I757" s="1">
        <v>7758.0</v>
      </c>
      <c r="J757" s="1" t="s">
        <v>2847</v>
      </c>
      <c r="K757" s="5" t="s">
        <v>2848</v>
      </c>
    </row>
    <row r="758">
      <c r="A758" s="1" t="s">
        <v>2849</v>
      </c>
      <c r="B758" s="1" t="s">
        <v>2850</v>
      </c>
      <c r="C758" s="1" t="s">
        <v>2514</v>
      </c>
      <c r="D758" s="2">
        <v>1529.0</v>
      </c>
      <c r="E758" s="2">
        <v>2399.0</v>
      </c>
      <c r="F758" s="3">
        <f t="shared" si="5"/>
        <v>0.3626511046</v>
      </c>
      <c r="G758" s="4">
        <f>IFERROR(__xludf.DUMMYFUNCTION("GOOGLEFINANCE(""CURRENCY:INRBRL"")*D758"),91.43040275908)</f>
        <v>91.43040276</v>
      </c>
      <c r="H758" s="1">
        <v>4.5</v>
      </c>
      <c r="I758" s="1">
        <v>68409.0</v>
      </c>
      <c r="J758" s="1" t="s">
        <v>2851</v>
      </c>
      <c r="K758" s="5" t="s">
        <v>2852</v>
      </c>
    </row>
    <row r="759">
      <c r="A759" s="1" t="s">
        <v>2853</v>
      </c>
      <c r="B759" s="1" t="s">
        <v>2854</v>
      </c>
      <c r="C759" s="1" t="s">
        <v>2855</v>
      </c>
      <c r="D759" s="2">
        <v>100.0</v>
      </c>
      <c r="E759" s="2">
        <v>100.0</v>
      </c>
      <c r="F759" s="3">
        <f t="shared" si="5"/>
        <v>0</v>
      </c>
      <c r="G759" s="4">
        <f>IFERROR(__xludf.DUMMYFUNCTION("GOOGLEFINANCE(""CURRENCY:INRBRL"")*D759"),5.979751652)</f>
        <v>5.979751652</v>
      </c>
      <c r="H759" s="1">
        <v>4.5</v>
      </c>
      <c r="I759" s="1">
        <v>3095.0</v>
      </c>
      <c r="J759" s="1" t="s">
        <v>2856</v>
      </c>
      <c r="K759" s="5" t="s">
        <v>2857</v>
      </c>
    </row>
    <row r="760">
      <c r="A760" s="1" t="s">
        <v>2858</v>
      </c>
      <c r="B760" s="1" t="s">
        <v>2859</v>
      </c>
      <c r="C760" s="1" t="s">
        <v>2286</v>
      </c>
      <c r="D760" s="2">
        <v>299.0</v>
      </c>
      <c r="E760" s="2">
        <v>1499.0</v>
      </c>
      <c r="F760" s="3">
        <f t="shared" si="5"/>
        <v>0.8005336891</v>
      </c>
      <c r="G760" s="4">
        <f>IFERROR(__xludf.DUMMYFUNCTION("GOOGLEFINANCE(""CURRENCY:INRBRL"")*D760"),17.87945743948)</f>
        <v>17.87945744</v>
      </c>
      <c r="H760" s="1">
        <v>4.5</v>
      </c>
      <c r="I760" s="1">
        <v>903.0</v>
      </c>
      <c r="J760" s="1" t="s">
        <v>2860</v>
      </c>
      <c r="K760" s="5" t="s">
        <v>2861</v>
      </c>
    </row>
    <row r="761">
      <c r="A761" s="1" t="s">
        <v>2862</v>
      </c>
      <c r="B761" s="1" t="s">
        <v>2863</v>
      </c>
      <c r="C761" s="1" t="s">
        <v>2367</v>
      </c>
      <c r="D761" s="2">
        <v>1295.0</v>
      </c>
      <c r="E761" s="2">
        <v>1795.0</v>
      </c>
      <c r="F761" s="3">
        <f t="shared" si="5"/>
        <v>0.278551532</v>
      </c>
      <c r="G761" s="4">
        <f>IFERROR(__xludf.DUMMYFUNCTION("GOOGLEFINANCE(""CURRENCY:INRBRL"")*D761"),77.4377838934)</f>
        <v>77.43778389</v>
      </c>
      <c r="H761" s="1">
        <v>4.5</v>
      </c>
      <c r="I761" s="1">
        <v>25771.0</v>
      </c>
      <c r="J761" s="1" t="s">
        <v>2864</v>
      </c>
      <c r="K761" s="5" t="s">
        <v>2865</v>
      </c>
    </row>
    <row r="762">
      <c r="A762" s="1" t="s">
        <v>2866</v>
      </c>
      <c r="B762" s="1" t="s">
        <v>2867</v>
      </c>
      <c r="C762" s="1" t="s">
        <v>1403</v>
      </c>
      <c r="D762" s="2">
        <v>699.0</v>
      </c>
      <c r="E762" s="2">
        <v>999.0</v>
      </c>
      <c r="F762" s="3">
        <f t="shared" si="5"/>
        <v>0.3003003003</v>
      </c>
      <c r="G762" s="4">
        <f>IFERROR(__xludf.DUMMYFUNCTION("GOOGLEFINANCE(""CURRENCY:INRBRL"")*D762"),41.798464047479996)</f>
        <v>41.79846405</v>
      </c>
      <c r="H762" s="1">
        <v>4.5</v>
      </c>
      <c r="I762" s="1">
        <v>273189.0</v>
      </c>
      <c r="J762" s="1" t="s">
        <v>2868</v>
      </c>
      <c r="K762" s="5" t="s">
        <v>2869</v>
      </c>
    </row>
    <row r="763">
      <c r="A763" s="1" t="s">
        <v>2870</v>
      </c>
      <c r="B763" s="1" t="s">
        <v>2871</v>
      </c>
      <c r="C763" s="1" t="s">
        <v>2872</v>
      </c>
      <c r="D763" s="2">
        <v>252.0</v>
      </c>
      <c r="E763" s="2">
        <v>315.0</v>
      </c>
      <c r="F763" s="3">
        <f t="shared" si="5"/>
        <v>0.2</v>
      </c>
      <c r="G763" s="4">
        <f>IFERROR(__xludf.DUMMYFUNCTION("GOOGLEFINANCE(""CURRENCY:INRBRL"")*D763"),15.068974163039998)</f>
        <v>15.06897416</v>
      </c>
      <c r="H763" s="1">
        <v>4.5</v>
      </c>
      <c r="I763" s="1">
        <v>3785.0</v>
      </c>
      <c r="J763" s="1" t="s">
        <v>2873</v>
      </c>
      <c r="K763" s="5" t="s">
        <v>2874</v>
      </c>
    </row>
    <row r="764">
      <c r="A764" s="1" t="s">
        <v>2875</v>
      </c>
      <c r="B764" s="1" t="s">
        <v>2876</v>
      </c>
      <c r="C764" s="1" t="s">
        <v>2343</v>
      </c>
      <c r="D764" s="2">
        <v>190.0</v>
      </c>
      <c r="E764" s="2">
        <v>220.0</v>
      </c>
      <c r="F764" s="3">
        <f t="shared" si="5"/>
        <v>0.1363636364</v>
      </c>
      <c r="G764" s="4">
        <f>IFERROR(__xludf.DUMMYFUNCTION("GOOGLEFINANCE(""CURRENCY:INRBRL"")*D764"),11.361528138799999)</f>
        <v>11.36152814</v>
      </c>
      <c r="H764" s="1">
        <v>4.5</v>
      </c>
      <c r="I764" s="1">
        <v>2866.0</v>
      </c>
      <c r="J764" s="1" t="s">
        <v>2877</v>
      </c>
      <c r="K764" s="5" t="s">
        <v>2878</v>
      </c>
    </row>
    <row r="765">
      <c r="A765" s="1" t="s">
        <v>2879</v>
      </c>
      <c r="B765" s="1" t="s">
        <v>2880</v>
      </c>
      <c r="C765" s="1" t="s">
        <v>2367</v>
      </c>
      <c r="D765" s="2">
        <v>1299.0</v>
      </c>
      <c r="E765" s="2">
        <v>1599.0</v>
      </c>
      <c r="F765" s="3">
        <f t="shared" si="5"/>
        <v>0.1876172608</v>
      </c>
      <c r="G765" s="4">
        <f>IFERROR(__xludf.DUMMYFUNCTION("GOOGLEFINANCE(""CURRENCY:INRBRL"")*D765"),77.67697395948)</f>
        <v>77.67697396</v>
      </c>
      <c r="H765" s="1">
        <v>4.5</v>
      </c>
      <c r="I765" s="1">
        <v>27223.0</v>
      </c>
      <c r="J765" s="1" t="s">
        <v>2881</v>
      </c>
      <c r="K765" s="5" t="s">
        <v>2882</v>
      </c>
    </row>
    <row r="766">
      <c r="A766" s="1" t="s">
        <v>2883</v>
      </c>
      <c r="B766" s="1" t="s">
        <v>2884</v>
      </c>
      <c r="C766" s="1" t="s">
        <v>2256</v>
      </c>
      <c r="D766" s="2">
        <v>729.0</v>
      </c>
      <c r="E766" s="2">
        <v>1650.0</v>
      </c>
      <c r="F766" s="3">
        <f t="shared" si="5"/>
        <v>0.5581818182</v>
      </c>
      <c r="G766" s="4">
        <f>IFERROR(__xludf.DUMMYFUNCTION("GOOGLEFINANCE(""CURRENCY:INRBRL"")*D766"),43.592389543079996)</f>
        <v>43.59238954</v>
      </c>
      <c r="H766" s="1">
        <v>4.5</v>
      </c>
      <c r="I766" s="1">
        <v>82356.0</v>
      </c>
      <c r="J766" s="1" t="s">
        <v>2885</v>
      </c>
      <c r="K766" s="5" t="s">
        <v>2886</v>
      </c>
    </row>
    <row r="767">
      <c r="A767" s="1" t="s">
        <v>2887</v>
      </c>
      <c r="B767" s="1" t="s">
        <v>2888</v>
      </c>
      <c r="C767" s="1" t="s">
        <v>2889</v>
      </c>
      <c r="D767" s="2">
        <v>480.0</v>
      </c>
      <c r="E767" s="2">
        <v>600.0</v>
      </c>
      <c r="F767" s="3">
        <f t="shared" si="5"/>
        <v>0.2</v>
      </c>
      <c r="G767" s="4">
        <f>IFERROR(__xludf.DUMMYFUNCTION("GOOGLEFINANCE(""CURRENCY:INRBRL"")*D767"),28.7028079296)</f>
        <v>28.70280793</v>
      </c>
      <c r="H767" s="1">
        <v>4.5</v>
      </c>
      <c r="I767" s="1">
        <v>5719.0</v>
      </c>
      <c r="J767" s="1" t="s">
        <v>2890</v>
      </c>
      <c r="K767" s="5" t="s">
        <v>2891</v>
      </c>
    </row>
    <row r="768">
      <c r="A768" s="1" t="s">
        <v>1920</v>
      </c>
      <c r="B768" s="1" t="s">
        <v>1921</v>
      </c>
      <c r="C768" s="1" t="s">
        <v>1348</v>
      </c>
      <c r="D768" s="2">
        <v>1799.0</v>
      </c>
      <c r="E768" s="2">
        <v>6999.0</v>
      </c>
      <c r="F768" s="3">
        <f t="shared" si="5"/>
        <v>0.7429632805</v>
      </c>
      <c r="G768" s="4">
        <f>IFERROR(__xludf.DUMMYFUNCTION("GOOGLEFINANCE(""CURRENCY:INRBRL"")*D768"),107.57573221947999)</f>
        <v>107.5757322</v>
      </c>
      <c r="H768" s="1">
        <v>4.5</v>
      </c>
      <c r="I768" s="1">
        <v>2688.0</v>
      </c>
      <c r="J768" s="1" t="s">
        <v>1922</v>
      </c>
      <c r="K768" s="5" t="s">
        <v>2892</v>
      </c>
    </row>
    <row r="769">
      <c r="A769" s="1" t="s">
        <v>2893</v>
      </c>
      <c r="B769" s="1" t="s">
        <v>2894</v>
      </c>
      <c r="C769" s="1" t="s">
        <v>2275</v>
      </c>
      <c r="D769" s="2">
        <v>999.0</v>
      </c>
      <c r="E769" s="2">
        <v>2499.0</v>
      </c>
      <c r="F769" s="3">
        <f t="shared" si="5"/>
        <v>0.600240096</v>
      </c>
      <c r="G769" s="4">
        <f>IFERROR(__xludf.DUMMYFUNCTION("GOOGLEFINANCE(""CURRENCY:INRBRL"")*D769"),59.737719003479995)</f>
        <v>59.737719</v>
      </c>
      <c r="H769" s="1">
        <v>4.5</v>
      </c>
      <c r="I769" s="1">
        <v>169.0</v>
      </c>
      <c r="J769" s="1" t="s">
        <v>2895</v>
      </c>
      <c r="K769" s="5" t="s">
        <v>2896</v>
      </c>
    </row>
    <row r="770">
      <c r="A770" s="1" t="s">
        <v>122</v>
      </c>
      <c r="B770" s="1" t="s">
        <v>123</v>
      </c>
      <c r="C770" s="1" t="s">
        <v>13</v>
      </c>
      <c r="D770" s="2">
        <v>299.0</v>
      </c>
      <c r="E770" s="2">
        <v>399.0</v>
      </c>
      <c r="F770" s="3">
        <f t="shared" si="5"/>
        <v>0.2506265664</v>
      </c>
      <c r="G770" s="4">
        <f>IFERROR(__xludf.DUMMYFUNCTION("GOOGLEFINANCE(""CURRENCY:INRBRL"")*D770"),17.87945743948)</f>
        <v>17.87945744</v>
      </c>
      <c r="H770" s="1">
        <v>4.5</v>
      </c>
      <c r="I770" s="1">
        <v>2766.0</v>
      </c>
      <c r="J770" s="1" t="s">
        <v>124</v>
      </c>
      <c r="K770" s="5" t="s">
        <v>2897</v>
      </c>
    </row>
    <row r="771">
      <c r="A771" s="1" t="s">
        <v>2898</v>
      </c>
      <c r="B771" s="1" t="s">
        <v>2899</v>
      </c>
      <c r="C771" s="1" t="s">
        <v>2900</v>
      </c>
      <c r="D771" s="2">
        <v>238.0</v>
      </c>
      <c r="E771" s="2">
        <v>699.0</v>
      </c>
      <c r="F771" s="3">
        <f t="shared" si="5"/>
        <v>0.6595135908</v>
      </c>
      <c r="G771" s="4">
        <f>IFERROR(__xludf.DUMMYFUNCTION("GOOGLEFINANCE(""CURRENCY:INRBRL"")*D771"),14.23180893176)</f>
        <v>14.23180893</v>
      </c>
      <c r="H771" s="1">
        <v>4.5</v>
      </c>
      <c r="I771" s="1">
        <v>8372.0</v>
      </c>
      <c r="J771" s="1" t="s">
        <v>2901</v>
      </c>
      <c r="K771" s="5" t="s">
        <v>2902</v>
      </c>
    </row>
    <row r="772">
      <c r="A772" s="1" t="s">
        <v>2903</v>
      </c>
      <c r="B772" s="1" t="s">
        <v>2904</v>
      </c>
      <c r="C772" s="1" t="s">
        <v>2367</v>
      </c>
      <c r="D772" s="2">
        <v>1349.0</v>
      </c>
      <c r="E772" s="2">
        <v>2198.0</v>
      </c>
      <c r="F772" s="3">
        <f t="shared" si="5"/>
        <v>0.3862602366</v>
      </c>
      <c r="G772" s="4">
        <f>IFERROR(__xludf.DUMMYFUNCTION("GOOGLEFINANCE(""CURRENCY:INRBRL"")*D772"),80.66684978548)</f>
        <v>80.66684979</v>
      </c>
      <c r="H772" s="1">
        <v>4.5</v>
      </c>
      <c r="I772" s="1">
        <v>7113.0</v>
      </c>
      <c r="J772" s="1" t="s">
        <v>2905</v>
      </c>
      <c r="K772" s="5" t="s">
        <v>2906</v>
      </c>
    </row>
    <row r="773">
      <c r="A773" s="1" t="s">
        <v>130</v>
      </c>
      <c r="B773" s="1" t="s">
        <v>131</v>
      </c>
      <c r="C773" s="1" t="s">
        <v>13</v>
      </c>
      <c r="D773" s="2">
        <v>299.0</v>
      </c>
      <c r="E773" s="2">
        <v>999.0</v>
      </c>
      <c r="F773" s="3">
        <f t="shared" si="5"/>
        <v>0.7007007007</v>
      </c>
      <c r="G773" s="4">
        <f>IFERROR(__xludf.DUMMYFUNCTION("GOOGLEFINANCE(""CURRENCY:INRBRL"")*D773"),17.87945743948)</f>
        <v>17.87945744</v>
      </c>
      <c r="H773" s="1">
        <v>4.5</v>
      </c>
      <c r="I773" s="1">
        <v>2085.0</v>
      </c>
      <c r="J773" s="1" t="s">
        <v>132</v>
      </c>
      <c r="K773" s="5" t="s">
        <v>2907</v>
      </c>
    </row>
    <row r="774">
      <c r="A774" s="1" t="s">
        <v>2908</v>
      </c>
      <c r="B774" s="1" t="s">
        <v>2909</v>
      </c>
      <c r="C774" s="1" t="s">
        <v>2815</v>
      </c>
      <c r="D774" s="2">
        <v>199.0</v>
      </c>
      <c r="E774" s="2">
        <v>499.0</v>
      </c>
      <c r="F774" s="3">
        <f t="shared" si="5"/>
        <v>0.6012024048</v>
      </c>
      <c r="G774" s="4">
        <f>IFERROR(__xludf.DUMMYFUNCTION("GOOGLEFINANCE(""CURRENCY:INRBRL"")*D774"),11.899705787479999)</f>
        <v>11.89970579</v>
      </c>
      <c r="H774" s="1">
        <v>4.5</v>
      </c>
      <c r="I774" s="1">
        <v>2804.0</v>
      </c>
      <c r="J774" s="1" t="s">
        <v>2910</v>
      </c>
      <c r="K774" s="5" t="s">
        <v>2911</v>
      </c>
    </row>
    <row r="775">
      <c r="A775" s="1" t="s">
        <v>2912</v>
      </c>
      <c r="B775" s="1" t="s">
        <v>2913</v>
      </c>
      <c r="C775" s="1" t="s">
        <v>1403</v>
      </c>
      <c r="D775" s="2">
        <v>1999.0</v>
      </c>
      <c r="E775" s="2">
        <v>9999.0</v>
      </c>
      <c r="F775" s="3">
        <f t="shared" si="5"/>
        <v>0.800080008</v>
      </c>
      <c r="G775" s="4">
        <f>IFERROR(__xludf.DUMMYFUNCTION("GOOGLEFINANCE(""CURRENCY:INRBRL"")*D775"),119.53523552348)</f>
        <v>119.5352355</v>
      </c>
      <c r="H775" s="1">
        <v>4.5</v>
      </c>
      <c r="I775" s="1">
        <v>1986.0</v>
      </c>
      <c r="J775" s="1" t="s">
        <v>2450</v>
      </c>
      <c r="K775" s="5" t="s">
        <v>2914</v>
      </c>
    </row>
    <row r="776">
      <c r="A776" s="1" t="s">
        <v>2915</v>
      </c>
      <c r="B776" s="1" t="s">
        <v>2916</v>
      </c>
      <c r="C776" s="1" t="s">
        <v>1609</v>
      </c>
      <c r="D776" s="2">
        <v>99.0</v>
      </c>
      <c r="E776" s="2">
        <v>499.0</v>
      </c>
      <c r="F776" s="3">
        <f t="shared" si="5"/>
        <v>0.8016032064</v>
      </c>
      <c r="G776" s="4">
        <f>IFERROR(__xludf.DUMMYFUNCTION("GOOGLEFINANCE(""CURRENCY:INRBRL"")*D776"),5.919954135479999)</f>
        <v>5.919954135</v>
      </c>
      <c r="H776" s="1">
        <v>4.5</v>
      </c>
      <c r="I776" s="1">
        <v>2451.0</v>
      </c>
      <c r="J776" s="1" t="s">
        <v>1610</v>
      </c>
      <c r="K776" s="5" t="s">
        <v>2917</v>
      </c>
    </row>
    <row r="777">
      <c r="A777" s="1" t="s">
        <v>2918</v>
      </c>
      <c r="B777" s="1" t="s">
        <v>2919</v>
      </c>
      <c r="C777" s="1" t="s">
        <v>2261</v>
      </c>
      <c r="D777" s="2">
        <v>499.0</v>
      </c>
      <c r="E777" s="2">
        <v>999.0</v>
      </c>
      <c r="F777" s="3">
        <f t="shared" si="5"/>
        <v>0.5005005005</v>
      </c>
      <c r="G777" s="4">
        <f>IFERROR(__xludf.DUMMYFUNCTION("GOOGLEFINANCE(""CURRENCY:INRBRL"")*D777"),29.838960743479998)</f>
        <v>29.83896074</v>
      </c>
      <c r="H777" s="1">
        <v>4.5</v>
      </c>
      <c r="I777" s="1">
        <v>23.0</v>
      </c>
      <c r="J777" s="1" t="s">
        <v>2920</v>
      </c>
      <c r="K777" s="5" t="s">
        <v>2921</v>
      </c>
    </row>
    <row r="778">
      <c r="A778" s="1" t="s">
        <v>2922</v>
      </c>
      <c r="B778" s="1" t="s">
        <v>2923</v>
      </c>
      <c r="C778" s="1" t="s">
        <v>2924</v>
      </c>
      <c r="D778" s="2">
        <v>1792.0</v>
      </c>
      <c r="E778" s="2">
        <v>3499.0</v>
      </c>
      <c r="F778" s="3">
        <f t="shared" si="5"/>
        <v>0.4878536725</v>
      </c>
      <c r="G778" s="4">
        <f>IFERROR(__xludf.DUMMYFUNCTION("GOOGLEFINANCE(""CURRENCY:INRBRL"")*D778"),107.15714960384)</f>
        <v>107.1571496</v>
      </c>
      <c r="H778" s="1">
        <v>4.5</v>
      </c>
      <c r="I778" s="1">
        <v>26194.0</v>
      </c>
      <c r="J778" s="1" t="s">
        <v>2925</v>
      </c>
      <c r="K778" s="5" t="s">
        <v>2926</v>
      </c>
    </row>
    <row r="779">
      <c r="A779" s="1" t="s">
        <v>2927</v>
      </c>
      <c r="B779" s="1" t="s">
        <v>2928</v>
      </c>
      <c r="C779" s="1" t="s">
        <v>2929</v>
      </c>
      <c r="D779" s="2">
        <v>3299.0</v>
      </c>
      <c r="E779" s="2">
        <v>4099.0</v>
      </c>
      <c r="F779" s="3">
        <f t="shared" si="5"/>
        <v>0.1951695535</v>
      </c>
      <c r="G779" s="4">
        <f>IFERROR(__xludf.DUMMYFUNCTION("GOOGLEFINANCE(""CURRENCY:INRBRL"")*D779"),197.27200699948)</f>
        <v>197.272007</v>
      </c>
      <c r="H779" s="1">
        <v>4.5</v>
      </c>
      <c r="I779" s="1">
        <v>15783.0</v>
      </c>
      <c r="J779" s="1" t="s">
        <v>2930</v>
      </c>
      <c r="K779" s="5" t="s">
        <v>2931</v>
      </c>
    </row>
    <row r="780">
      <c r="A780" s="1" t="s">
        <v>2932</v>
      </c>
      <c r="B780" s="1" t="s">
        <v>2933</v>
      </c>
      <c r="C780" s="1" t="s">
        <v>2872</v>
      </c>
      <c r="D780" s="2">
        <v>125.0</v>
      </c>
      <c r="E780" s="2">
        <v>180.0</v>
      </c>
      <c r="F780" s="3">
        <f t="shared" si="5"/>
        <v>0.3055555556</v>
      </c>
      <c r="G780" s="4">
        <f>IFERROR(__xludf.DUMMYFUNCTION("GOOGLEFINANCE(""CURRENCY:INRBRL"")*D780"),7.474689564999999)</f>
        <v>7.474689565</v>
      </c>
      <c r="H780" s="1">
        <v>4.5</v>
      </c>
      <c r="I780" s="1">
        <v>8053.0</v>
      </c>
      <c r="J780" s="1" t="s">
        <v>2934</v>
      </c>
      <c r="K780" s="5" t="s">
        <v>2935</v>
      </c>
    </row>
    <row r="781">
      <c r="A781" s="1" t="s">
        <v>2936</v>
      </c>
      <c r="B781" s="1" t="s">
        <v>2937</v>
      </c>
      <c r="C781" s="1" t="s">
        <v>2261</v>
      </c>
      <c r="D781" s="2">
        <v>399.0</v>
      </c>
      <c r="E781" s="2">
        <v>1199.0</v>
      </c>
      <c r="F781" s="3">
        <f t="shared" si="5"/>
        <v>0.6672226856</v>
      </c>
      <c r="G781" s="4">
        <f>IFERROR(__xludf.DUMMYFUNCTION("GOOGLEFINANCE(""CURRENCY:INRBRL"")*D781"),23.859209091479997)</f>
        <v>23.85920909</v>
      </c>
      <c r="H781" s="1">
        <v>4.5</v>
      </c>
      <c r="I781" s="1">
        <v>2809.0</v>
      </c>
      <c r="J781" s="1" t="s">
        <v>2938</v>
      </c>
      <c r="K781" s="5" t="s">
        <v>2939</v>
      </c>
    </row>
    <row r="782">
      <c r="A782" s="1" t="s">
        <v>2940</v>
      </c>
      <c r="B782" s="1" t="s">
        <v>2941</v>
      </c>
      <c r="C782" s="1" t="s">
        <v>1403</v>
      </c>
      <c r="D782" s="2">
        <v>1199.0</v>
      </c>
      <c r="E782" s="2">
        <v>7999.0</v>
      </c>
      <c r="F782" s="3">
        <f t="shared" si="5"/>
        <v>0.8501062633</v>
      </c>
      <c r="G782" s="4">
        <f>IFERROR(__xludf.DUMMYFUNCTION("GOOGLEFINANCE(""CURRENCY:INRBRL"")*D782"),71.69722230747999)</f>
        <v>71.69722231</v>
      </c>
      <c r="H782" s="1">
        <v>4.5</v>
      </c>
      <c r="I782" s="1">
        <v>2591.0</v>
      </c>
      <c r="J782" s="1" t="s">
        <v>2942</v>
      </c>
      <c r="K782" s="5" t="s">
        <v>2943</v>
      </c>
    </row>
    <row r="783">
      <c r="A783" s="1" t="s">
        <v>2944</v>
      </c>
      <c r="B783" s="1" t="s">
        <v>2945</v>
      </c>
      <c r="C783" s="1" t="s">
        <v>2266</v>
      </c>
      <c r="D783" s="2">
        <v>235.0</v>
      </c>
      <c r="E783" s="2">
        <v>1599.0</v>
      </c>
      <c r="F783" s="3">
        <f t="shared" si="5"/>
        <v>0.8530331457</v>
      </c>
      <c r="G783" s="4">
        <f>IFERROR(__xludf.DUMMYFUNCTION("GOOGLEFINANCE(""CURRENCY:INRBRL"")*D783"),14.052416382199999)</f>
        <v>14.05241638</v>
      </c>
      <c r="H783" s="1">
        <v>4.5</v>
      </c>
      <c r="I783" s="1">
        <v>1173.0</v>
      </c>
      <c r="J783" s="1" t="s">
        <v>2946</v>
      </c>
      <c r="K783" s="5" t="s">
        <v>2947</v>
      </c>
    </row>
    <row r="784">
      <c r="A784" s="1" t="s">
        <v>2948</v>
      </c>
      <c r="B784" s="1" t="s">
        <v>2949</v>
      </c>
      <c r="C784" s="1" t="s">
        <v>2275</v>
      </c>
      <c r="D784" s="2">
        <v>549.0</v>
      </c>
      <c r="E784" s="2">
        <v>1999.0</v>
      </c>
      <c r="F784" s="3">
        <f t="shared" si="5"/>
        <v>0.7253626813</v>
      </c>
      <c r="G784" s="4">
        <f>IFERROR(__xludf.DUMMYFUNCTION("GOOGLEFINANCE(""CURRENCY:INRBRL"")*D784"),32.828836569479996)</f>
        <v>32.82883657</v>
      </c>
      <c r="H784" s="1">
        <v>4.5</v>
      </c>
      <c r="I784" s="1">
        <v>6422.0</v>
      </c>
      <c r="J784" s="1" t="s">
        <v>2950</v>
      </c>
      <c r="K784" s="5" t="s">
        <v>2951</v>
      </c>
    </row>
    <row r="785">
      <c r="A785" s="1" t="s">
        <v>2952</v>
      </c>
      <c r="B785" s="1" t="s">
        <v>2953</v>
      </c>
      <c r="C785" s="1" t="s">
        <v>2680</v>
      </c>
      <c r="D785" s="2">
        <v>89.0</v>
      </c>
      <c r="E785" s="2">
        <v>99.0</v>
      </c>
      <c r="F785" s="3">
        <f t="shared" si="5"/>
        <v>0.101010101</v>
      </c>
      <c r="G785" s="4">
        <f>IFERROR(__xludf.DUMMYFUNCTION("GOOGLEFINANCE(""CURRENCY:INRBRL"")*D785"),5.32197897028)</f>
        <v>5.32197897</v>
      </c>
      <c r="H785" s="1">
        <v>4.5</v>
      </c>
      <c r="I785" s="1">
        <v>241.0</v>
      </c>
      <c r="J785" s="1" t="s">
        <v>2954</v>
      </c>
      <c r="K785" s="5" t="s">
        <v>2955</v>
      </c>
    </row>
    <row r="786">
      <c r="A786" s="1" t="s">
        <v>126</v>
      </c>
      <c r="B786" s="1" t="s">
        <v>127</v>
      </c>
      <c r="C786" s="1" t="s">
        <v>13</v>
      </c>
      <c r="D786" s="2">
        <v>970.0</v>
      </c>
      <c r="E786" s="2">
        <v>1999.0</v>
      </c>
      <c r="F786" s="3">
        <f t="shared" si="5"/>
        <v>0.5147573787</v>
      </c>
      <c r="G786" s="4">
        <f>IFERROR(__xludf.DUMMYFUNCTION("GOOGLEFINANCE(""CURRENCY:INRBRL"")*D786"),58.003591024399995)</f>
        <v>58.00359102</v>
      </c>
      <c r="H786" s="1">
        <v>4.5</v>
      </c>
      <c r="I786" s="1">
        <v>184.0</v>
      </c>
      <c r="J786" s="1" t="s">
        <v>128</v>
      </c>
      <c r="K786" s="5" t="s">
        <v>2956</v>
      </c>
    </row>
    <row r="787">
      <c r="A787" s="1" t="s">
        <v>2957</v>
      </c>
      <c r="B787" s="1" t="s">
        <v>2958</v>
      </c>
      <c r="C787" s="1" t="s">
        <v>1403</v>
      </c>
      <c r="D787" s="2">
        <v>1299.0</v>
      </c>
      <c r="E787" s="2">
        <v>2999.0</v>
      </c>
      <c r="F787" s="3">
        <f t="shared" si="5"/>
        <v>0.5668556185</v>
      </c>
      <c r="G787" s="4">
        <f>IFERROR(__xludf.DUMMYFUNCTION("GOOGLEFINANCE(""CURRENCY:INRBRL"")*D787"),77.67697395948)</f>
        <v>77.67697396</v>
      </c>
      <c r="H787" s="1">
        <v>4.5</v>
      </c>
      <c r="I787" s="1">
        <v>14629.0</v>
      </c>
      <c r="J787" s="1" t="s">
        <v>2959</v>
      </c>
      <c r="K787" s="5" t="s">
        <v>2960</v>
      </c>
    </row>
    <row r="788">
      <c r="A788" s="1" t="s">
        <v>2961</v>
      </c>
      <c r="B788" s="1" t="s">
        <v>2962</v>
      </c>
      <c r="C788" s="1" t="s">
        <v>2476</v>
      </c>
      <c r="D788" s="2">
        <v>230.0</v>
      </c>
      <c r="E788" s="2">
        <v>999.0</v>
      </c>
      <c r="F788" s="3">
        <f t="shared" si="5"/>
        <v>0.7697697698</v>
      </c>
      <c r="G788" s="4">
        <f>IFERROR(__xludf.DUMMYFUNCTION("GOOGLEFINANCE(""CURRENCY:INRBRL"")*D788"),13.7534287996)</f>
        <v>13.7534288</v>
      </c>
      <c r="H788" s="1">
        <v>4.5</v>
      </c>
      <c r="I788" s="1">
        <v>1528.0</v>
      </c>
      <c r="J788" s="1" t="s">
        <v>2963</v>
      </c>
      <c r="K788" s="5" t="s">
        <v>2964</v>
      </c>
    </row>
    <row r="789">
      <c r="A789" s="1" t="s">
        <v>2965</v>
      </c>
      <c r="B789" s="1" t="s">
        <v>2966</v>
      </c>
      <c r="C789" s="1" t="s">
        <v>2967</v>
      </c>
      <c r="D789" s="2">
        <v>119.0</v>
      </c>
      <c r="E789" s="2">
        <v>499.0</v>
      </c>
      <c r="F789" s="3">
        <f t="shared" si="5"/>
        <v>0.7615230461</v>
      </c>
      <c r="G789" s="4">
        <f>IFERROR(__xludf.DUMMYFUNCTION("GOOGLEFINANCE(""CURRENCY:INRBRL"")*D789"),7.11590446588)</f>
        <v>7.115904466</v>
      </c>
      <c r="H789" s="1">
        <v>4.5</v>
      </c>
      <c r="I789" s="1">
        <v>15032.0</v>
      </c>
      <c r="J789" s="1" t="s">
        <v>2968</v>
      </c>
      <c r="K789" s="5" t="s">
        <v>2969</v>
      </c>
    </row>
    <row r="790">
      <c r="A790" s="1" t="s">
        <v>2970</v>
      </c>
      <c r="B790" s="1" t="s">
        <v>2971</v>
      </c>
      <c r="C790" s="1" t="s">
        <v>2972</v>
      </c>
      <c r="D790" s="2">
        <v>449.0</v>
      </c>
      <c r="E790" s="2">
        <v>800.0</v>
      </c>
      <c r="F790" s="3">
        <f t="shared" si="5"/>
        <v>0.43875</v>
      </c>
      <c r="G790" s="4">
        <f>IFERROR(__xludf.DUMMYFUNCTION("GOOGLEFINANCE(""CURRENCY:INRBRL"")*D790"),26.84908491748)</f>
        <v>26.84908492</v>
      </c>
      <c r="H790" s="1">
        <v>4.5</v>
      </c>
      <c r="I790" s="1">
        <v>69585.0</v>
      </c>
      <c r="J790" s="1" t="s">
        <v>2973</v>
      </c>
      <c r="K790" s="5" t="s">
        <v>2974</v>
      </c>
    </row>
    <row r="791">
      <c r="A791" s="1" t="s">
        <v>2975</v>
      </c>
      <c r="B791" s="1" t="s">
        <v>2976</v>
      </c>
      <c r="C791" s="1" t="s">
        <v>2977</v>
      </c>
      <c r="D791" s="2">
        <v>1699.0</v>
      </c>
      <c r="E791" s="2">
        <v>3495.0</v>
      </c>
      <c r="F791" s="3">
        <f t="shared" si="5"/>
        <v>0.5138769671</v>
      </c>
      <c r="G791" s="4">
        <f>IFERROR(__xludf.DUMMYFUNCTION("GOOGLEFINANCE(""CURRENCY:INRBRL"")*D791"),101.59598056748)</f>
        <v>101.5959806</v>
      </c>
      <c r="H791" s="1">
        <v>4.5</v>
      </c>
      <c r="I791" s="1">
        <v>14371.0</v>
      </c>
      <c r="J791" s="1" t="s">
        <v>2978</v>
      </c>
      <c r="K791" s="5" t="s">
        <v>2979</v>
      </c>
    </row>
    <row r="792">
      <c r="A792" s="1" t="s">
        <v>2980</v>
      </c>
      <c r="B792" s="1" t="s">
        <v>2981</v>
      </c>
      <c r="C792" s="1" t="s">
        <v>2872</v>
      </c>
      <c r="D792" s="2">
        <v>561.0</v>
      </c>
      <c r="E792" s="2">
        <v>720.0</v>
      </c>
      <c r="F792" s="3">
        <f t="shared" si="5"/>
        <v>0.2208333333</v>
      </c>
      <c r="G792" s="4">
        <f>IFERROR(__xludf.DUMMYFUNCTION("GOOGLEFINANCE(""CURRENCY:INRBRL"")*D792"),33.54640676772)</f>
        <v>33.54640677</v>
      </c>
      <c r="H792" s="1">
        <v>4.5</v>
      </c>
      <c r="I792" s="1">
        <v>3182.0</v>
      </c>
      <c r="J792" s="1" t="s">
        <v>2982</v>
      </c>
      <c r="K792" s="5" t="s">
        <v>2983</v>
      </c>
    </row>
    <row r="793">
      <c r="A793" s="1" t="s">
        <v>2984</v>
      </c>
      <c r="B793" s="1" t="s">
        <v>2985</v>
      </c>
      <c r="C793" s="1" t="s">
        <v>2261</v>
      </c>
      <c r="D793" s="2">
        <v>289.0</v>
      </c>
      <c r="E793" s="2">
        <v>590.0</v>
      </c>
      <c r="F793" s="3">
        <f t="shared" si="5"/>
        <v>0.5101694915</v>
      </c>
      <c r="G793" s="4">
        <f>IFERROR(__xludf.DUMMYFUNCTION("GOOGLEFINANCE(""CURRENCY:INRBRL"")*D793"),17.28148227428)</f>
        <v>17.28148227</v>
      </c>
      <c r="H793" s="1">
        <v>4.5</v>
      </c>
      <c r="I793" s="1">
        <v>25886.0</v>
      </c>
      <c r="J793" s="1" t="s">
        <v>2986</v>
      </c>
      <c r="K793" s="5" t="s">
        <v>2987</v>
      </c>
    </row>
    <row r="794">
      <c r="A794" s="1" t="s">
        <v>2988</v>
      </c>
      <c r="B794" s="1" t="s">
        <v>2989</v>
      </c>
      <c r="C794" s="1" t="s">
        <v>2286</v>
      </c>
      <c r="D794" s="2">
        <v>599.0</v>
      </c>
      <c r="E794" s="2">
        <v>1999.0</v>
      </c>
      <c r="F794" s="3">
        <f t="shared" si="5"/>
        <v>0.7003501751</v>
      </c>
      <c r="G794" s="4">
        <f>IFERROR(__xludf.DUMMYFUNCTION("GOOGLEFINANCE(""CURRENCY:INRBRL"")*D794"),35.81871239548)</f>
        <v>35.8187124</v>
      </c>
      <c r="H794" s="1">
        <v>4.5</v>
      </c>
      <c r="I794" s="1">
        <v>4736.0</v>
      </c>
      <c r="J794" s="1" t="s">
        <v>2990</v>
      </c>
      <c r="K794" s="5" t="s">
        <v>2991</v>
      </c>
    </row>
    <row r="795">
      <c r="A795" s="1" t="s">
        <v>2992</v>
      </c>
      <c r="B795" s="1" t="s">
        <v>2993</v>
      </c>
      <c r="C795" s="1" t="s">
        <v>2375</v>
      </c>
      <c r="D795" s="2">
        <v>5599.0</v>
      </c>
      <c r="E795" s="2">
        <v>7350.0</v>
      </c>
      <c r="F795" s="3">
        <f t="shared" si="5"/>
        <v>0.2382312925</v>
      </c>
      <c r="G795" s="4">
        <f>IFERROR(__xludf.DUMMYFUNCTION("GOOGLEFINANCE(""CURRENCY:INRBRL"")*D795"),334.80629499547996)</f>
        <v>334.806295</v>
      </c>
      <c r="H795" s="1">
        <v>4.5</v>
      </c>
      <c r="I795" s="1">
        <v>73005.0</v>
      </c>
      <c r="J795" s="1" t="s">
        <v>2994</v>
      </c>
      <c r="K795" s="5" t="s">
        <v>2995</v>
      </c>
    </row>
    <row r="796">
      <c r="A796" s="1" t="s">
        <v>2996</v>
      </c>
      <c r="B796" s="1" t="s">
        <v>2997</v>
      </c>
      <c r="C796" s="1" t="s">
        <v>2998</v>
      </c>
      <c r="D796" s="2">
        <v>1999.0</v>
      </c>
      <c r="E796" s="2">
        <v>2595.0</v>
      </c>
      <c r="F796" s="3">
        <f t="shared" si="5"/>
        <v>0.229672447</v>
      </c>
      <c r="G796" s="4">
        <f>IFERROR(__xludf.DUMMYFUNCTION("GOOGLEFINANCE(""CURRENCY:INRBRL"")*D796"),119.53523552348)</f>
        <v>119.5352355</v>
      </c>
      <c r="H796" s="1">
        <v>4.5</v>
      </c>
      <c r="I796" s="1">
        <v>20398.0</v>
      </c>
      <c r="J796" s="1" t="s">
        <v>2999</v>
      </c>
      <c r="K796" s="5" t="s">
        <v>3000</v>
      </c>
    </row>
    <row r="797">
      <c r="A797" s="1" t="s">
        <v>3001</v>
      </c>
      <c r="B797" s="1" t="s">
        <v>3002</v>
      </c>
      <c r="C797" s="1" t="s">
        <v>2798</v>
      </c>
      <c r="D797" s="2">
        <v>499.0</v>
      </c>
      <c r="E797" s="2">
        <v>799.0</v>
      </c>
      <c r="F797" s="3">
        <f t="shared" si="5"/>
        <v>0.3754693367</v>
      </c>
      <c r="G797" s="4">
        <f>IFERROR(__xludf.DUMMYFUNCTION("GOOGLEFINANCE(""CURRENCY:INRBRL"")*D797"),29.838960743479998)</f>
        <v>29.83896074</v>
      </c>
      <c r="H797" s="1">
        <v>4.5</v>
      </c>
      <c r="I797" s="1">
        <v>2125.0</v>
      </c>
      <c r="J797" s="1" t="s">
        <v>3003</v>
      </c>
      <c r="K797" s="5" t="s">
        <v>3004</v>
      </c>
    </row>
    <row r="798">
      <c r="A798" s="1" t="s">
        <v>3005</v>
      </c>
      <c r="B798" s="1" t="s">
        <v>3006</v>
      </c>
      <c r="C798" s="1" t="s">
        <v>2841</v>
      </c>
      <c r="D798" s="2">
        <v>449.0</v>
      </c>
      <c r="E798" s="2">
        <v>999.0</v>
      </c>
      <c r="F798" s="3">
        <f t="shared" si="5"/>
        <v>0.5505505506</v>
      </c>
      <c r="G798" s="4">
        <f>IFERROR(__xludf.DUMMYFUNCTION("GOOGLEFINANCE(""CURRENCY:INRBRL"")*D798"),26.84908491748)</f>
        <v>26.84908492</v>
      </c>
      <c r="H798" s="1">
        <v>4.5</v>
      </c>
      <c r="I798" s="1">
        <v>1133.0</v>
      </c>
      <c r="J798" s="1" t="s">
        <v>3007</v>
      </c>
      <c r="K798" s="5" t="s">
        <v>3008</v>
      </c>
    </row>
    <row r="799">
      <c r="A799" s="1" t="s">
        <v>3009</v>
      </c>
      <c r="B799" s="1" t="s">
        <v>3010</v>
      </c>
      <c r="C799" s="1" t="s">
        <v>3011</v>
      </c>
      <c r="D799" s="2">
        <v>999.0</v>
      </c>
      <c r="E799" s="2">
        <v>1999.0</v>
      </c>
      <c r="F799" s="3">
        <f t="shared" si="5"/>
        <v>0.5002501251</v>
      </c>
      <c r="G799" s="4">
        <f>IFERROR(__xludf.DUMMYFUNCTION("GOOGLEFINANCE(""CURRENCY:INRBRL"")*D799"),59.737719003479995)</f>
        <v>59.737719</v>
      </c>
      <c r="H799" s="1">
        <v>4.5</v>
      </c>
      <c r="I799" s="1">
        <v>27441.0</v>
      </c>
      <c r="J799" s="1" t="s">
        <v>3012</v>
      </c>
      <c r="K799" s="5" t="s">
        <v>3013</v>
      </c>
    </row>
    <row r="800">
      <c r="A800" s="1" t="s">
        <v>3014</v>
      </c>
      <c r="B800" s="1" t="s">
        <v>3015</v>
      </c>
      <c r="C800" s="1" t="s">
        <v>2082</v>
      </c>
      <c r="D800" s="2">
        <v>69.0</v>
      </c>
      <c r="E800" s="2">
        <v>299.0</v>
      </c>
      <c r="F800" s="3">
        <f t="shared" si="5"/>
        <v>0.7692307692</v>
      </c>
      <c r="G800" s="4">
        <f>IFERROR(__xludf.DUMMYFUNCTION("GOOGLEFINANCE(""CURRENCY:INRBRL"")*D800"),4.1260286398799995)</f>
        <v>4.12602864</v>
      </c>
      <c r="H800" s="1">
        <v>4.5</v>
      </c>
      <c r="I800" s="1">
        <v>255.0</v>
      </c>
      <c r="J800" s="1" t="s">
        <v>3016</v>
      </c>
      <c r="K800" s="5" t="s">
        <v>3017</v>
      </c>
    </row>
    <row r="801">
      <c r="A801" s="1" t="s">
        <v>3018</v>
      </c>
      <c r="B801" s="1" t="s">
        <v>3019</v>
      </c>
      <c r="C801" s="1" t="s">
        <v>2261</v>
      </c>
      <c r="D801" s="2">
        <v>899.0</v>
      </c>
      <c r="E801" s="2">
        <v>1499.0</v>
      </c>
      <c r="F801" s="3">
        <f t="shared" si="5"/>
        <v>0.4002668446</v>
      </c>
      <c r="G801" s="4">
        <f>IFERROR(__xludf.DUMMYFUNCTION("GOOGLEFINANCE(""CURRENCY:INRBRL"")*D801"),53.75796735148)</f>
        <v>53.75796735</v>
      </c>
      <c r="H801" s="1">
        <v>4.5</v>
      </c>
      <c r="I801" s="1">
        <v>23174.0</v>
      </c>
      <c r="J801" s="1" t="s">
        <v>3020</v>
      </c>
      <c r="K801" s="5" t="s">
        <v>3021</v>
      </c>
    </row>
    <row r="802">
      <c r="A802" s="1" t="s">
        <v>3022</v>
      </c>
      <c r="B802" s="1" t="s">
        <v>3023</v>
      </c>
      <c r="C802" s="1" t="s">
        <v>2337</v>
      </c>
      <c r="D802" s="2">
        <v>478.0</v>
      </c>
      <c r="E802" s="2">
        <v>699.0</v>
      </c>
      <c r="F802" s="3">
        <f t="shared" si="5"/>
        <v>0.3161659514</v>
      </c>
      <c r="G802" s="4">
        <f>IFERROR(__xludf.DUMMYFUNCTION("GOOGLEFINANCE(""CURRENCY:INRBRL"")*D802"),28.58321289656)</f>
        <v>28.5832129</v>
      </c>
      <c r="H802" s="1">
        <v>4.5</v>
      </c>
      <c r="I802" s="1">
        <v>20218.0</v>
      </c>
      <c r="J802" s="1" t="s">
        <v>3024</v>
      </c>
      <c r="K802" s="5" t="s">
        <v>3025</v>
      </c>
    </row>
    <row r="803">
      <c r="A803" s="1" t="s">
        <v>3026</v>
      </c>
      <c r="B803" s="1" t="s">
        <v>3027</v>
      </c>
      <c r="C803" s="1" t="s">
        <v>3028</v>
      </c>
      <c r="D803" s="2">
        <v>1399.0</v>
      </c>
      <c r="E803" s="2">
        <v>2499.0</v>
      </c>
      <c r="F803" s="3">
        <f t="shared" si="5"/>
        <v>0.4401760704</v>
      </c>
      <c r="G803" s="4">
        <f>IFERROR(__xludf.DUMMYFUNCTION("GOOGLEFINANCE(""CURRENCY:INRBRL"")*D803"),83.65672561148)</f>
        <v>83.65672561</v>
      </c>
      <c r="H803" s="1">
        <v>4.5</v>
      </c>
      <c r="I803" s="1">
        <v>11074.0</v>
      </c>
      <c r="J803" s="1" t="s">
        <v>3029</v>
      </c>
      <c r="K803" s="5" t="s">
        <v>3030</v>
      </c>
    </row>
    <row r="804">
      <c r="A804" s="1" t="s">
        <v>134</v>
      </c>
      <c r="B804" s="1" t="s">
        <v>135</v>
      </c>
      <c r="C804" s="1" t="s">
        <v>13</v>
      </c>
      <c r="D804" s="2">
        <v>199.0</v>
      </c>
      <c r="E804" s="2">
        <v>750.0</v>
      </c>
      <c r="F804" s="3">
        <f t="shared" si="5"/>
        <v>0.7346666667</v>
      </c>
      <c r="G804" s="4">
        <f>IFERROR(__xludf.DUMMYFUNCTION("GOOGLEFINANCE(""CURRENCY:INRBRL"")*D804"),11.899705787479999)</f>
        <v>11.89970579</v>
      </c>
      <c r="H804" s="1">
        <v>4.5</v>
      </c>
      <c r="I804" s="1">
        <v>74976.0</v>
      </c>
      <c r="J804" s="1" t="s">
        <v>136</v>
      </c>
      <c r="K804" s="5" t="s">
        <v>3031</v>
      </c>
    </row>
    <row r="805">
      <c r="A805" s="1" t="s">
        <v>3032</v>
      </c>
      <c r="B805" s="1" t="s">
        <v>3033</v>
      </c>
      <c r="C805" s="1" t="s">
        <v>3034</v>
      </c>
      <c r="D805" s="2">
        <v>149.0</v>
      </c>
      <c r="E805" s="2">
        <v>499.0</v>
      </c>
      <c r="F805" s="3">
        <f t="shared" si="5"/>
        <v>0.7014028056</v>
      </c>
      <c r="G805" s="4">
        <f>IFERROR(__xludf.DUMMYFUNCTION("GOOGLEFINANCE(""CURRENCY:INRBRL"")*D805"),8.90982996148)</f>
        <v>8.909829961</v>
      </c>
      <c r="H805" s="1">
        <v>4.5</v>
      </c>
      <c r="I805" s="1">
        <v>25607.0</v>
      </c>
      <c r="J805" s="1" t="s">
        <v>3035</v>
      </c>
      <c r="K805" s="5" t="s">
        <v>3036</v>
      </c>
    </row>
    <row r="806">
      <c r="A806" s="1" t="s">
        <v>3037</v>
      </c>
      <c r="B806" s="1" t="s">
        <v>3038</v>
      </c>
      <c r="C806" s="1" t="s">
        <v>2545</v>
      </c>
      <c r="D806" s="2">
        <v>1799.0</v>
      </c>
      <c r="E806" s="2">
        <v>4999.0</v>
      </c>
      <c r="F806" s="3">
        <f t="shared" si="5"/>
        <v>0.6401280256</v>
      </c>
      <c r="G806" s="4">
        <f>IFERROR(__xludf.DUMMYFUNCTION("GOOGLEFINANCE(""CURRENCY:INRBRL"")*D806"),107.57573221947999)</f>
        <v>107.5757322</v>
      </c>
      <c r="H806" s="1">
        <v>4.5</v>
      </c>
      <c r="I806" s="1">
        <v>41226.0</v>
      </c>
      <c r="J806" s="1" t="s">
        <v>3039</v>
      </c>
      <c r="K806" s="5" t="s">
        <v>3040</v>
      </c>
    </row>
    <row r="807">
      <c r="A807" s="1" t="s">
        <v>3041</v>
      </c>
      <c r="B807" s="1" t="s">
        <v>3042</v>
      </c>
      <c r="C807" s="1" t="s">
        <v>3043</v>
      </c>
      <c r="D807" s="2">
        <v>425.0</v>
      </c>
      <c r="E807" s="2">
        <v>999.0</v>
      </c>
      <c r="F807" s="3">
        <f t="shared" si="5"/>
        <v>0.5745745746</v>
      </c>
      <c r="G807" s="4">
        <f>IFERROR(__xludf.DUMMYFUNCTION("GOOGLEFINANCE(""CURRENCY:INRBRL"")*D807"),25.413944520999998)</f>
        <v>25.41394452</v>
      </c>
      <c r="H807" s="1">
        <v>4.5</v>
      </c>
      <c r="I807" s="1">
        <v>2581.0</v>
      </c>
      <c r="J807" s="1" t="s">
        <v>3044</v>
      </c>
      <c r="K807" s="5" t="s">
        <v>3045</v>
      </c>
    </row>
    <row r="808">
      <c r="A808" s="1" t="s">
        <v>3046</v>
      </c>
      <c r="B808" s="1" t="s">
        <v>3047</v>
      </c>
      <c r="C808" s="1" t="s">
        <v>2836</v>
      </c>
      <c r="D808" s="2">
        <v>999.0</v>
      </c>
      <c r="E808" s="2">
        <v>2499.0</v>
      </c>
      <c r="F808" s="3">
        <f t="shared" si="5"/>
        <v>0.600240096</v>
      </c>
      <c r="G808" s="4">
        <f>IFERROR(__xludf.DUMMYFUNCTION("GOOGLEFINANCE(""CURRENCY:INRBRL"")*D808"),59.737719003479995)</f>
        <v>59.737719</v>
      </c>
      <c r="H808" s="1">
        <v>4.5</v>
      </c>
      <c r="I808" s="1">
        <v>18331.0</v>
      </c>
      <c r="J808" s="1" t="s">
        <v>3048</v>
      </c>
      <c r="K808" s="5" t="s">
        <v>3049</v>
      </c>
    </row>
    <row r="809">
      <c r="A809" s="1" t="s">
        <v>3050</v>
      </c>
      <c r="B809" s="1" t="s">
        <v>3051</v>
      </c>
      <c r="C809" s="1" t="s">
        <v>2266</v>
      </c>
      <c r="D809" s="2">
        <v>378.0</v>
      </c>
      <c r="E809" s="2">
        <v>999.0</v>
      </c>
      <c r="F809" s="3">
        <f>((D809-E809)/E809)*-1</f>
        <v>0.6216216216</v>
      </c>
      <c r="G809" s="4">
        <f>IFERROR(__xludf.DUMMYFUNCTION("GOOGLEFINANCE(""CURRENCY:INRBRL"")*D809"),22.60346124456)</f>
        <v>22.60346124</v>
      </c>
      <c r="H809" s="1">
        <v>4.5</v>
      </c>
      <c r="I809" s="1">
        <v>1779.0</v>
      </c>
      <c r="J809" s="1" t="s">
        <v>3052</v>
      </c>
      <c r="K809" s="5" t="s">
        <v>3053</v>
      </c>
    </row>
    <row r="810">
      <c r="A810" s="1" t="s">
        <v>3054</v>
      </c>
      <c r="B810" s="1" t="s">
        <v>3055</v>
      </c>
      <c r="C810" s="1" t="s">
        <v>3056</v>
      </c>
      <c r="D810" s="2">
        <v>99.0</v>
      </c>
      <c r="E810" s="2">
        <v>99.0</v>
      </c>
      <c r="F810" s="3">
        <f t="shared" ref="F810:F966" si="6">((D810-E810)/-E810)</f>
        <v>0</v>
      </c>
      <c r="G810" s="4">
        <f>IFERROR(__xludf.DUMMYFUNCTION("GOOGLEFINANCE(""CURRENCY:INRBRL"")*D810"),5.919954135479999)</f>
        <v>5.919954135</v>
      </c>
      <c r="H810" s="1">
        <v>4.5</v>
      </c>
      <c r="I810" s="1">
        <v>388.0</v>
      </c>
      <c r="J810" s="1" t="s">
        <v>3057</v>
      </c>
      <c r="K810" s="5" t="s">
        <v>3058</v>
      </c>
    </row>
    <row r="811">
      <c r="A811" s="1" t="s">
        <v>3059</v>
      </c>
      <c r="B811" s="1" t="s">
        <v>3060</v>
      </c>
      <c r="C811" s="1" t="s">
        <v>2514</v>
      </c>
      <c r="D811" s="2">
        <v>1499.0</v>
      </c>
      <c r="E811" s="2">
        <v>2999.0</v>
      </c>
      <c r="F811" s="3">
        <f t="shared" si="6"/>
        <v>0.5001667222</v>
      </c>
      <c r="G811" s="4">
        <f>IFERROR(__xludf.DUMMYFUNCTION("GOOGLEFINANCE(""CURRENCY:INRBRL"")*D811"),89.63647726347999)</f>
        <v>89.63647726</v>
      </c>
      <c r="H811" s="1">
        <v>4.5</v>
      </c>
      <c r="I811" s="1">
        <v>8656.0</v>
      </c>
      <c r="J811" s="1" t="s">
        <v>3061</v>
      </c>
      <c r="K811" s="5" t="s">
        <v>3062</v>
      </c>
    </row>
    <row r="812">
      <c r="A812" s="1" t="s">
        <v>3063</v>
      </c>
      <c r="B812" s="1" t="s">
        <v>3064</v>
      </c>
      <c r="C812" s="1" t="s">
        <v>3065</v>
      </c>
      <c r="D812" s="2">
        <v>1815.0</v>
      </c>
      <c r="E812" s="2">
        <v>3099.0</v>
      </c>
      <c r="F812" s="3">
        <f t="shared" si="6"/>
        <v>0.4143272023</v>
      </c>
      <c r="G812" s="4">
        <f>IFERROR(__xludf.DUMMYFUNCTION("GOOGLEFINANCE(""CURRENCY:INRBRL"")*D812"),108.5324924838)</f>
        <v>108.5324925</v>
      </c>
      <c r="H812" s="1">
        <v>4.5</v>
      </c>
      <c r="I812" s="1">
        <v>92925.0</v>
      </c>
      <c r="J812" s="1" t="s">
        <v>3066</v>
      </c>
      <c r="K812" s="5" t="s">
        <v>3067</v>
      </c>
    </row>
    <row r="813">
      <c r="A813" s="1" t="s">
        <v>3068</v>
      </c>
      <c r="B813" s="1" t="s">
        <v>3069</v>
      </c>
      <c r="C813" s="1" t="s">
        <v>2872</v>
      </c>
      <c r="D813" s="2">
        <v>67.0</v>
      </c>
      <c r="E813" s="2">
        <v>75.0</v>
      </c>
      <c r="F813" s="3">
        <f t="shared" si="6"/>
        <v>0.1066666667</v>
      </c>
      <c r="G813" s="4">
        <f>IFERROR(__xludf.DUMMYFUNCTION("GOOGLEFINANCE(""CURRENCY:INRBRL"")*D813"),4.00643360684)</f>
        <v>4.006433607</v>
      </c>
      <c r="H813" s="1">
        <v>4.5</v>
      </c>
      <c r="I813" s="1">
        <v>1269.0</v>
      </c>
      <c r="J813" s="1" t="s">
        <v>3070</v>
      </c>
      <c r="K813" s="5" t="s">
        <v>3071</v>
      </c>
    </row>
    <row r="814">
      <c r="A814" s="1" t="s">
        <v>3072</v>
      </c>
      <c r="B814" s="1" t="s">
        <v>3073</v>
      </c>
      <c r="C814" s="1" t="s">
        <v>2275</v>
      </c>
      <c r="D814" s="2">
        <v>1889.0</v>
      </c>
      <c r="E814" s="2">
        <v>2699.0</v>
      </c>
      <c r="F814" s="3">
        <f t="shared" si="6"/>
        <v>0.3001111523</v>
      </c>
      <c r="G814" s="4">
        <f>IFERROR(__xludf.DUMMYFUNCTION("GOOGLEFINANCE(""CURRENCY:INRBRL"")*D814"),112.95750870628)</f>
        <v>112.9575087</v>
      </c>
      <c r="H814" s="1">
        <v>4.5</v>
      </c>
      <c r="I814" s="1">
        <v>17394.0</v>
      </c>
      <c r="J814" s="1" t="s">
        <v>3074</v>
      </c>
      <c r="K814" s="5" t="s">
        <v>3075</v>
      </c>
    </row>
    <row r="815">
      <c r="A815" s="1" t="s">
        <v>3076</v>
      </c>
      <c r="B815" s="1" t="s">
        <v>3077</v>
      </c>
      <c r="C815" s="1" t="s">
        <v>1403</v>
      </c>
      <c r="D815" s="2">
        <v>499.0</v>
      </c>
      <c r="E815" s="2">
        <v>1499.0</v>
      </c>
      <c r="F815" s="3">
        <f t="shared" si="6"/>
        <v>0.6671114076</v>
      </c>
      <c r="G815" s="4">
        <f>IFERROR(__xludf.DUMMYFUNCTION("GOOGLEFINANCE(""CURRENCY:INRBRL"")*D815"),29.838960743479998)</f>
        <v>29.83896074</v>
      </c>
      <c r="H815" s="1">
        <v>4.5</v>
      </c>
      <c r="I815" s="1">
        <v>9169.0</v>
      </c>
      <c r="J815" s="1" t="s">
        <v>3078</v>
      </c>
      <c r="K815" s="5" t="s">
        <v>3079</v>
      </c>
    </row>
    <row r="816">
      <c r="A816" s="1" t="s">
        <v>3080</v>
      </c>
      <c r="B816" s="1" t="s">
        <v>3081</v>
      </c>
      <c r="C816" s="1" t="s">
        <v>2476</v>
      </c>
      <c r="D816" s="2">
        <v>499.0</v>
      </c>
      <c r="E816" s="2">
        <v>999.0</v>
      </c>
      <c r="F816" s="3">
        <f t="shared" si="6"/>
        <v>0.5005005005</v>
      </c>
      <c r="G816" s="4">
        <f>IFERROR(__xludf.DUMMYFUNCTION("GOOGLEFINANCE(""CURRENCY:INRBRL"")*D816"),29.838960743479998)</f>
        <v>29.83896074</v>
      </c>
      <c r="H816" s="1">
        <v>4.5</v>
      </c>
      <c r="I816" s="1">
        <v>103.0</v>
      </c>
      <c r="J816" s="1" t="s">
        <v>3082</v>
      </c>
      <c r="K816" s="5" t="s">
        <v>3083</v>
      </c>
    </row>
    <row r="817">
      <c r="A817" s="1" t="s">
        <v>3084</v>
      </c>
      <c r="B817" s="1" t="s">
        <v>3085</v>
      </c>
      <c r="C817" s="1" t="s">
        <v>2375</v>
      </c>
      <c r="D817" s="2">
        <v>5799.0</v>
      </c>
      <c r="E817" s="2">
        <v>7999.0</v>
      </c>
      <c r="F817" s="3">
        <f t="shared" si="6"/>
        <v>0.2750343793</v>
      </c>
      <c r="G817" s="4">
        <f>IFERROR(__xludf.DUMMYFUNCTION("GOOGLEFINANCE(""CURRENCY:INRBRL"")*D817"),346.76579829947997)</f>
        <v>346.7657983</v>
      </c>
      <c r="H817" s="1">
        <v>4.5</v>
      </c>
      <c r="I817" s="1">
        <v>50273.0</v>
      </c>
      <c r="J817" s="1" t="s">
        <v>3086</v>
      </c>
      <c r="K817" s="5" t="s">
        <v>3087</v>
      </c>
    </row>
    <row r="818">
      <c r="A818" s="1" t="s">
        <v>3088</v>
      </c>
      <c r="B818" s="1" t="s">
        <v>3089</v>
      </c>
      <c r="C818" s="1" t="s">
        <v>3090</v>
      </c>
      <c r="D818" s="2">
        <v>499.0</v>
      </c>
      <c r="E818" s="2">
        <v>799.0</v>
      </c>
      <c r="F818" s="3">
        <f t="shared" si="6"/>
        <v>0.3754693367</v>
      </c>
      <c r="G818" s="4">
        <f>IFERROR(__xludf.DUMMYFUNCTION("GOOGLEFINANCE(""CURRENCY:INRBRL"")*D818"),29.838960743479998)</f>
        <v>29.83896074</v>
      </c>
      <c r="H818" s="1">
        <v>4.5</v>
      </c>
      <c r="I818" s="1">
        <v>6742.0</v>
      </c>
      <c r="J818" s="1" t="s">
        <v>3091</v>
      </c>
      <c r="K818" s="5" t="s">
        <v>3092</v>
      </c>
    </row>
    <row r="819">
      <c r="A819" s="1" t="s">
        <v>3093</v>
      </c>
      <c r="B819" s="1" t="s">
        <v>3094</v>
      </c>
      <c r="C819" s="1" t="s">
        <v>2266</v>
      </c>
      <c r="D819" s="2">
        <v>249.0</v>
      </c>
      <c r="E819" s="2">
        <v>600.0</v>
      </c>
      <c r="F819" s="3">
        <f t="shared" si="6"/>
        <v>0.585</v>
      </c>
      <c r="G819" s="4">
        <f>IFERROR(__xludf.DUMMYFUNCTION("GOOGLEFINANCE(""CURRENCY:INRBRL"")*D819"),14.889581613479999)</f>
        <v>14.88958161</v>
      </c>
      <c r="H819" s="1">
        <v>4.5</v>
      </c>
      <c r="I819" s="1">
        <v>1208.0</v>
      </c>
      <c r="J819" s="1" t="s">
        <v>3095</v>
      </c>
      <c r="K819" s="5" t="s">
        <v>3096</v>
      </c>
    </row>
    <row r="820">
      <c r="A820" s="1" t="s">
        <v>138</v>
      </c>
      <c r="B820" s="1" t="s">
        <v>139</v>
      </c>
      <c r="C820" s="1" t="s">
        <v>13</v>
      </c>
      <c r="D820" s="2">
        <v>179.0</v>
      </c>
      <c r="E820" s="2">
        <v>499.0</v>
      </c>
      <c r="F820" s="3">
        <f t="shared" si="6"/>
        <v>0.6412825651</v>
      </c>
      <c r="G820" s="4">
        <f>IFERROR(__xludf.DUMMYFUNCTION("GOOGLEFINANCE(""CURRENCY:INRBRL"")*D820"),10.70375545708)</f>
        <v>10.70375546</v>
      </c>
      <c r="H820" s="1">
        <v>4.5</v>
      </c>
      <c r="I820" s="1">
        <v>1933.0</v>
      </c>
      <c r="J820" s="1" t="s">
        <v>140</v>
      </c>
      <c r="K820" s="5" t="s">
        <v>3097</v>
      </c>
    </row>
    <row r="821">
      <c r="A821" s="1" t="s">
        <v>3098</v>
      </c>
      <c r="B821" s="1" t="s">
        <v>3099</v>
      </c>
      <c r="C821" s="1" t="s">
        <v>2375</v>
      </c>
      <c r="D821" s="2">
        <v>4449.0</v>
      </c>
      <c r="E821" s="2">
        <v>5734.0</v>
      </c>
      <c r="F821" s="3">
        <f t="shared" si="6"/>
        <v>0.2241018486</v>
      </c>
      <c r="G821" s="4">
        <f>IFERROR(__xludf.DUMMYFUNCTION("GOOGLEFINANCE(""CURRENCY:INRBRL"")*D821"),266.03915099747996)</f>
        <v>266.039151</v>
      </c>
      <c r="H821" s="1">
        <v>4.5</v>
      </c>
      <c r="I821" s="1">
        <v>25006.0</v>
      </c>
      <c r="J821" s="1" t="s">
        <v>3100</v>
      </c>
      <c r="K821" s="5" t="s">
        <v>3101</v>
      </c>
    </row>
    <row r="822">
      <c r="A822" s="1" t="s">
        <v>3102</v>
      </c>
      <c r="B822" s="1" t="s">
        <v>3103</v>
      </c>
      <c r="C822" s="1" t="s">
        <v>2758</v>
      </c>
      <c r="D822" s="2">
        <v>299.0</v>
      </c>
      <c r="E822" s="2">
        <v>550.0</v>
      </c>
      <c r="F822" s="3">
        <f t="shared" si="6"/>
        <v>0.4563636364</v>
      </c>
      <c r="G822" s="4">
        <f>IFERROR(__xludf.DUMMYFUNCTION("GOOGLEFINANCE(""CURRENCY:INRBRL"")*D822"),17.87945743948)</f>
        <v>17.87945744</v>
      </c>
      <c r="H822" s="1">
        <v>4.5</v>
      </c>
      <c r="I822" s="1">
        <v>33434.0</v>
      </c>
      <c r="J822" s="1" t="s">
        <v>3104</v>
      </c>
      <c r="K822" s="5" t="s">
        <v>3105</v>
      </c>
    </row>
    <row r="823">
      <c r="A823" s="1" t="s">
        <v>3106</v>
      </c>
      <c r="B823" s="1" t="s">
        <v>3107</v>
      </c>
      <c r="C823" s="1" t="s">
        <v>2261</v>
      </c>
      <c r="D823" s="2">
        <v>629.0</v>
      </c>
      <c r="E823" s="2">
        <v>1399.0</v>
      </c>
      <c r="F823" s="3">
        <f t="shared" si="6"/>
        <v>0.550393138</v>
      </c>
      <c r="G823" s="4">
        <f>IFERROR(__xludf.DUMMYFUNCTION("GOOGLEFINANCE(""CURRENCY:INRBRL"")*D823"),37.61263789108)</f>
        <v>37.61263789</v>
      </c>
      <c r="H823" s="1">
        <v>4.5</v>
      </c>
      <c r="I823" s="1">
        <v>6301.0</v>
      </c>
      <c r="J823" s="1" t="s">
        <v>3108</v>
      </c>
      <c r="K823" s="5" t="s">
        <v>3109</v>
      </c>
    </row>
    <row r="824">
      <c r="A824" s="1" t="s">
        <v>3110</v>
      </c>
      <c r="B824" s="1" t="s">
        <v>3111</v>
      </c>
      <c r="C824" s="1" t="s">
        <v>2327</v>
      </c>
      <c r="D824" s="2">
        <v>2595.0</v>
      </c>
      <c r="E824" s="2">
        <v>3295.0</v>
      </c>
      <c r="F824" s="3">
        <f t="shared" si="6"/>
        <v>0.2124430956</v>
      </c>
      <c r="G824" s="4">
        <f>IFERROR(__xludf.DUMMYFUNCTION("GOOGLEFINANCE(""CURRENCY:INRBRL"")*D824"),155.1745553694)</f>
        <v>155.1745554</v>
      </c>
      <c r="H824" s="1">
        <v>4.5</v>
      </c>
      <c r="I824" s="1">
        <v>22618.0</v>
      </c>
      <c r="J824" s="1" t="s">
        <v>3112</v>
      </c>
      <c r="K824" s="5" t="s">
        <v>3113</v>
      </c>
    </row>
    <row r="825">
      <c r="A825" s="1" t="s">
        <v>142</v>
      </c>
      <c r="B825" s="1" t="s">
        <v>143</v>
      </c>
      <c r="C825" s="1" t="s">
        <v>13</v>
      </c>
      <c r="D825" s="2">
        <v>389.0</v>
      </c>
      <c r="E825" s="2">
        <v>1099.0</v>
      </c>
      <c r="F825" s="3">
        <f t="shared" si="6"/>
        <v>0.6460418562</v>
      </c>
      <c r="G825" s="4">
        <f>IFERROR(__xludf.DUMMYFUNCTION("GOOGLEFINANCE(""CURRENCY:INRBRL"")*D825"),23.26123392628)</f>
        <v>23.26123393</v>
      </c>
      <c r="H825" s="1">
        <v>4.5</v>
      </c>
      <c r="I825" s="1">
        <v>974.0</v>
      </c>
      <c r="J825" s="1" t="s">
        <v>144</v>
      </c>
      <c r="K825" s="5" t="s">
        <v>3114</v>
      </c>
    </row>
    <row r="826">
      <c r="A826" s="1" t="s">
        <v>3115</v>
      </c>
      <c r="B826" s="1" t="s">
        <v>3116</v>
      </c>
      <c r="C826" s="1" t="s">
        <v>2514</v>
      </c>
      <c r="D826" s="2">
        <v>1799.0</v>
      </c>
      <c r="E826" s="2">
        <v>2911.0</v>
      </c>
      <c r="F826" s="3">
        <f t="shared" si="6"/>
        <v>0.381999313</v>
      </c>
      <c r="G826" s="4">
        <f>IFERROR(__xludf.DUMMYFUNCTION("GOOGLEFINANCE(""CURRENCY:INRBRL"")*D826"),107.57573221947999)</f>
        <v>107.5757322</v>
      </c>
      <c r="H826" s="1">
        <v>4.5</v>
      </c>
      <c r="I826" s="1">
        <v>20342.0</v>
      </c>
      <c r="J826" s="1" t="s">
        <v>3117</v>
      </c>
      <c r="K826" s="5" t="s">
        <v>3118</v>
      </c>
    </row>
    <row r="827">
      <c r="A827" s="1" t="s">
        <v>3119</v>
      </c>
      <c r="B827" s="1" t="s">
        <v>3120</v>
      </c>
      <c r="C827" s="1" t="s">
        <v>2648</v>
      </c>
      <c r="D827" s="2">
        <v>90.0</v>
      </c>
      <c r="E827" s="2">
        <v>175.0</v>
      </c>
      <c r="F827" s="3">
        <f t="shared" si="6"/>
        <v>0.4857142857</v>
      </c>
      <c r="G827" s="4">
        <f>IFERROR(__xludf.DUMMYFUNCTION("GOOGLEFINANCE(""CURRENCY:INRBRL"")*D827"),5.3817764868)</f>
        <v>5.381776487</v>
      </c>
      <c r="H827" s="1">
        <v>4.5</v>
      </c>
      <c r="I827" s="1">
        <v>7429.0</v>
      </c>
      <c r="J827" s="1" t="s">
        <v>3121</v>
      </c>
      <c r="K827" s="5" t="s">
        <v>3122</v>
      </c>
    </row>
    <row r="828">
      <c r="A828" s="1" t="s">
        <v>3123</v>
      </c>
      <c r="B828" s="1" t="s">
        <v>3124</v>
      </c>
      <c r="C828" s="1" t="s">
        <v>2275</v>
      </c>
      <c r="D828" s="2">
        <v>599.0</v>
      </c>
      <c r="E828" s="2">
        <v>599.0</v>
      </c>
      <c r="F828" s="3">
        <f t="shared" si="6"/>
        <v>0</v>
      </c>
      <c r="G828" s="4">
        <f>IFERROR(__xludf.DUMMYFUNCTION("GOOGLEFINANCE(""CURRENCY:INRBRL"")*D828"),35.81871239548)</f>
        <v>35.8187124</v>
      </c>
      <c r="H828" s="1">
        <v>4.5</v>
      </c>
      <c r="I828" s="1">
        <v>26423.0</v>
      </c>
      <c r="J828" s="1" t="s">
        <v>3125</v>
      </c>
      <c r="K828" s="5" t="s">
        <v>3126</v>
      </c>
    </row>
    <row r="829">
      <c r="A829" s="1" t="s">
        <v>3127</v>
      </c>
      <c r="B829" s="1" t="s">
        <v>3128</v>
      </c>
      <c r="C829" s="1" t="s">
        <v>1348</v>
      </c>
      <c r="D829" s="2">
        <v>1999.0</v>
      </c>
      <c r="E829" s="2">
        <v>7999.0</v>
      </c>
      <c r="F829" s="3">
        <f t="shared" si="6"/>
        <v>0.7500937617</v>
      </c>
      <c r="G829" s="4">
        <f>IFERROR(__xludf.DUMMYFUNCTION("GOOGLEFINANCE(""CURRENCY:INRBRL"")*D829"),119.53523552348)</f>
        <v>119.5352355</v>
      </c>
      <c r="H829" s="1">
        <v>4.5</v>
      </c>
      <c r="I829" s="1">
        <v>31305.0</v>
      </c>
      <c r="J829" s="1" t="s">
        <v>3129</v>
      </c>
      <c r="K829" s="5" t="s">
        <v>3130</v>
      </c>
    </row>
    <row r="830">
      <c r="A830" s="1" t="s">
        <v>3131</v>
      </c>
      <c r="B830" s="1" t="s">
        <v>3132</v>
      </c>
      <c r="C830" s="1" t="s">
        <v>3133</v>
      </c>
      <c r="D830" s="2">
        <v>2099.0</v>
      </c>
      <c r="E830" s="2">
        <v>3249.0</v>
      </c>
      <c r="F830" s="3">
        <f t="shared" si="6"/>
        <v>0.3539550631</v>
      </c>
      <c r="G830" s="4">
        <f>IFERROR(__xludf.DUMMYFUNCTION("GOOGLEFINANCE(""CURRENCY:INRBRL"")*D830"),125.51498717547999)</f>
        <v>125.5149872</v>
      </c>
      <c r="H830" s="1">
        <v>4.5</v>
      </c>
      <c r="I830" s="1">
        <v>11213.0</v>
      </c>
      <c r="J830" s="1" t="s">
        <v>3134</v>
      </c>
      <c r="K830" s="5" t="s">
        <v>3135</v>
      </c>
    </row>
    <row r="831">
      <c r="A831" s="1" t="s">
        <v>3136</v>
      </c>
      <c r="B831" s="1" t="s">
        <v>3137</v>
      </c>
      <c r="C831" s="1" t="s">
        <v>3138</v>
      </c>
      <c r="D831" s="2">
        <v>179.0</v>
      </c>
      <c r="E831" s="2">
        <v>499.0</v>
      </c>
      <c r="F831" s="3">
        <f t="shared" si="6"/>
        <v>0.6412825651</v>
      </c>
      <c r="G831" s="4">
        <f>IFERROR(__xludf.DUMMYFUNCTION("GOOGLEFINANCE(""CURRENCY:INRBRL"")*D831"),10.70375545708)</f>
        <v>10.70375546</v>
      </c>
      <c r="H831" s="1">
        <v>4.5</v>
      </c>
      <c r="I831" s="1">
        <v>10174.0</v>
      </c>
      <c r="J831" s="1" t="s">
        <v>3139</v>
      </c>
      <c r="K831" s="5" t="s">
        <v>3140</v>
      </c>
    </row>
    <row r="832">
      <c r="A832" s="1" t="s">
        <v>3141</v>
      </c>
      <c r="B832" s="1" t="s">
        <v>3142</v>
      </c>
      <c r="C832" s="1" t="s">
        <v>2367</v>
      </c>
      <c r="D832" s="2">
        <v>1345.0</v>
      </c>
      <c r="E832" s="2">
        <v>2295.0</v>
      </c>
      <c r="F832" s="3">
        <f t="shared" si="6"/>
        <v>0.4139433551</v>
      </c>
      <c r="G832" s="4">
        <f>IFERROR(__xludf.DUMMYFUNCTION("GOOGLEFINANCE(""CURRENCY:INRBRL"")*D832"),80.4276597194)</f>
        <v>80.42765972</v>
      </c>
      <c r="H832" s="1">
        <v>4.5</v>
      </c>
      <c r="I832" s="1">
        <v>17413.0</v>
      </c>
      <c r="J832" s="1" t="s">
        <v>3143</v>
      </c>
      <c r="K832" s="5" t="s">
        <v>3144</v>
      </c>
    </row>
    <row r="833">
      <c r="A833" s="1" t="s">
        <v>3145</v>
      </c>
      <c r="B833" s="1" t="s">
        <v>3146</v>
      </c>
      <c r="C833" s="1" t="s">
        <v>2428</v>
      </c>
      <c r="D833" s="2">
        <v>349.0</v>
      </c>
      <c r="E833" s="2">
        <v>995.0</v>
      </c>
      <c r="F833" s="3">
        <f t="shared" si="6"/>
        <v>0.6492462312</v>
      </c>
      <c r="G833" s="4">
        <f>IFERROR(__xludf.DUMMYFUNCTION("GOOGLEFINANCE(""CURRENCY:INRBRL"")*D833"),20.869333265479998)</f>
        <v>20.86933327</v>
      </c>
      <c r="H833" s="1">
        <v>4.5</v>
      </c>
      <c r="I833" s="1">
        <v>6676.0</v>
      </c>
      <c r="J833" s="1" t="s">
        <v>3147</v>
      </c>
      <c r="K833" s="5" t="s">
        <v>3148</v>
      </c>
    </row>
    <row r="834">
      <c r="A834" s="1" t="s">
        <v>3149</v>
      </c>
      <c r="B834" s="1" t="s">
        <v>3150</v>
      </c>
      <c r="C834" s="1" t="s">
        <v>2900</v>
      </c>
      <c r="D834" s="2">
        <v>287.0</v>
      </c>
      <c r="E834" s="2">
        <v>499.0</v>
      </c>
      <c r="F834" s="3">
        <f t="shared" si="6"/>
        <v>0.4248496994</v>
      </c>
      <c r="G834" s="4">
        <f>IFERROR(__xludf.DUMMYFUNCTION("GOOGLEFINANCE(""CURRENCY:INRBRL"")*D834"),17.16188724124)</f>
        <v>17.16188724</v>
      </c>
      <c r="H834" s="1">
        <v>4.5</v>
      </c>
      <c r="I834" s="1">
        <v>8076.0</v>
      </c>
      <c r="J834" s="1" t="s">
        <v>3151</v>
      </c>
      <c r="K834" s="5" t="s">
        <v>3152</v>
      </c>
    </row>
    <row r="835">
      <c r="A835" s="1" t="s">
        <v>146</v>
      </c>
      <c r="B835" s="1" t="s">
        <v>147</v>
      </c>
      <c r="C835" s="1" t="s">
        <v>13</v>
      </c>
      <c r="D835" s="2">
        <v>599.0</v>
      </c>
      <c r="E835" s="2">
        <v>599.0</v>
      </c>
      <c r="F835" s="3">
        <f t="shared" si="6"/>
        <v>0</v>
      </c>
      <c r="G835" s="4">
        <f>IFERROR(__xludf.DUMMYFUNCTION("GOOGLEFINANCE(""CURRENCY:INRBRL"")*D835"),35.81871239548)</f>
        <v>35.8187124</v>
      </c>
      <c r="H835" s="1">
        <v>4.5</v>
      </c>
      <c r="I835" s="1">
        <v>355.0</v>
      </c>
      <c r="J835" s="1" t="s">
        <v>148</v>
      </c>
      <c r="K835" s="5" t="s">
        <v>3153</v>
      </c>
    </row>
    <row r="836">
      <c r="A836" s="1" t="s">
        <v>3154</v>
      </c>
      <c r="B836" s="1" t="s">
        <v>3155</v>
      </c>
      <c r="C836" s="1" t="s">
        <v>2256</v>
      </c>
      <c r="D836" s="2">
        <v>349.0</v>
      </c>
      <c r="E836" s="2">
        <v>450.0</v>
      </c>
      <c r="F836" s="3">
        <f t="shared" si="6"/>
        <v>0.2244444444</v>
      </c>
      <c r="G836" s="4">
        <f>IFERROR(__xludf.DUMMYFUNCTION("GOOGLEFINANCE(""CURRENCY:INRBRL"")*D836"),20.869333265479998)</f>
        <v>20.86933327</v>
      </c>
      <c r="H836" s="1">
        <v>4.5</v>
      </c>
      <c r="I836" s="1">
        <v>18656.0</v>
      </c>
      <c r="J836" s="1" t="s">
        <v>3156</v>
      </c>
      <c r="K836" s="5" t="s">
        <v>3157</v>
      </c>
    </row>
    <row r="837">
      <c r="A837" s="1" t="s">
        <v>3158</v>
      </c>
      <c r="B837" s="1" t="s">
        <v>3159</v>
      </c>
      <c r="C837" s="1" t="s">
        <v>2343</v>
      </c>
      <c r="D837" s="2">
        <v>879.0</v>
      </c>
      <c r="E837" s="2">
        <v>1109.0</v>
      </c>
      <c r="F837" s="3">
        <f t="shared" si="6"/>
        <v>0.2073940487</v>
      </c>
      <c r="G837" s="4">
        <f>IFERROR(__xludf.DUMMYFUNCTION("GOOGLEFINANCE(""CURRENCY:INRBRL"")*D837"),52.562017021079996)</f>
        <v>52.56201702</v>
      </c>
      <c r="H837" s="1">
        <v>4.5</v>
      </c>
      <c r="I837" s="1">
        <v>31599.0</v>
      </c>
      <c r="J837" s="1" t="s">
        <v>3160</v>
      </c>
      <c r="K837" s="5" t="s">
        <v>3161</v>
      </c>
    </row>
    <row r="838">
      <c r="A838" s="1" t="s">
        <v>150</v>
      </c>
      <c r="B838" s="1" t="s">
        <v>151</v>
      </c>
      <c r="C838" s="1" t="s">
        <v>13</v>
      </c>
      <c r="D838" s="2">
        <v>199.0</v>
      </c>
      <c r="E838" s="2">
        <v>999.0</v>
      </c>
      <c r="F838" s="3">
        <f t="shared" si="6"/>
        <v>0.8008008008</v>
      </c>
      <c r="G838" s="4">
        <f>IFERROR(__xludf.DUMMYFUNCTION("GOOGLEFINANCE(""CURRENCY:INRBRL"")*D838"),11.899705787479999)</f>
        <v>11.89970579</v>
      </c>
      <c r="H838" s="1">
        <v>4.5</v>
      </c>
      <c r="I838" s="1">
        <v>1075.0</v>
      </c>
      <c r="J838" s="1" t="s">
        <v>152</v>
      </c>
      <c r="K838" s="5" t="s">
        <v>3162</v>
      </c>
    </row>
    <row r="839">
      <c r="A839" s="1" t="s">
        <v>3163</v>
      </c>
      <c r="B839" s="1" t="s">
        <v>3164</v>
      </c>
      <c r="C839" s="1" t="s">
        <v>2602</v>
      </c>
      <c r="D839" s="2">
        <v>250.0</v>
      </c>
      <c r="E839" s="2">
        <v>250.0</v>
      </c>
      <c r="F839" s="3">
        <f t="shared" si="6"/>
        <v>0</v>
      </c>
      <c r="G839" s="4">
        <f>IFERROR(__xludf.DUMMYFUNCTION("GOOGLEFINANCE(""CURRENCY:INRBRL"")*D839"),14.949379129999999)</f>
        <v>14.94937913</v>
      </c>
      <c r="H839" s="1">
        <v>4.5</v>
      </c>
      <c r="I839" s="1">
        <v>13971.0</v>
      </c>
      <c r="J839" s="1" t="s">
        <v>3165</v>
      </c>
      <c r="K839" s="5" t="s">
        <v>3166</v>
      </c>
    </row>
    <row r="840">
      <c r="A840" s="1" t="s">
        <v>3167</v>
      </c>
      <c r="B840" s="1" t="s">
        <v>3168</v>
      </c>
      <c r="C840" s="1" t="s">
        <v>1403</v>
      </c>
      <c r="D840" s="2">
        <v>199.0</v>
      </c>
      <c r="E840" s="2">
        <v>499.0</v>
      </c>
      <c r="F840" s="3">
        <f t="shared" si="6"/>
        <v>0.6012024048</v>
      </c>
      <c r="G840" s="4">
        <f>IFERROR(__xludf.DUMMYFUNCTION("GOOGLEFINANCE(""CURRENCY:INRBRL"")*D840"),11.899705787479999)</f>
        <v>11.89970579</v>
      </c>
      <c r="H840" s="1">
        <v>4.5</v>
      </c>
      <c r="I840" s="1">
        <v>2492.0</v>
      </c>
      <c r="J840" s="1" t="s">
        <v>3169</v>
      </c>
      <c r="K840" s="5" t="s">
        <v>3170</v>
      </c>
    </row>
    <row r="841">
      <c r="A841" s="1" t="s">
        <v>158</v>
      </c>
      <c r="B841" s="1" t="s">
        <v>159</v>
      </c>
      <c r="C841" s="1" t="s">
        <v>13</v>
      </c>
      <c r="D841" s="2">
        <v>899.0</v>
      </c>
      <c r="E841" s="2">
        <v>1899.0</v>
      </c>
      <c r="F841" s="3">
        <f t="shared" si="6"/>
        <v>0.5265929437</v>
      </c>
      <c r="G841" s="4">
        <f>IFERROR(__xludf.DUMMYFUNCTION("GOOGLEFINANCE(""CURRENCY:INRBRL"")*D841"),53.75796735148)</f>
        <v>53.75796735</v>
      </c>
      <c r="H841" s="1">
        <v>4.5</v>
      </c>
      <c r="I841" s="1">
        <v>13552.0</v>
      </c>
      <c r="J841" s="1" t="s">
        <v>160</v>
      </c>
      <c r="K841" s="5" t="s">
        <v>3171</v>
      </c>
    </row>
    <row r="842">
      <c r="A842" s="1" t="s">
        <v>162</v>
      </c>
      <c r="B842" s="1" t="s">
        <v>163</v>
      </c>
      <c r="C842" s="1" t="s">
        <v>13</v>
      </c>
      <c r="D842" s="2">
        <v>199.0</v>
      </c>
      <c r="E842" s="2">
        <v>999.0</v>
      </c>
      <c r="F842" s="3">
        <f t="shared" si="6"/>
        <v>0.8008008008</v>
      </c>
      <c r="G842" s="4">
        <f>IFERROR(__xludf.DUMMYFUNCTION("GOOGLEFINANCE(""CURRENCY:INRBRL"")*D842"),11.899705787479999)</f>
        <v>11.89970579</v>
      </c>
      <c r="H842" s="1">
        <v>4.5</v>
      </c>
      <c r="I842" s="1">
        <v>575.0</v>
      </c>
      <c r="J842" s="1" t="s">
        <v>164</v>
      </c>
      <c r="K842" s="5" t="s">
        <v>3172</v>
      </c>
    </row>
    <row r="843">
      <c r="A843" s="1" t="s">
        <v>3173</v>
      </c>
      <c r="B843" s="1" t="s">
        <v>3174</v>
      </c>
      <c r="C843" s="1" t="s">
        <v>3138</v>
      </c>
      <c r="D843" s="2">
        <v>149.0</v>
      </c>
      <c r="E843" s="2">
        <v>999.0</v>
      </c>
      <c r="F843" s="3">
        <f t="shared" si="6"/>
        <v>0.8508508509</v>
      </c>
      <c r="G843" s="4">
        <f>IFERROR(__xludf.DUMMYFUNCTION("GOOGLEFINANCE(""CURRENCY:INRBRL"")*D843"),8.90982996148)</f>
        <v>8.909829961</v>
      </c>
      <c r="H843" s="1">
        <v>4.5</v>
      </c>
      <c r="I843" s="1">
        <v>2523.0</v>
      </c>
      <c r="J843" s="1" t="s">
        <v>3175</v>
      </c>
      <c r="K843" s="5" t="s">
        <v>3176</v>
      </c>
    </row>
    <row r="844">
      <c r="A844" s="1" t="s">
        <v>3177</v>
      </c>
      <c r="B844" s="1" t="s">
        <v>3178</v>
      </c>
      <c r="C844" s="1" t="s">
        <v>2266</v>
      </c>
      <c r="D844" s="2">
        <v>469.0</v>
      </c>
      <c r="E844" s="2">
        <v>1499.0</v>
      </c>
      <c r="F844" s="3">
        <f t="shared" si="6"/>
        <v>0.6871247498</v>
      </c>
      <c r="G844" s="4">
        <f>IFERROR(__xludf.DUMMYFUNCTION("GOOGLEFINANCE(""CURRENCY:INRBRL"")*D844"),28.045035247879998)</f>
        <v>28.04503525</v>
      </c>
      <c r="H844" s="1">
        <v>4.5</v>
      </c>
      <c r="I844" s="1">
        <v>352.0</v>
      </c>
      <c r="J844" s="1" t="s">
        <v>3179</v>
      </c>
      <c r="K844" s="5" t="s">
        <v>3180</v>
      </c>
    </row>
    <row r="845">
      <c r="A845" s="1" t="s">
        <v>3181</v>
      </c>
      <c r="B845" s="1" t="s">
        <v>3182</v>
      </c>
      <c r="C845" s="1" t="s">
        <v>2798</v>
      </c>
      <c r="D845" s="2">
        <v>1187.0</v>
      </c>
      <c r="E845" s="2">
        <v>1929.0</v>
      </c>
      <c r="F845" s="3">
        <f t="shared" si="6"/>
        <v>0.3846552618</v>
      </c>
      <c r="G845" s="4">
        <f>IFERROR(__xludf.DUMMYFUNCTION("GOOGLEFINANCE(""CURRENCY:INRBRL"")*D845"),70.97965210923999)</f>
        <v>70.97965211</v>
      </c>
      <c r="H845" s="1">
        <v>4.5</v>
      </c>
      <c r="I845" s="1">
        <v>1662.0</v>
      </c>
      <c r="J845" s="1" t="s">
        <v>3183</v>
      </c>
      <c r="K845" s="5" t="s">
        <v>3184</v>
      </c>
    </row>
    <row r="846">
      <c r="A846" s="1" t="s">
        <v>3185</v>
      </c>
      <c r="B846" s="1" t="s">
        <v>3186</v>
      </c>
      <c r="C846" s="1" t="s">
        <v>3187</v>
      </c>
      <c r="D846" s="2">
        <v>849.0</v>
      </c>
      <c r="E846" s="2">
        <v>1499.0</v>
      </c>
      <c r="F846" s="3">
        <f t="shared" si="6"/>
        <v>0.4336224149</v>
      </c>
      <c r="G846" s="4">
        <f>IFERROR(__xludf.DUMMYFUNCTION("GOOGLEFINANCE(""CURRENCY:INRBRL"")*D846"),50.768091525479996)</f>
        <v>50.76809153</v>
      </c>
      <c r="H846" s="1">
        <v>4.5</v>
      </c>
      <c r="I846" s="1">
        <v>7352.0</v>
      </c>
      <c r="J846" s="1" t="s">
        <v>3188</v>
      </c>
      <c r="K846" s="5" t="s">
        <v>3189</v>
      </c>
    </row>
    <row r="847">
      <c r="A847" s="1" t="s">
        <v>3190</v>
      </c>
      <c r="B847" s="1" t="s">
        <v>3191</v>
      </c>
      <c r="C847" s="1" t="s">
        <v>2261</v>
      </c>
      <c r="D847" s="2">
        <v>328.0</v>
      </c>
      <c r="E847" s="2">
        <v>399.0</v>
      </c>
      <c r="F847" s="3">
        <f t="shared" si="6"/>
        <v>0.1779448622</v>
      </c>
      <c r="G847" s="4">
        <f>IFERROR(__xludf.DUMMYFUNCTION("GOOGLEFINANCE(""CURRENCY:INRBRL"")*D847"),19.61358541856)</f>
        <v>19.61358542</v>
      </c>
      <c r="H847" s="1">
        <v>4.5</v>
      </c>
      <c r="I847" s="1">
        <v>3441.0</v>
      </c>
      <c r="J847" s="1" t="s">
        <v>3192</v>
      </c>
      <c r="K847" s="5" t="s">
        <v>3193</v>
      </c>
    </row>
    <row r="848">
      <c r="A848" s="1" t="s">
        <v>3194</v>
      </c>
      <c r="B848" s="1" t="s">
        <v>3195</v>
      </c>
      <c r="C848" s="1" t="s">
        <v>2275</v>
      </c>
      <c r="D848" s="2">
        <v>269.0</v>
      </c>
      <c r="E848" s="2">
        <v>699.0</v>
      </c>
      <c r="F848" s="3">
        <f t="shared" si="6"/>
        <v>0.6151645207</v>
      </c>
      <c r="G848" s="4">
        <f>IFERROR(__xludf.DUMMYFUNCTION("GOOGLEFINANCE(""CURRENCY:INRBRL"")*D848"),16.08553194388)</f>
        <v>16.08553194</v>
      </c>
      <c r="H848" s="1">
        <v>4.5</v>
      </c>
      <c r="I848" s="1">
        <v>93.0</v>
      </c>
      <c r="J848" s="1" t="s">
        <v>3196</v>
      </c>
      <c r="K848" s="5" t="s">
        <v>3197</v>
      </c>
    </row>
    <row r="849">
      <c r="A849" s="1" t="s">
        <v>3198</v>
      </c>
      <c r="B849" s="1" t="s">
        <v>3199</v>
      </c>
      <c r="C849" s="1" t="s">
        <v>3200</v>
      </c>
      <c r="D849" s="2">
        <v>299.0</v>
      </c>
      <c r="E849" s="2">
        <v>400.0</v>
      </c>
      <c r="F849" s="3">
        <f t="shared" si="6"/>
        <v>0.2525</v>
      </c>
      <c r="G849" s="4">
        <f>IFERROR(__xludf.DUMMYFUNCTION("GOOGLEFINANCE(""CURRENCY:INRBRL"")*D849"),17.87945743948)</f>
        <v>17.87945744</v>
      </c>
      <c r="H849" s="1">
        <v>4.5</v>
      </c>
      <c r="I849" s="1">
        <v>40895.0</v>
      </c>
      <c r="J849" s="1" t="s">
        <v>3201</v>
      </c>
      <c r="K849" s="5" t="s">
        <v>3202</v>
      </c>
    </row>
    <row r="850">
      <c r="A850" s="1" t="s">
        <v>3203</v>
      </c>
      <c r="B850" s="1" t="s">
        <v>3204</v>
      </c>
      <c r="C850" s="1" t="s">
        <v>3205</v>
      </c>
      <c r="D850" s="2">
        <v>549.0</v>
      </c>
      <c r="E850" s="2">
        <v>1499.0</v>
      </c>
      <c r="F850" s="3">
        <f t="shared" si="6"/>
        <v>0.6337558372</v>
      </c>
      <c r="G850" s="4">
        <f>IFERROR(__xludf.DUMMYFUNCTION("GOOGLEFINANCE(""CURRENCY:INRBRL"")*D850"),32.828836569479996)</f>
        <v>32.82883657</v>
      </c>
      <c r="H850" s="1">
        <v>4.5</v>
      </c>
      <c r="I850" s="1">
        <v>11006.0</v>
      </c>
      <c r="J850" s="1" t="s">
        <v>3206</v>
      </c>
      <c r="K850" s="5" t="s">
        <v>3207</v>
      </c>
    </row>
    <row r="851">
      <c r="A851" s="1" t="s">
        <v>3208</v>
      </c>
      <c r="B851" s="1" t="s">
        <v>3209</v>
      </c>
      <c r="C851" s="1" t="s">
        <v>2591</v>
      </c>
      <c r="D851" s="2">
        <v>114.0</v>
      </c>
      <c r="E851" s="2">
        <v>120.0</v>
      </c>
      <c r="F851" s="3">
        <f t="shared" si="6"/>
        <v>0.05</v>
      </c>
      <c r="G851" s="4">
        <f>IFERROR(__xludf.DUMMYFUNCTION("GOOGLEFINANCE(""CURRENCY:INRBRL"")*D851"),6.816916883279999)</f>
        <v>6.816916883</v>
      </c>
      <c r="H851" s="1">
        <v>4.5</v>
      </c>
      <c r="I851" s="1">
        <v>8938.0</v>
      </c>
      <c r="J851" s="1" t="s">
        <v>3210</v>
      </c>
      <c r="K851" s="5" t="s">
        <v>3211</v>
      </c>
    </row>
    <row r="852">
      <c r="A852" s="1" t="s">
        <v>3212</v>
      </c>
      <c r="B852" s="1" t="s">
        <v>3213</v>
      </c>
      <c r="C852" s="1" t="s">
        <v>3214</v>
      </c>
      <c r="D852" s="2">
        <v>120.0</v>
      </c>
      <c r="E852" s="2">
        <v>120.0</v>
      </c>
      <c r="F852" s="3">
        <f t="shared" si="6"/>
        <v>0</v>
      </c>
      <c r="G852" s="4">
        <f>IFERROR(__xludf.DUMMYFUNCTION("GOOGLEFINANCE(""CURRENCY:INRBRL"")*D852"),7.1757019824)</f>
        <v>7.175701982</v>
      </c>
      <c r="H852" s="1">
        <v>4.5</v>
      </c>
      <c r="I852" s="1">
        <v>4308.0</v>
      </c>
      <c r="J852" s="1" t="s">
        <v>3215</v>
      </c>
      <c r="K852" s="5" t="s">
        <v>3216</v>
      </c>
    </row>
    <row r="853">
      <c r="A853" s="1" t="s">
        <v>170</v>
      </c>
      <c r="B853" s="1" t="s">
        <v>171</v>
      </c>
      <c r="C853" s="1" t="s">
        <v>13</v>
      </c>
      <c r="D853" s="2">
        <v>970.0</v>
      </c>
      <c r="E853" s="2">
        <v>1999.0</v>
      </c>
      <c r="F853" s="3">
        <f t="shared" si="6"/>
        <v>0.5147573787</v>
      </c>
      <c r="G853" s="4">
        <f>IFERROR(__xludf.DUMMYFUNCTION("GOOGLEFINANCE(""CURRENCY:INRBRL"")*D853"),58.003591024399995)</f>
        <v>58.00359102</v>
      </c>
      <c r="H853" s="1">
        <v>4.5</v>
      </c>
      <c r="I853" s="1">
        <v>462.0</v>
      </c>
      <c r="J853" s="1" t="s">
        <v>172</v>
      </c>
      <c r="K853" s="5" t="s">
        <v>3217</v>
      </c>
    </row>
    <row r="854">
      <c r="A854" s="1" t="s">
        <v>174</v>
      </c>
      <c r="B854" s="1" t="s">
        <v>175</v>
      </c>
      <c r="C854" s="1" t="s">
        <v>13</v>
      </c>
      <c r="D854" s="2">
        <v>209.0</v>
      </c>
      <c r="E854" s="2">
        <v>695.0</v>
      </c>
      <c r="F854" s="3">
        <f t="shared" si="6"/>
        <v>0.6992805755</v>
      </c>
      <c r="G854" s="4">
        <f>IFERROR(__xludf.DUMMYFUNCTION("GOOGLEFINANCE(""CURRENCY:INRBRL"")*D854"),12.49768095268)</f>
        <v>12.49768095</v>
      </c>
      <c r="H854" s="1">
        <v>4.5</v>
      </c>
      <c r="I854" s="1">
        <v>1070686.0</v>
      </c>
      <c r="J854" s="1" t="s">
        <v>176</v>
      </c>
      <c r="K854" s="5" t="s">
        <v>3218</v>
      </c>
    </row>
    <row r="855">
      <c r="A855" s="1" t="s">
        <v>3219</v>
      </c>
      <c r="B855" s="1" t="s">
        <v>3220</v>
      </c>
      <c r="C855" s="1" t="s">
        <v>2261</v>
      </c>
      <c r="D855" s="2">
        <v>1499.0</v>
      </c>
      <c r="E855" s="2">
        <v>2295.0</v>
      </c>
      <c r="F855" s="3">
        <f t="shared" si="6"/>
        <v>0.3468409586</v>
      </c>
      <c r="G855" s="4">
        <f>IFERROR(__xludf.DUMMYFUNCTION("GOOGLEFINANCE(""CURRENCY:INRBRL"")*D855"),89.63647726347999)</f>
        <v>89.63647726</v>
      </c>
      <c r="H855" s="1">
        <v>4.5</v>
      </c>
      <c r="I855" s="1">
        <v>10652.0</v>
      </c>
      <c r="J855" s="1" t="s">
        <v>3221</v>
      </c>
      <c r="K855" s="5" t="s">
        <v>3222</v>
      </c>
    </row>
    <row r="856">
      <c r="A856" s="1" t="s">
        <v>3223</v>
      </c>
      <c r="B856" s="1" t="s">
        <v>3224</v>
      </c>
      <c r="C856" s="1" t="s">
        <v>3225</v>
      </c>
      <c r="D856" s="2">
        <v>99.0</v>
      </c>
      <c r="E856" s="2">
        <v>99.0</v>
      </c>
      <c r="F856" s="3">
        <f t="shared" si="6"/>
        <v>0</v>
      </c>
      <c r="G856" s="4">
        <f>IFERROR(__xludf.DUMMYFUNCTION("GOOGLEFINANCE(""CURRENCY:INRBRL"")*D856"),5.919954135479999)</f>
        <v>5.919954135</v>
      </c>
      <c r="H856" s="1">
        <v>4.5</v>
      </c>
      <c r="I856" s="1">
        <v>5036.0</v>
      </c>
      <c r="J856" s="1" t="s">
        <v>3226</v>
      </c>
      <c r="K856" s="5" t="s">
        <v>3227</v>
      </c>
    </row>
    <row r="857">
      <c r="A857" s="1" t="s">
        <v>3228</v>
      </c>
      <c r="B857" s="1" t="s">
        <v>3229</v>
      </c>
      <c r="C857" s="1" t="s">
        <v>2261</v>
      </c>
      <c r="D857" s="2">
        <v>149.0</v>
      </c>
      <c r="E857" s="2">
        <v>249.0</v>
      </c>
      <c r="F857" s="3">
        <f t="shared" si="6"/>
        <v>0.4016064257</v>
      </c>
      <c r="G857" s="4">
        <f>IFERROR(__xludf.DUMMYFUNCTION("GOOGLEFINANCE(""CURRENCY:INRBRL"")*D857"),8.90982996148)</f>
        <v>8.909829961</v>
      </c>
      <c r="H857" s="1">
        <v>4.5</v>
      </c>
      <c r="I857" s="1">
        <v>5057.0</v>
      </c>
      <c r="J857" s="1" t="s">
        <v>3230</v>
      </c>
      <c r="K857" s="5" t="s">
        <v>3231</v>
      </c>
    </row>
    <row r="858">
      <c r="A858" s="1" t="s">
        <v>3232</v>
      </c>
      <c r="B858" s="1" t="s">
        <v>3233</v>
      </c>
      <c r="C858" s="1" t="s">
        <v>2466</v>
      </c>
      <c r="D858" s="2">
        <v>575.0</v>
      </c>
      <c r="E858" s="2">
        <v>2799.0</v>
      </c>
      <c r="F858" s="3">
        <f t="shared" si="6"/>
        <v>0.7945694891</v>
      </c>
      <c r="G858" s="4">
        <f>IFERROR(__xludf.DUMMYFUNCTION("GOOGLEFINANCE(""CURRENCY:INRBRL"")*D858"),34.383571999)</f>
        <v>34.383572</v>
      </c>
      <c r="H858" s="1">
        <v>4.5</v>
      </c>
      <c r="I858" s="1">
        <v>8537.0</v>
      </c>
      <c r="J858" s="1" t="s">
        <v>3234</v>
      </c>
      <c r="K858" s="5" t="s">
        <v>3235</v>
      </c>
    </row>
    <row r="859">
      <c r="A859" s="1" t="s">
        <v>194</v>
      </c>
      <c r="B859" s="1" t="s">
        <v>195</v>
      </c>
      <c r="C859" s="1" t="s">
        <v>13</v>
      </c>
      <c r="D859" s="2">
        <v>333.0</v>
      </c>
      <c r="E859" s="2">
        <v>999.0</v>
      </c>
      <c r="F859" s="3">
        <f t="shared" si="6"/>
        <v>0.6666666667</v>
      </c>
      <c r="G859" s="4">
        <f>IFERROR(__xludf.DUMMYFUNCTION("GOOGLEFINANCE(""CURRENCY:INRBRL"")*D859"),19.91257300116)</f>
        <v>19.912573</v>
      </c>
      <c r="H859" s="1">
        <v>4.5</v>
      </c>
      <c r="I859" s="1">
        <v>9792.0</v>
      </c>
      <c r="J859" s="1" t="s">
        <v>196</v>
      </c>
      <c r="K859" s="5" t="s">
        <v>3236</v>
      </c>
    </row>
    <row r="860">
      <c r="A860" s="1" t="s">
        <v>3237</v>
      </c>
      <c r="B860" s="1" t="s">
        <v>3238</v>
      </c>
      <c r="C860" s="1" t="s">
        <v>2889</v>
      </c>
      <c r="D860" s="2">
        <v>178.0</v>
      </c>
      <c r="E860" s="2">
        <v>210.0</v>
      </c>
      <c r="F860" s="3">
        <f t="shared" si="6"/>
        <v>0.1523809524</v>
      </c>
      <c r="G860" s="4">
        <f>IFERROR(__xludf.DUMMYFUNCTION("GOOGLEFINANCE(""CURRENCY:INRBRL"")*D860"),10.64395794056)</f>
        <v>10.64395794</v>
      </c>
      <c r="H860" s="1">
        <v>4.5</v>
      </c>
      <c r="I860" s="1">
        <v>245.0</v>
      </c>
      <c r="J860" s="1" t="s">
        <v>3239</v>
      </c>
      <c r="K860" s="5" t="s">
        <v>3240</v>
      </c>
    </row>
    <row r="861">
      <c r="A861" s="1" t="s">
        <v>3241</v>
      </c>
      <c r="B861" s="1" t="s">
        <v>3242</v>
      </c>
      <c r="C861" s="1" t="s">
        <v>1403</v>
      </c>
      <c r="D861" s="2">
        <v>1599.0</v>
      </c>
      <c r="E861" s="2">
        <v>3499.0</v>
      </c>
      <c r="F861" s="3">
        <f t="shared" si="6"/>
        <v>0.5430122892</v>
      </c>
      <c r="G861" s="4">
        <f>IFERROR(__xludf.DUMMYFUNCTION("GOOGLEFINANCE(""CURRENCY:INRBRL"")*D861"),95.61622891548)</f>
        <v>95.61622892</v>
      </c>
      <c r="H861" s="1">
        <v>4.5</v>
      </c>
      <c r="I861" s="1">
        <v>676.0</v>
      </c>
      <c r="J861" s="1" t="s">
        <v>3243</v>
      </c>
      <c r="K861" s="5" t="s">
        <v>3244</v>
      </c>
    </row>
    <row r="862">
      <c r="A862" s="1" t="s">
        <v>3245</v>
      </c>
      <c r="B862" s="1" t="s">
        <v>3246</v>
      </c>
      <c r="C862" s="1" t="s">
        <v>1403</v>
      </c>
      <c r="D862" s="2">
        <v>499.0</v>
      </c>
      <c r="E862" s="2">
        <v>1299.0</v>
      </c>
      <c r="F862" s="3">
        <f t="shared" si="6"/>
        <v>0.6158583526</v>
      </c>
      <c r="G862" s="4">
        <f>IFERROR(__xludf.DUMMYFUNCTION("GOOGLEFINANCE(""CURRENCY:INRBRL"")*D862"),29.838960743479998)</f>
        <v>29.83896074</v>
      </c>
      <c r="H862" s="1">
        <v>4.5</v>
      </c>
      <c r="I862" s="1">
        <v>1173.0</v>
      </c>
      <c r="J862" s="1" t="s">
        <v>3247</v>
      </c>
      <c r="K862" s="5" t="s">
        <v>3248</v>
      </c>
    </row>
    <row r="863">
      <c r="A863" s="1" t="s">
        <v>3249</v>
      </c>
      <c r="B863" s="1" t="s">
        <v>3250</v>
      </c>
      <c r="C863" s="1" t="s">
        <v>2476</v>
      </c>
      <c r="D863" s="2">
        <v>199.0</v>
      </c>
      <c r="E863" s="2">
        <v>499.0</v>
      </c>
      <c r="F863" s="3">
        <f t="shared" si="6"/>
        <v>0.6012024048</v>
      </c>
      <c r="G863" s="4">
        <f>IFERROR(__xludf.DUMMYFUNCTION("GOOGLEFINANCE(""CURRENCY:INRBRL"")*D863"),11.899705787479999)</f>
        <v>11.89970579</v>
      </c>
      <c r="H863" s="1">
        <v>4.5</v>
      </c>
      <c r="I863" s="1">
        <v>9998.0</v>
      </c>
      <c r="J863" s="1" t="s">
        <v>3251</v>
      </c>
      <c r="K863" s="5" t="s">
        <v>3252</v>
      </c>
    </row>
    <row r="864">
      <c r="A864" s="1" t="s">
        <v>3253</v>
      </c>
      <c r="B864" s="1" t="s">
        <v>3254</v>
      </c>
      <c r="C864" s="1" t="s">
        <v>1348</v>
      </c>
      <c r="D864" s="2">
        <v>2499.0</v>
      </c>
      <c r="E864" s="2">
        <v>5999.0</v>
      </c>
      <c r="F864" s="3">
        <f t="shared" si="6"/>
        <v>0.5834305718</v>
      </c>
      <c r="G864" s="4">
        <f>IFERROR(__xludf.DUMMYFUNCTION("GOOGLEFINANCE(""CURRENCY:INRBRL"")*D864"),149.43399378348)</f>
        <v>149.4339938</v>
      </c>
      <c r="H864" s="1">
        <v>4.5</v>
      </c>
      <c r="I864" s="1">
        <v>5852.0</v>
      </c>
      <c r="J864" s="1" t="s">
        <v>3255</v>
      </c>
      <c r="K864" s="5" t="s">
        <v>3256</v>
      </c>
    </row>
    <row r="865">
      <c r="A865" s="1" t="s">
        <v>3257</v>
      </c>
      <c r="B865" s="1" t="s">
        <v>3258</v>
      </c>
      <c r="C865" s="1" t="s">
        <v>3259</v>
      </c>
      <c r="D865" s="2">
        <v>199.0</v>
      </c>
      <c r="E865" s="2">
        <v>999.0</v>
      </c>
      <c r="F865" s="3">
        <f t="shared" si="6"/>
        <v>0.8008008008</v>
      </c>
      <c r="G865" s="4">
        <f>IFERROR(__xludf.DUMMYFUNCTION("GOOGLEFINANCE(""CURRENCY:INRBRL"")*D865"),11.899705787479999)</f>
        <v>11.89970579</v>
      </c>
      <c r="H865" s="1">
        <v>4.5</v>
      </c>
      <c r="I865" s="1">
        <v>362.0</v>
      </c>
      <c r="J865" s="1" t="s">
        <v>3260</v>
      </c>
      <c r="K865" s="5" t="s">
        <v>3261</v>
      </c>
    </row>
    <row r="866">
      <c r="A866" s="1" t="s">
        <v>3262</v>
      </c>
      <c r="B866" s="1" t="s">
        <v>3263</v>
      </c>
      <c r="C866" s="1" t="s">
        <v>1385</v>
      </c>
      <c r="D866" s="2">
        <v>939.0</v>
      </c>
      <c r="E866" s="2">
        <v>1799.0</v>
      </c>
      <c r="F866" s="3">
        <f t="shared" si="6"/>
        <v>0.4780433574</v>
      </c>
      <c r="G866" s="4">
        <f>IFERROR(__xludf.DUMMYFUNCTION("GOOGLEFINANCE(""CURRENCY:INRBRL"")*D866"),56.149868012279995)</f>
        <v>56.14986801</v>
      </c>
      <c r="H866" s="1">
        <v>4.5</v>
      </c>
      <c r="I866" s="1">
        <v>2051952.0</v>
      </c>
      <c r="J866" s="1" t="s">
        <v>3264</v>
      </c>
      <c r="K866" s="5" t="s">
        <v>3265</v>
      </c>
    </row>
    <row r="867">
      <c r="A867" s="1" t="s">
        <v>3266</v>
      </c>
      <c r="B867" s="1" t="s">
        <v>3267</v>
      </c>
      <c r="C867" s="1" t="s">
        <v>1348</v>
      </c>
      <c r="D867" s="2">
        <v>2499.0</v>
      </c>
      <c r="E867" s="2">
        <v>9999.0</v>
      </c>
      <c r="F867" s="3">
        <f t="shared" si="6"/>
        <v>0.7500750075</v>
      </c>
      <c r="G867" s="4">
        <f>IFERROR(__xludf.DUMMYFUNCTION("GOOGLEFINANCE(""CURRENCY:INRBRL"")*D867"),149.43399378348)</f>
        <v>149.4339938</v>
      </c>
      <c r="H867" s="1">
        <v>4.5</v>
      </c>
      <c r="I867" s="1">
        <v>909.0</v>
      </c>
      <c r="J867" s="1" t="s">
        <v>3268</v>
      </c>
      <c r="K867" s="5" t="s">
        <v>3269</v>
      </c>
    </row>
    <row r="868">
      <c r="A868" s="1" t="s">
        <v>3270</v>
      </c>
      <c r="B868" s="1" t="s">
        <v>3271</v>
      </c>
      <c r="C868" s="1" t="s">
        <v>2261</v>
      </c>
      <c r="D868" s="2">
        <v>1439.0</v>
      </c>
      <c r="E868" s="2">
        <v>2899.0</v>
      </c>
      <c r="F868" s="3">
        <f t="shared" si="6"/>
        <v>0.5036219386</v>
      </c>
      <c r="G868" s="4">
        <f>IFERROR(__xludf.DUMMYFUNCTION("GOOGLEFINANCE(""CURRENCY:INRBRL"")*D868"),86.04862627227999)</f>
        <v>86.04862627</v>
      </c>
      <c r="H868" s="1">
        <v>4.5</v>
      </c>
      <c r="I868" s="1">
        <v>4099.0</v>
      </c>
      <c r="J868" s="1" t="s">
        <v>3272</v>
      </c>
      <c r="K868" s="5" t="s">
        <v>3273</v>
      </c>
    </row>
    <row r="869">
      <c r="A869" s="1" t="s">
        <v>3274</v>
      </c>
      <c r="B869" s="1" t="s">
        <v>3275</v>
      </c>
      <c r="C869" s="1" t="s">
        <v>1403</v>
      </c>
      <c r="D869" s="2">
        <v>1099.0</v>
      </c>
      <c r="E869" s="2">
        <v>5999.0</v>
      </c>
      <c r="F869" s="3">
        <f t="shared" si="6"/>
        <v>0.8168028005</v>
      </c>
      <c r="G869" s="4">
        <f>IFERROR(__xludf.DUMMYFUNCTION("GOOGLEFINANCE(""CURRENCY:INRBRL"")*D869"),65.71747065548)</f>
        <v>65.71747066</v>
      </c>
      <c r="H869" s="1">
        <v>4.5</v>
      </c>
      <c r="I869" s="1">
        <v>12966.0</v>
      </c>
      <c r="J869" s="1" t="s">
        <v>2450</v>
      </c>
      <c r="K869" s="5" t="s">
        <v>3276</v>
      </c>
    </row>
    <row r="870">
      <c r="A870" s="1" t="s">
        <v>3277</v>
      </c>
      <c r="B870" s="1" t="s">
        <v>3278</v>
      </c>
      <c r="C870" s="1" t="s">
        <v>2591</v>
      </c>
      <c r="D870" s="2">
        <v>157.0</v>
      </c>
      <c r="E870" s="2">
        <v>160.0</v>
      </c>
      <c r="F870" s="3">
        <f t="shared" si="6"/>
        <v>0.01875</v>
      </c>
      <c r="G870" s="4">
        <f>IFERROR(__xludf.DUMMYFUNCTION("GOOGLEFINANCE(""CURRENCY:INRBRL"")*D870"),9.38821009364)</f>
        <v>9.388210094</v>
      </c>
      <c r="H870" s="1">
        <v>4.5</v>
      </c>
      <c r="I870" s="1">
        <v>4428.0</v>
      </c>
      <c r="J870" s="1" t="s">
        <v>3279</v>
      </c>
      <c r="K870" s="5" t="s">
        <v>3280</v>
      </c>
    </row>
    <row r="871">
      <c r="A871" s="1" t="s">
        <v>186</v>
      </c>
      <c r="B871" s="1" t="s">
        <v>187</v>
      </c>
      <c r="C871" s="1" t="s">
        <v>46</v>
      </c>
      <c r="D871" s="2">
        <v>999.0</v>
      </c>
      <c r="E871" s="2">
        <v>1599.0</v>
      </c>
      <c r="F871" s="3">
        <f t="shared" si="6"/>
        <v>0.3752345216</v>
      </c>
      <c r="G871" s="4">
        <f>IFERROR(__xludf.DUMMYFUNCTION("GOOGLEFINANCE(""CURRENCY:INRBRL"")*D871"),59.737719003479995)</f>
        <v>59.737719</v>
      </c>
      <c r="H871" s="1">
        <v>4.5</v>
      </c>
      <c r="I871" s="1">
        <v>12093.0</v>
      </c>
      <c r="J871" s="1" t="s">
        <v>188</v>
      </c>
      <c r="K871" s="5" t="s">
        <v>3281</v>
      </c>
    </row>
    <row r="872">
      <c r="A872" s="1" t="s">
        <v>3282</v>
      </c>
      <c r="B872" s="1" t="s">
        <v>3283</v>
      </c>
      <c r="C872" s="1" t="s">
        <v>2441</v>
      </c>
      <c r="D872" s="2">
        <v>115.0</v>
      </c>
      <c r="E872" s="2">
        <v>999.0</v>
      </c>
      <c r="F872" s="3">
        <f t="shared" si="6"/>
        <v>0.8848848849</v>
      </c>
      <c r="G872" s="4">
        <f>IFERROR(__xludf.DUMMYFUNCTION("GOOGLEFINANCE(""CURRENCY:INRBRL"")*D872"),6.8767143998)</f>
        <v>6.8767144</v>
      </c>
      <c r="H872" s="1">
        <v>4.5</v>
      </c>
      <c r="I872" s="1">
        <v>5692.0</v>
      </c>
      <c r="J872" s="1" t="s">
        <v>3284</v>
      </c>
      <c r="K872" s="5" t="s">
        <v>3285</v>
      </c>
    </row>
    <row r="873">
      <c r="A873" s="1" t="s">
        <v>3286</v>
      </c>
      <c r="B873" s="1" t="s">
        <v>3287</v>
      </c>
      <c r="C873" s="1" t="s">
        <v>2266</v>
      </c>
      <c r="D873" s="2">
        <v>175.0</v>
      </c>
      <c r="E873" s="2">
        <v>499.0</v>
      </c>
      <c r="F873" s="3">
        <f t="shared" si="6"/>
        <v>0.6492985972</v>
      </c>
      <c r="G873" s="4">
        <f>IFERROR(__xludf.DUMMYFUNCTION("GOOGLEFINANCE(""CURRENCY:INRBRL"")*D873"),10.464565390999999)</f>
        <v>10.46456539</v>
      </c>
      <c r="H873" s="1">
        <v>4.5</v>
      </c>
      <c r="I873" s="1">
        <v>21.0</v>
      </c>
      <c r="J873" s="1" t="s">
        <v>3288</v>
      </c>
      <c r="K873" s="5" t="s">
        <v>3289</v>
      </c>
    </row>
    <row r="874">
      <c r="A874" s="1" t="s">
        <v>3290</v>
      </c>
      <c r="B874" s="1" t="s">
        <v>3291</v>
      </c>
      <c r="C874" s="1" t="s">
        <v>2712</v>
      </c>
      <c r="D874" s="2">
        <v>1999.0</v>
      </c>
      <c r="E874" s="2">
        <v>4699.0</v>
      </c>
      <c r="F874" s="3">
        <f t="shared" si="6"/>
        <v>0.5745903384</v>
      </c>
      <c r="G874" s="4">
        <f>IFERROR(__xludf.DUMMYFUNCTION("GOOGLEFINANCE(""CURRENCY:INRBRL"")*D874"),119.53523552348)</f>
        <v>119.5352355</v>
      </c>
      <c r="H874" s="1">
        <v>4.5</v>
      </c>
      <c r="I874" s="1">
        <v>188.0</v>
      </c>
      <c r="J874" s="1" t="s">
        <v>3292</v>
      </c>
      <c r="K874" s="5" t="s">
        <v>3293</v>
      </c>
    </row>
    <row r="875">
      <c r="A875" s="1" t="s">
        <v>3294</v>
      </c>
      <c r="B875" s="1" t="s">
        <v>3295</v>
      </c>
      <c r="C875" s="1" t="s">
        <v>3296</v>
      </c>
      <c r="D875" s="2">
        <v>3999.0</v>
      </c>
      <c r="E875" s="2">
        <v>4971.0</v>
      </c>
      <c r="F875" s="3">
        <f t="shared" si="6"/>
        <v>0.1955340978</v>
      </c>
      <c r="G875" s="4">
        <f>IFERROR(__xludf.DUMMYFUNCTION("GOOGLEFINANCE(""CURRENCY:INRBRL"")*D875"),239.13026856347997)</f>
        <v>239.1302686</v>
      </c>
      <c r="H875" s="1">
        <v>4.5</v>
      </c>
      <c r="I875" s="1">
        <v>21762.0</v>
      </c>
      <c r="J875" s="1" t="s">
        <v>3297</v>
      </c>
      <c r="K875" s="5" t="s">
        <v>3298</v>
      </c>
    </row>
    <row r="876">
      <c r="A876" s="1" t="s">
        <v>3299</v>
      </c>
      <c r="B876" s="1" t="s">
        <v>3300</v>
      </c>
      <c r="C876" s="1" t="s">
        <v>2514</v>
      </c>
      <c r="D876" s="2">
        <v>899.0</v>
      </c>
      <c r="E876" s="2">
        <v>1799.0</v>
      </c>
      <c r="F876" s="3">
        <f t="shared" si="6"/>
        <v>0.5002779322</v>
      </c>
      <c r="G876" s="4">
        <f>IFERROR(__xludf.DUMMYFUNCTION("GOOGLEFINANCE(""CURRENCY:INRBRL"")*D876"),53.75796735148)</f>
        <v>53.75796735</v>
      </c>
      <c r="H876" s="1">
        <v>4.5</v>
      </c>
      <c r="I876" s="1">
        <v>22375.0</v>
      </c>
      <c r="J876" s="1" t="s">
        <v>3301</v>
      </c>
      <c r="K876" s="5" t="s">
        <v>3302</v>
      </c>
    </row>
    <row r="877">
      <c r="A877" s="1" t="s">
        <v>3303</v>
      </c>
      <c r="B877" s="1" t="s">
        <v>3304</v>
      </c>
      <c r="C877" s="1" t="s">
        <v>2476</v>
      </c>
      <c r="D877" s="2">
        <v>299.0</v>
      </c>
      <c r="E877" s="2">
        <v>990.0</v>
      </c>
      <c r="F877" s="3">
        <f t="shared" si="6"/>
        <v>0.697979798</v>
      </c>
      <c r="G877" s="4">
        <f>IFERROR(__xludf.DUMMYFUNCTION("GOOGLEFINANCE(""CURRENCY:INRBRL"")*D877"),17.87945743948)</f>
        <v>17.87945744</v>
      </c>
      <c r="H877" s="1">
        <v>4.5</v>
      </c>
      <c r="I877" s="1">
        <v>2453.0</v>
      </c>
      <c r="J877" s="1" t="s">
        <v>3305</v>
      </c>
      <c r="K877" s="5" t="s">
        <v>3306</v>
      </c>
    </row>
    <row r="878">
      <c r="A878" s="1" t="s">
        <v>3307</v>
      </c>
      <c r="B878" s="1" t="s">
        <v>3308</v>
      </c>
      <c r="C878" s="1" t="s">
        <v>2266</v>
      </c>
      <c r="D878" s="2">
        <v>3303.0</v>
      </c>
      <c r="E878" s="2">
        <v>4699.0</v>
      </c>
      <c r="F878" s="3">
        <f t="shared" si="6"/>
        <v>0.2970844861</v>
      </c>
      <c r="G878" s="4">
        <f>IFERROR(__xludf.DUMMYFUNCTION("GOOGLEFINANCE(""CURRENCY:INRBRL"")*D878"),197.51119706556)</f>
        <v>197.5111971</v>
      </c>
      <c r="H878" s="1">
        <v>4.5</v>
      </c>
      <c r="I878" s="1">
        <v>13544.0</v>
      </c>
      <c r="J878" s="1" t="s">
        <v>3309</v>
      </c>
      <c r="K878" s="5" t="s">
        <v>3310</v>
      </c>
    </row>
    <row r="879">
      <c r="A879" s="1" t="s">
        <v>3311</v>
      </c>
      <c r="B879" s="1" t="s">
        <v>3312</v>
      </c>
      <c r="C879" s="1" t="s">
        <v>2998</v>
      </c>
      <c r="D879" s="2">
        <v>1899.0</v>
      </c>
      <c r="E879" s="2">
        <v>5499.0</v>
      </c>
      <c r="F879" s="3">
        <f t="shared" si="6"/>
        <v>0.6546644845</v>
      </c>
      <c r="G879" s="4">
        <f>IFERROR(__xludf.DUMMYFUNCTION("GOOGLEFINANCE(""CURRENCY:INRBRL"")*D879"),113.55548387147999)</f>
        <v>113.5554839</v>
      </c>
      <c r="H879" s="1">
        <v>4.5</v>
      </c>
      <c r="I879" s="1">
        <v>10976.0</v>
      </c>
      <c r="J879" s="1" t="s">
        <v>3313</v>
      </c>
      <c r="K879" s="5" t="s">
        <v>3314</v>
      </c>
    </row>
    <row r="880">
      <c r="A880" s="1" t="s">
        <v>3315</v>
      </c>
      <c r="B880" s="1" t="s">
        <v>3316</v>
      </c>
      <c r="C880" s="1" t="s">
        <v>2855</v>
      </c>
      <c r="D880" s="2">
        <v>90.0</v>
      </c>
      <c r="E880" s="2">
        <v>100.0</v>
      </c>
      <c r="F880" s="3">
        <f t="shared" si="6"/>
        <v>0.1</v>
      </c>
      <c r="G880" s="4">
        <f>IFERROR(__xludf.DUMMYFUNCTION("GOOGLEFINANCE(""CURRENCY:INRBRL"")*D880"),5.3817764868)</f>
        <v>5.381776487</v>
      </c>
      <c r="H880" s="1">
        <v>4.5</v>
      </c>
      <c r="I880" s="1">
        <v>3061.0</v>
      </c>
      <c r="J880" s="1" t="s">
        <v>3317</v>
      </c>
      <c r="K880" s="5" t="s">
        <v>3318</v>
      </c>
    </row>
    <row r="881">
      <c r="A881" s="1" t="s">
        <v>3319</v>
      </c>
      <c r="B881" s="1" t="s">
        <v>3320</v>
      </c>
      <c r="C881" s="1" t="s">
        <v>1403</v>
      </c>
      <c r="D881" s="2">
        <v>1599.0</v>
      </c>
      <c r="E881" s="2">
        <v>2799.0</v>
      </c>
      <c r="F881" s="3">
        <f t="shared" si="6"/>
        <v>0.4287245445</v>
      </c>
      <c r="G881" s="4">
        <f>IFERROR(__xludf.DUMMYFUNCTION("GOOGLEFINANCE(""CURRENCY:INRBRL"")*D881"),95.61622891548)</f>
        <v>95.61622892</v>
      </c>
      <c r="H881" s="1">
        <v>4.5</v>
      </c>
      <c r="I881" s="1">
        <v>2272.0</v>
      </c>
      <c r="J881" s="1" t="s">
        <v>3321</v>
      </c>
      <c r="K881" s="5" t="s">
        <v>3322</v>
      </c>
    </row>
    <row r="882">
      <c r="A882" s="1" t="s">
        <v>3323</v>
      </c>
      <c r="B882" s="1" t="s">
        <v>3324</v>
      </c>
      <c r="C882" s="1" t="s">
        <v>3011</v>
      </c>
      <c r="D882" s="2">
        <v>599.0</v>
      </c>
      <c r="E882" s="2">
        <v>999.0</v>
      </c>
      <c r="F882" s="3">
        <f t="shared" si="6"/>
        <v>0.4004004004</v>
      </c>
      <c r="G882" s="4">
        <f>IFERROR(__xludf.DUMMYFUNCTION("GOOGLEFINANCE(""CURRENCY:INRBRL"")*D882"),35.81871239548)</f>
        <v>35.8187124</v>
      </c>
      <c r="H882" s="1">
        <v>4.5</v>
      </c>
      <c r="I882" s="1">
        <v>7601.0</v>
      </c>
      <c r="J882" s="1" t="s">
        <v>3325</v>
      </c>
      <c r="K882" s="5" t="s">
        <v>3326</v>
      </c>
    </row>
    <row r="883">
      <c r="A883" s="1" t="s">
        <v>198</v>
      </c>
      <c r="B883" s="1" t="s">
        <v>199</v>
      </c>
      <c r="C883" s="1" t="s">
        <v>46</v>
      </c>
      <c r="D883" s="2">
        <v>507.0</v>
      </c>
      <c r="E883" s="2">
        <v>1208.0</v>
      </c>
      <c r="F883" s="3">
        <f t="shared" si="6"/>
        <v>0.5802980132</v>
      </c>
      <c r="G883" s="4">
        <f>IFERROR(__xludf.DUMMYFUNCTION("GOOGLEFINANCE(""CURRENCY:INRBRL"")*D883"),30.31734087564)</f>
        <v>30.31734088</v>
      </c>
      <c r="H883" s="1">
        <v>4.5</v>
      </c>
      <c r="I883" s="1">
        <v>8131.0</v>
      </c>
      <c r="J883" s="1" t="s">
        <v>200</v>
      </c>
      <c r="K883" s="5" t="s">
        <v>3327</v>
      </c>
    </row>
    <row r="884">
      <c r="A884" s="1" t="s">
        <v>3328</v>
      </c>
      <c r="B884" s="1" t="s">
        <v>3329</v>
      </c>
      <c r="C884" s="1" t="s">
        <v>2476</v>
      </c>
      <c r="D884" s="2">
        <v>425.0</v>
      </c>
      <c r="E884" s="2">
        <v>899.0</v>
      </c>
      <c r="F884" s="3">
        <f t="shared" si="6"/>
        <v>0.5272525028</v>
      </c>
      <c r="G884" s="4">
        <f>IFERROR(__xludf.DUMMYFUNCTION("GOOGLEFINANCE(""CURRENCY:INRBRL"")*D884"),25.413944520999998)</f>
        <v>25.41394452</v>
      </c>
      <c r="H884" s="1">
        <v>4.5</v>
      </c>
      <c r="I884" s="1">
        <v>4219.0</v>
      </c>
      <c r="J884" s="1" t="s">
        <v>3330</v>
      </c>
      <c r="K884" s="5" t="s">
        <v>3331</v>
      </c>
    </row>
    <row r="885">
      <c r="A885" s="1" t="s">
        <v>3332</v>
      </c>
      <c r="B885" s="1" t="s">
        <v>3333</v>
      </c>
      <c r="C885" s="1" t="s">
        <v>2069</v>
      </c>
      <c r="D885" s="2">
        <v>1499.0</v>
      </c>
      <c r="E885" s="2">
        <v>3999.0</v>
      </c>
      <c r="F885" s="3">
        <f t="shared" si="6"/>
        <v>0.6251562891</v>
      </c>
      <c r="G885" s="4">
        <f>IFERROR(__xludf.DUMMYFUNCTION("GOOGLEFINANCE(""CURRENCY:INRBRL"")*D885"),89.63647726347999)</f>
        <v>89.63647726</v>
      </c>
      <c r="H885" s="1">
        <v>4.5</v>
      </c>
      <c r="I885" s="1">
        <v>42775.0</v>
      </c>
      <c r="J885" s="1" t="s">
        <v>3334</v>
      </c>
      <c r="K885" s="5" t="s">
        <v>3335</v>
      </c>
    </row>
    <row r="886">
      <c r="A886" s="1" t="s">
        <v>3336</v>
      </c>
      <c r="B886" s="1" t="s">
        <v>3337</v>
      </c>
      <c r="C886" s="1" t="s">
        <v>3205</v>
      </c>
      <c r="D886" s="2">
        <v>549.0</v>
      </c>
      <c r="E886" s="2">
        <v>2499.0</v>
      </c>
      <c r="F886" s="3">
        <f t="shared" si="6"/>
        <v>0.7803121248</v>
      </c>
      <c r="G886" s="4">
        <f>IFERROR(__xludf.DUMMYFUNCTION("GOOGLEFINANCE(""CURRENCY:INRBRL"")*D886"),32.828836569479996)</f>
        <v>32.82883657</v>
      </c>
      <c r="H886" s="1">
        <v>4.5</v>
      </c>
      <c r="I886" s="1">
        <v>5556.0</v>
      </c>
      <c r="J886" s="1" t="s">
        <v>3338</v>
      </c>
      <c r="K886" s="5" t="s">
        <v>3339</v>
      </c>
    </row>
    <row r="887">
      <c r="A887" s="1" t="s">
        <v>211</v>
      </c>
      <c r="B887" s="1" t="s">
        <v>212</v>
      </c>
      <c r="C887" s="1" t="s">
        <v>13</v>
      </c>
      <c r="D887" s="2">
        <v>199.0</v>
      </c>
      <c r="E887" s="2">
        <v>395.0</v>
      </c>
      <c r="F887" s="3">
        <f t="shared" si="6"/>
        <v>0.4962025316</v>
      </c>
      <c r="G887" s="4">
        <f>IFERROR(__xludf.DUMMYFUNCTION("GOOGLEFINANCE(""CURRENCY:INRBRL"")*D887"),11.899705787479999)</f>
        <v>11.89970579</v>
      </c>
      <c r="H887" s="1">
        <v>4.5</v>
      </c>
      <c r="I887" s="1">
        <v>92595.0</v>
      </c>
      <c r="J887" s="1" t="s">
        <v>213</v>
      </c>
      <c r="K887" s="5" t="s">
        <v>3340</v>
      </c>
    </row>
    <row r="888">
      <c r="A888" s="1" t="s">
        <v>3341</v>
      </c>
      <c r="B888" s="1" t="s">
        <v>3342</v>
      </c>
      <c r="C888" s="1" t="s">
        <v>2261</v>
      </c>
      <c r="D888" s="2">
        <v>1295.0</v>
      </c>
      <c r="E888" s="2">
        <v>1645.0</v>
      </c>
      <c r="F888" s="3">
        <f t="shared" si="6"/>
        <v>0.2127659574</v>
      </c>
      <c r="G888" s="4">
        <f>IFERROR(__xludf.DUMMYFUNCTION("GOOGLEFINANCE(""CURRENCY:INRBRL"")*D888"),77.4377838934)</f>
        <v>77.43778389</v>
      </c>
      <c r="H888" s="1">
        <v>4.5</v>
      </c>
      <c r="I888" s="1">
        <v>12375.0</v>
      </c>
      <c r="J888" s="1" t="s">
        <v>3343</v>
      </c>
      <c r="K888" s="5" t="s">
        <v>3344</v>
      </c>
    </row>
    <row r="889">
      <c r="A889" s="1" t="s">
        <v>3345</v>
      </c>
      <c r="B889" s="1" t="s">
        <v>3346</v>
      </c>
      <c r="C889" s="1" t="s">
        <v>2471</v>
      </c>
      <c r="D889" s="2">
        <v>310.0</v>
      </c>
      <c r="E889" s="2">
        <v>310.0</v>
      </c>
      <c r="F889" s="3">
        <f t="shared" si="6"/>
        <v>0</v>
      </c>
      <c r="G889" s="4">
        <f>IFERROR(__xludf.DUMMYFUNCTION("GOOGLEFINANCE(""CURRENCY:INRBRL"")*D889"),18.5372301212)</f>
        <v>18.53723012</v>
      </c>
      <c r="H889" s="1">
        <v>4.5</v>
      </c>
      <c r="I889" s="1">
        <v>5882.0</v>
      </c>
      <c r="J889" s="1" t="s">
        <v>3347</v>
      </c>
      <c r="K889" s="5" t="s">
        <v>3348</v>
      </c>
    </row>
    <row r="890">
      <c r="A890" s="1" t="s">
        <v>2080</v>
      </c>
      <c r="B890" s="1" t="s">
        <v>2081</v>
      </c>
      <c r="C890" s="1" t="s">
        <v>2082</v>
      </c>
      <c r="D890" s="2">
        <v>149.0</v>
      </c>
      <c r="E890" s="2">
        <v>149.0</v>
      </c>
      <c r="F890" s="3">
        <f t="shared" si="6"/>
        <v>0</v>
      </c>
      <c r="G890" s="4">
        <f>IFERROR(__xludf.DUMMYFUNCTION("GOOGLEFINANCE(""CURRENCY:INRBRL"")*D890"),8.90982996148)</f>
        <v>8.909829961</v>
      </c>
      <c r="H890" s="1">
        <v>4.5</v>
      </c>
      <c r="I890" s="1">
        <v>10833.0</v>
      </c>
      <c r="J890" s="1" t="s">
        <v>2083</v>
      </c>
      <c r="K890" s="5" t="s">
        <v>3349</v>
      </c>
    </row>
    <row r="891">
      <c r="A891" s="1" t="s">
        <v>3350</v>
      </c>
      <c r="B891" s="1" t="s">
        <v>3351</v>
      </c>
      <c r="C891" s="1" t="s">
        <v>2367</v>
      </c>
      <c r="D891" s="2">
        <v>1149.0</v>
      </c>
      <c r="E891" s="2">
        <v>1499.0</v>
      </c>
      <c r="F891" s="3">
        <f t="shared" si="6"/>
        <v>0.2334889927</v>
      </c>
      <c r="G891" s="4">
        <f>IFERROR(__xludf.DUMMYFUNCTION("GOOGLEFINANCE(""CURRENCY:INRBRL"")*D891"),68.70734648148)</f>
        <v>68.70734648</v>
      </c>
      <c r="H891" s="1">
        <v>4.5</v>
      </c>
      <c r="I891" s="1">
        <v>10443.0</v>
      </c>
      <c r="J891" s="1" t="s">
        <v>3352</v>
      </c>
      <c r="K891" s="5" t="s">
        <v>3353</v>
      </c>
    </row>
    <row r="892">
      <c r="A892" s="1" t="s">
        <v>3354</v>
      </c>
      <c r="B892" s="1" t="s">
        <v>3355</v>
      </c>
      <c r="C892" s="1" t="s">
        <v>2275</v>
      </c>
      <c r="D892" s="2">
        <v>499.0</v>
      </c>
      <c r="E892" s="2">
        <v>1299.0</v>
      </c>
      <c r="F892" s="3">
        <f t="shared" si="6"/>
        <v>0.6158583526</v>
      </c>
      <c r="G892" s="4">
        <f>IFERROR(__xludf.DUMMYFUNCTION("GOOGLEFINANCE(""CURRENCY:INRBRL"")*D892"),29.838960743479998)</f>
        <v>29.83896074</v>
      </c>
      <c r="H892" s="1">
        <v>4.5</v>
      </c>
      <c r="I892" s="1">
        <v>434.0</v>
      </c>
      <c r="J892" s="1" t="s">
        <v>3356</v>
      </c>
      <c r="K892" s="5" t="s">
        <v>3357</v>
      </c>
    </row>
    <row r="893">
      <c r="A893" s="1" t="s">
        <v>3358</v>
      </c>
      <c r="B893" s="1" t="s">
        <v>3359</v>
      </c>
      <c r="C893" s="1" t="s">
        <v>1403</v>
      </c>
      <c r="D893" s="2">
        <v>999.0</v>
      </c>
      <c r="E893" s="2">
        <v>4199.0</v>
      </c>
      <c r="F893" s="3">
        <f t="shared" si="6"/>
        <v>0.762086211</v>
      </c>
      <c r="G893" s="4">
        <f>IFERROR(__xludf.DUMMYFUNCTION("GOOGLEFINANCE(""CURRENCY:INRBRL"")*D893"),59.737719003479995)</f>
        <v>59.737719</v>
      </c>
      <c r="H893" s="1">
        <v>4.5</v>
      </c>
      <c r="I893" s="1">
        <v>1913.0</v>
      </c>
      <c r="J893" s="1" t="s">
        <v>3360</v>
      </c>
      <c r="K893" s="5" t="s">
        <v>3361</v>
      </c>
    </row>
    <row r="894">
      <c r="A894" s="1" t="s">
        <v>3362</v>
      </c>
      <c r="B894" s="1" t="s">
        <v>3363</v>
      </c>
      <c r="C894" s="1" t="s">
        <v>3065</v>
      </c>
      <c r="D894" s="2">
        <v>1709.0</v>
      </c>
      <c r="E894" s="2">
        <v>3999.0</v>
      </c>
      <c r="F894" s="3">
        <f t="shared" si="6"/>
        <v>0.5726431608</v>
      </c>
      <c r="G894" s="4">
        <f>IFERROR(__xludf.DUMMYFUNCTION("GOOGLEFINANCE(""CURRENCY:INRBRL"")*D894"),102.19395573268)</f>
        <v>102.1939557</v>
      </c>
      <c r="H894" s="1">
        <v>4.5</v>
      </c>
      <c r="I894" s="1">
        <v>3029.0</v>
      </c>
      <c r="J894" s="1" t="s">
        <v>3364</v>
      </c>
      <c r="K894" s="5" t="s">
        <v>3365</v>
      </c>
    </row>
    <row r="895">
      <c r="A895" s="1" t="s">
        <v>3366</v>
      </c>
      <c r="B895" s="1" t="s">
        <v>3367</v>
      </c>
      <c r="C895" s="1" t="s">
        <v>2348</v>
      </c>
      <c r="D895" s="2">
        <v>250.0</v>
      </c>
      <c r="E895" s="2">
        <v>250.0</v>
      </c>
      <c r="F895" s="3">
        <f t="shared" si="6"/>
        <v>0</v>
      </c>
      <c r="G895" s="4">
        <f>IFERROR(__xludf.DUMMYFUNCTION("GOOGLEFINANCE(""CURRENCY:INRBRL"")*D895"),14.949379129999999)</f>
        <v>14.94937913</v>
      </c>
      <c r="H895" s="1">
        <v>4.5</v>
      </c>
      <c r="I895" s="1">
        <v>2628.0</v>
      </c>
      <c r="J895" s="1" t="s">
        <v>3368</v>
      </c>
      <c r="K895" s="5" t="s">
        <v>3369</v>
      </c>
    </row>
    <row r="896">
      <c r="A896" s="1" t="s">
        <v>215</v>
      </c>
      <c r="B896" s="1" t="s">
        <v>216</v>
      </c>
      <c r="C896" s="1" t="s">
        <v>46</v>
      </c>
      <c r="D896" s="2">
        <v>1199.0</v>
      </c>
      <c r="E896" s="2">
        <v>2199.0</v>
      </c>
      <c r="F896" s="3">
        <f t="shared" si="6"/>
        <v>0.4547521601</v>
      </c>
      <c r="G896" s="4">
        <f>IFERROR(__xludf.DUMMYFUNCTION("GOOGLEFINANCE(""CURRENCY:INRBRL"")*D896"),71.69722230747999)</f>
        <v>71.69722231</v>
      </c>
      <c r="H896" s="1">
        <v>4.5</v>
      </c>
      <c r="I896" s="1">
        <v>2478.0</v>
      </c>
      <c r="J896" s="1" t="s">
        <v>217</v>
      </c>
      <c r="K896" s="5" t="s">
        <v>3370</v>
      </c>
    </row>
    <row r="897">
      <c r="A897" s="1" t="s">
        <v>3371</v>
      </c>
      <c r="B897" s="1" t="s">
        <v>3372</v>
      </c>
      <c r="C897" s="1" t="s">
        <v>3373</v>
      </c>
      <c r="D897" s="2">
        <v>90.0</v>
      </c>
      <c r="E897" s="2">
        <v>100.0</v>
      </c>
      <c r="F897" s="3">
        <f t="shared" si="6"/>
        <v>0.1</v>
      </c>
      <c r="G897" s="4">
        <f>IFERROR(__xludf.DUMMYFUNCTION("GOOGLEFINANCE(""CURRENCY:INRBRL"")*D897"),5.3817764868)</f>
        <v>5.381776487</v>
      </c>
      <c r="H897" s="1">
        <v>4.5</v>
      </c>
      <c r="I897" s="1">
        <v>10718.0</v>
      </c>
      <c r="J897" s="1" t="s">
        <v>3374</v>
      </c>
      <c r="K897" s="5" t="s">
        <v>3375</v>
      </c>
    </row>
    <row r="898">
      <c r="A898" s="1" t="s">
        <v>3376</v>
      </c>
      <c r="B898" s="1" t="s">
        <v>3377</v>
      </c>
      <c r="C898" s="1" t="s">
        <v>1801</v>
      </c>
      <c r="D898" s="2">
        <v>2025.0</v>
      </c>
      <c r="E898" s="2">
        <v>5999.0</v>
      </c>
      <c r="F898" s="3">
        <f t="shared" si="6"/>
        <v>0.6624437406</v>
      </c>
      <c r="G898" s="4">
        <f>IFERROR(__xludf.DUMMYFUNCTION("GOOGLEFINANCE(""CURRENCY:INRBRL"")*D898"),121.08997095299999)</f>
        <v>121.089971</v>
      </c>
      <c r="H898" s="1">
        <v>4.5</v>
      </c>
      <c r="I898" s="1">
        <v>6233.0</v>
      </c>
      <c r="J898" s="1" t="s">
        <v>3378</v>
      </c>
      <c r="K898" s="5" t="s">
        <v>3379</v>
      </c>
    </row>
    <row r="899">
      <c r="A899" s="1" t="s">
        <v>3380</v>
      </c>
      <c r="B899" s="1" t="s">
        <v>3381</v>
      </c>
      <c r="C899" s="1" t="s">
        <v>2466</v>
      </c>
      <c r="D899" s="2">
        <v>1495.0</v>
      </c>
      <c r="E899" s="2">
        <v>1995.0</v>
      </c>
      <c r="F899" s="3">
        <f t="shared" si="6"/>
        <v>0.2506265664</v>
      </c>
      <c r="G899" s="4">
        <f>IFERROR(__xludf.DUMMYFUNCTION("GOOGLEFINANCE(""CURRENCY:INRBRL"")*D899"),89.39728719739999)</f>
        <v>89.3972872</v>
      </c>
      <c r="H899" s="1">
        <v>4.5</v>
      </c>
      <c r="I899" s="1">
        <v>10541.0</v>
      </c>
      <c r="J899" s="1" t="s">
        <v>3382</v>
      </c>
      <c r="K899" s="5" t="s">
        <v>3383</v>
      </c>
    </row>
    <row r="900">
      <c r="A900" s="1" t="s">
        <v>223</v>
      </c>
      <c r="B900" s="1" t="s">
        <v>224</v>
      </c>
      <c r="C900" s="1" t="s">
        <v>13</v>
      </c>
      <c r="D900" s="2">
        <v>799.0</v>
      </c>
      <c r="E900" s="2">
        <v>2099.0</v>
      </c>
      <c r="F900" s="3">
        <f t="shared" si="6"/>
        <v>0.6193425441</v>
      </c>
      <c r="G900" s="4">
        <f>IFERROR(__xludf.DUMMYFUNCTION("GOOGLEFINANCE(""CURRENCY:INRBRL"")*D900"),47.77821569948)</f>
        <v>47.7782157</v>
      </c>
      <c r="H900" s="1">
        <v>4.5</v>
      </c>
      <c r="I900" s="1">
        <v>8188.0</v>
      </c>
      <c r="J900" s="1" t="s">
        <v>225</v>
      </c>
      <c r="K900" s="5" t="s">
        <v>3384</v>
      </c>
    </row>
    <row r="901">
      <c r="A901" s="1" t="s">
        <v>3385</v>
      </c>
      <c r="B901" s="1" t="s">
        <v>3386</v>
      </c>
      <c r="C901" s="1" t="s">
        <v>2545</v>
      </c>
      <c r="D901" s="2">
        <v>899.0</v>
      </c>
      <c r="E901" s="2">
        <v>1199.0</v>
      </c>
      <c r="F901" s="3">
        <f t="shared" si="6"/>
        <v>0.2502085071</v>
      </c>
      <c r="G901" s="4">
        <f>IFERROR(__xludf.DUMMYFUNCTION("GOOGLEFINANCE(""CURRENCY:INRBRL"")*D901"),53.75796735148)</f>
        <v>53.75796735</v>
      </c>
      <c r="H901" s="1">
        <v>4.5</v>
      </c>
      <c r="I901" s="1">
        <v>10751.0</v>
      </c>
      <c r="J901" s="1" t="s">
        <v>3387</v>
      </c>
      <c r="K901" s="5" t="s">
        <v>3388</v>
      </c>
    </row>
    <row r="902">
      <c r="A902" s="1" t="s">
        <v>3389</v>
      </c>
      <c r="B902" s="1" t="s">
        <v>3390</v>
      </c>
      <c r="C902" s="1" t="s">
        <v>3391</v>
      </c>
      <c r="D902" s="2">
        <v>349.0</v>
      </c>
      <c r="E902" s="2">
        <v>999.0</v>
      </c>
      <c r="F902" s="3">
        <f t="shared" si="6"/>
        <v>0.6506506507</v>
      </c>
      <c r="G902" s="4">
        <f>IFERROR(__xludf.DUMMYFUNCTION("GOOGLEFINANCE(""CURRENCY:INRBRL"")*D902"),20.869333265479998)</f>
        <v>20.86933327</v>
      </c>
      <c r="H902" s="1">
        <v>4.5</v>
      </c>
      <c r="I902" s="1">
        <v>817.0</v>
      </c>
      <c r="J902" s="1" t="s">
        <v>3392</v>
      </c>
      <c r="K902" s="5" t="s">
        <v>3393</v>
      </c>
    </row>
    <row r="903">
      <c r="A903" s="1" t="s">
        <v>3394</v>
      </c>
      <c r="B903" s="1" t="s">
        <v>3395</v>
      </c>
      <c r="C903" s="1" t="s">
        <v>1361</v>
      </c>
      <c r="D903" s="2">
        <v>900.0</v>
      </c>
      <c r="E903" s="2">
        <v>2499.0</v>
      </c>
      <c r="F903" s="3">
        <f t="shared" si="6"/>
        <v>0.6398559424</v>
      </c>
      <c r="G903" s="4">
        <f>IFERROR(__xludf.DUMMYFUNCTION("GOOGLEFINANCE(""CURRENCY:INRBRL"")*D903"),53.817764868)</f>
        <v>53.81776487</v>
      </c>
      <c r="H903" s="1">
        <v>4.5</v>
      </c>
      <c r="I903" s="1">
        <v>36384.0</v>
      </c>
      <c r="J903" s="1" t="s">
        <v>3396</v>
      </c>
      <c r="K903" s="5" t="s">
        <v>3397</v>
      </c>
    </row>
    <row r="904">
      <c r="A904" s="1" t="s">
        <v>3398</v>
      </c>
      <c r="B904" s="1" t="s">
        <v>3399</v>
      </c>
      <c r="C904" s="1" t="s">
        <v>2712</v>
      </c>
      <c r="D904" s="2">
        <v>2499.0</v>
      </c>
      <c r="E904" s="2">
        <v>3999.0</v>
      </c>
      <c r="F904" s="3">
        <f t="shared" si="6"/>
        <v>0.3750937734</v>
      </c>
      <c r="G904" s="4">
        <f>IFERROR(__xludf.DUMMYFUNCTION("GOOGLEFINANCE(""CURRENCY:INRBRL"")*D904"),149.43399378348)</f>
        <v>149.4339938</v>
      </c>
      <c r="H904" s="1">
        <v>4.5</v>
      </c>
      <c r="I904" s="1">
        <v>3606.0</v>
      </c>
      <c r="J904" s="1" t="s">
        <v>3400</v>
      </c>
      <c r="K904" s="5" t="s">
        <v>3401</v>
      </c>
    </row>
    <row r="905">
      <c r="A905" s="1" t="s">
        <v>3402</v>
      </c>
      <c r="B905" s="1" t="s">
        <v>3403</v>
      </c>
      <c r="C905" s="1" t="s">
        <v>2552</v>
      </c>
      <c r="D905" s="2">
        <v>116.0</v>
      </c>
      <c r="E905" s="2">
        <v>200.0</v>
      </c>
      <c r="F905" s="3">
        <f t="shared" si="6"/>
        <v>0.42</v>
      </c>
      <c r="G905" s="4">
        <f>IFERROR(__xludf.DUMMYFUNCTION("GOOGLEFINANCE(""CURRENCY:INRBRL"")*D905"),6.93651191632)</f>
        <v>6.936511916</v>
      </c>
      <c r="H905" s="1">
        <v>4.5</v>
      </c>
      <c r="I905" s="1">
        <v>357.0</v>
      </c>
      <c r="J905" s="1" t="s">
        <v>3404</v>
      </c>
      <c r="K905" s="5" t="s">
        <v>3405</v>
      </c>
    </row>
    <row r="906">
      <c r="A906" s="1" t="s">
        <v>3406</v>
      </c>
      <c r="B906" s="1" t="s">
        <v>3407</v>
      </c>
      <c r="C906" s="1" t="s">
        <v>2471</v>
      </c>
      <c r="D906" s="2">
        <v>200.0</v>
      </c>
      <c r="E906" s="2">
        <v>230.0</v>
      </c>
      <c r="F906" s="3">
        <f t="shared" si="6"/>
        <v>0.1304347826</v>
      </c>
      <c r="G906" s="4">
        <f>IFERROR(__xludf.DUMMYFUNCTION("GOOGLEFINANCE(""CURRENCY:INRBRL"")*D906"),11.959503304)</f>
        <v>11.9595033</v>
      </c>
      <c r="H906" s="1">
        <v>4.5</v>
      </c>
      <c r="I906" s="1">
        <v>1017.0</v>
      </c>
      <c r="J906" s="1" t="s">
        <v>3408</v>
      </c>
      <c r="K906" s="5" t="s">
        <v>3409</v>
      </c>
    </row>
    <row r="907">
      <c r="A907" s="1" t="s">
        <v>3410</v>
      </c>
      <c r="B907" s="1" t="s">
        <v>3411</v>
      </c>
      <c r="C907" s="1" t="s">
        <v>3138</v>
      </c>
      <c r="D907" s="2">
        <v>1249.0</v>
      </c>
      <c r="E907" s="2">
        <v>2796.0</v>
      </c>
      <c r="F907" s="3">
        <f t="shared" si="6"/>
        <v>0.5532904149</v>
      </c>
      <c r="G907" s="4">
        <f>IFERROR(__xludf.DUMMYFUNCTION("GOOGLEFINANCE(""CURRENCY:INRBRL"")*D907"),74.68709813347999)</f>
        <v>74.68709813</v>
      </c>
      <c r="H907" s="1">
        <v>4.5</v>
      </c>
      <c r="I907" s="1">
        <v>4598.0</v>
      </c>
      <c r="J907" s="1" t="s">
        <v>3412</v>
      </c>
      <c r="K907" s="5" t="s">
        <v>3413</v>
      </c>
    </row>
    <row r="908">
      <c r="A908" s="1" t="s">
        <v>3414</v>
      </c>
      <c r="B908" s="1" t="s">
        <v>3415</v>
      </c>
      <c r="C908" s="1" t="s">
        <v>3416</v>
      </c>
      <c r="D908" s="2">
        <v>649.0</v>
      </c>
      <c r="E908" s="2">
        <v>999.0</v>
      </c>
      <c r="F908" s="3">
        <f t="shared" si="6"/>
        <v>0.3503503504</v>
      </c>
      <c r="G908" s="4">
        <f>IFERROR(__xludf.DUMMYFUNCTION("GOOGLEFINANCE(""CURRENCY:INRBRL"")*D908"),38.80858822148)</f>
        <v>38.80858822</v>
      </c>
      <c r="H908" s="1">
        <v>4.5</v>
      </c>
      <c r="I908" s="1">
        <v>7222.0</v>
      </c>
      <c r="J908" s="1" t="s">
        <v>3417</v>
      </c>
      <c r="K908" s="5" t="s">
        <v>3418</v>
      </c>
    </row>
    <row r="909">
      <c r="A909" s="1" t="s">
        <v>3419</v>
      </c>
      <c r="B909" s="1" t="s">
        <v>3420</v>
      </c>
      <c r="C909" s="1" t="s">
        <v>3421</v>
      </c>
      <c r="D909" s="2">
        <v>2649.0</v>
      </c>
      <c r="E909" s="2">
        <v>3499.0</v>
      </c>
      <c r="F909" s="3">
        <f t="shared" si="6"/>
        <v>0.2429265504</v>
      </c>
      <c r="G909" s="4">
        <f>IFERROR(__xludf.DUMMYFUNCTION("GOOGLEFINANCE(""CURRENCY:INRBRL"")*D909"),158.40362126148)</f>
        <v>158.4036213</v>
      </c>
      <c r="H909" s="1">
        <v>4.5</v>
      </c>
      <c r="I909" s="1">
        <v>1271.0</v>
      </c>
      <c r="J909" s="1" t="s">
        <v>3422</v>
      </c>
      <c r="K909" s="5" t="s">
        <v>3423</v>
      </c>
    </row>
    <row r="910">
      <c r="A910" s="1" t="s">
        <v>232</v>
      </c>
      <c r="B910" s="1" t="s">
        <v>233</v>
      </c>
      <c r="C910" s="1" t="s">
        <v>13</v>
      </c>
      <c r="D910" s="2">
        <v>199.0</v>
      </c>
      <c r="E910" s="2">
        <v>349.0</v>
      </c>
      <c r="F910" s="3">
        <f t="shared" si="6"/>
        <v>0.4297994269</v>
      </c>
      <c r="G910" s="4">
        <f>IFERROR(__xludf.DUMMYFUNCTION("GOOGLEFINANCE(""CURRENCY:INRBRL"")*D910"),11.899705787479999)</f>
        <v>11.89970579</v>
      </c>
      <c r="H910" s="1">
        <v>4.5</v>
      </c>
      <c r="I910" s="1">
        <v>314.0</v>
      </c>
      <c r="J910" s="1" t="s">
        <v>234</v>
      </c>
      <c r="K910" s="5" t="s">
        <v>3424</v>
      </c>
    </row>
    <row r="911">
      <c r="A911" s="1" t="s">
        <v>3425</v>
      </c>
      <c r="B911" s="1" t="s">
        <v>3426</v>
      </c>
      <c r="C911" s="1" t="s">
        <v>2435</v>
      </c>
      <c r="D911" s="2">
        <v>596.0</v>
      </c>
      <c r="E911" s="2">
        <v>723.0</v>
      </c>
      <c r="F911" s="3">
        <f t="shared" si="6"/>
        <v>0.1756569848</v>
      </c>
      <c r="G911" s="4">
        <f>IFERROR(__xludf.DUMMYFUNCTION("GOOGLEFINANCE(""CURRENCY:INRBRL"")*D911"),35.63931984592)</f>
        <v>35.63931985</v>
      </c>
      <c r="H911" s="1">
        <v>4.5</v>
      </c>
      <c r="I911" s="1">
        <v>3219.0</v>
      </c>
      <c r="J911" s="1" t="s">
        <v>3427</v>
      </c>
      <c r="K911" s="5" t="s">
        <v>3428</v>
      </c>
    </row>
    <row r="912">
      <c r="A912" s="1" t="s">
        <v>3429</v>
      </c>
      <c r="B912" s="1" t="s">
        <v>3430</v>
      </c>
      <c r="C912" s="1" t="s">
        <v>1348</v>
      </c>
      <c r="D912" s="2">
        <v>2499.0</v>
      </c>
      <c r="E912" s="2">
        <v>2649.0</v>
      </c>
      <c r="F912" s="3">
        <f t="shared" si="6"/>
        <v>0.05662514156</v>
      </c>
      <c r="G912" s="4">
        <f>IFERROR(__xludf.DUMMYFUNCTION("GOOGLEFINANCE(""CURRENCY:INRBRL"")*D912"),149.43399378348)</f>
        <v>149.4339938</v>
      </c>
      <c r="H912" s="1">
        <v>4.5</v>
      </c>
      <c r="I912" s="1">
        <v>38879.0</v>
      </c>
      <c r="J912" s="1" t="s">
        <v>3431</v>
      </c>
      <c r="K912" s="5" t="s">
        <v>3432</v>
      </c>
    </row>
    <row r="913">
      <c r="A913" s="1" t="s">
        <v>3433</v>
      </c>
      <c r="B913" s="1" t="s">
        <v>3434</v>
      </c>
      <c r="C913" s="1" t="s">
        <v>3435</v>
      </c>
      <c r="D913" s="2">
        <v>4999.0</v>
      </c>
      <c r="E913" s="2">
        <v>12499.0</v>
      </c>
      <c r="F913" s="3">
        <f t="shared" si="6"/>
        <v>0.6000480038</v>
      </c>
      <c r="G913" s="4">
        <f>IFERROR(__xludf.DUMMYFUNCTION("GOOGLEFINANCE(""CURRENCY:INRBRL"")*D913"),298.92778508348)</f>
        <v>298.9277851</v>
      </c>
      <c r="H913" s="1">
        <v>4.5</v>
      </c>
      <c r="I913" s="1">
        <v>4541.0</v>
      </c>
      <c r="J913" s="1" t="s">
        <v>3436</v>
      </c>
      <c r="K913" s="5" t="s">
        <v>3437</v>
      </c>
    </row>
    <row r="914">
      <c r="A914" s="1" t="s">
        <v>3438</v>
      </c>
      <c r="B914" s="1" t="s">
        <v>3439</v>
      </c>
      <c r="C914" s="1" t="s">
        <v>1403</v>
      </c>
      <c r="D914" s="2">
        <v>399.0</v>
      </c>
      <c r="E914" s="2">
        <v>1299.0</v>
      </c>
      <c r="F914" s="3">
        <f t="shared" si="6"/>
        <v>0.6928406467</v>
      </c>
      <c r="G914" s="4">
        <f>IFERROR(__xludf.DUMMYFUNCTION("GOOGLEFINANCE(""CURRENCY:INRBRL"")*D914"),23.859209091479997)</f>
        <v>23.85920909</v>
      </c>
      <c r="H914" s="1">
        <v>4.5</v>
      </c>
      <c r="I914" s="1">
        <v>76042.0</v>
      </c>
      <c r="J914" s="1" t="s">
        <v>3440</v>
      </c>
      <c r="K914" s="5" t="s">
        <v>3441</v>
      </c>
    </row>
    <row r="915">
      <c r="A915" s="1" t="s">
        <v>3442</v>
      </c>
      <c r="B915" s="1" t="s">
        <v>3443</v>
      </c>
      <c r="C915" s="1" t="s">
        <v>2552</v>
      </c>
      <c r="D915" s="2">
        <v>116.0</v>
      </c>
      <c r="E915" s="2">
        <v>200.0</v>
      </c>
      <c r="F915" s="3">
        <f t="shared" si="6"/>
        <v>0.42</v>
      </c>
      <c r="G915" s="4">
        <f>IFERROR(__xludf.DUMMYFUNCTION("GOOGLEFINANCE(""CURRENCY:INRBRL"")*D915"),6.93651191632)</f>
        <v>6.936511916</v>
      </c>
      <c r="H915" s="1">
        <v>4.5</v>
      </c>
      <c r="I915" s="1">
        <v>485.0</v>
      </c>
      <c r="J915" s="1" t="s">
        <v>3444</v>
      </c>
      <c r="K915" s="5" t="s">
        <v>3445</v>
      </c>
    </row>
    <row r="916">
      <c r="A916" s="1" t="s">
        <v>3446</v>
      </c>
      <c r="B916" s="1" t="s">
        <v>3447</v>
      </c>
      <c r="C916" s="1" t="s">
        <v>2712</v>
      </c>
      <c r="D916" s="2">
        <v>4499.0</v>
      </c>
      <c r="E916" s="2">
        <v>5999.0</v>
      </c>
      <c r="F916" s="3">
        <f t="shared" si="6"/>
        <v>0.2500416736</v>
      </c>
      <c r="G916" s="4">
        <f>IFERROR(__xludf.DUMMYFUNCTION("GOOGLEFINANCE(""CURRENCY:INRBRL"")*D916"),269.02902682347997)</f>
        <v>269.0290268</v>
      </c>
      <c r="H916" s="1">
        <v>4.5</v>
      </c>
      <c r="I916" s="1">
        <v>44696.0</v>
      </c>
      <c r="J916" s="1" t="s">
        <v>3448</v>
      </c>
      <c r="K916" s="5" t="s">
        <v>3449</v>
      </c>
    </row>
    <row r="917">
      <c r="A917" s="1" t="s">
        <v>3450</v>
      </c>
      <c r="B917" s="1" t="s">
        <v>3451</v>
      </c>
      <c r="C917" s="1" t="s">
        <v>2798</v>
      </c>
      <c r="D917" s="2">
        <v>330.0</v>
      </c>
      <c r="E917" s="2">
        <v>499.0</v>
      </c>
      <c r="F917" s="3">
        <f t="shared" si="6"/>
        <v>0.3386773547</v>
      </c>
      <c r="G917" s="4">
        <f>IFERROR(__xludf.DUMMYFUNCTION("GOOGLEFINANCE(""CURRENCY:INRBRL"")*D917"),19.7331804516)</f>
        <v>19.73318045</v>
      </c>
      <c r="H917" s="1">
        <v>4.5</v>
      </c>
      <c r="I917" s="1">
        <v>8566.0</v>
      </c>
      <c r="J917" s="1" t="s">
        <v>3452</v>
      </c>
      <c r="K917" s="5" t="s">
        <v>3453</v>
      </c>
    </row>
    <row r="918">
      <c r="A918" s="1" t="s">
        <v>3454</v>
      </c>
      <c r="B918" s="1" t="s">
        <v>3455</v>
      </c>
      <c r="C918" s="1" t="s">
        <v>2519</v>
      </c>
      <c r="D918" s="2">
        <v>649.0</v>
      </c>
      <c r="E918" s="2">
        <v>2499.0</v>
      </c>
      <c r="F918" s="3">
        <f t="shared" si="6"/>
        <v>0.7402961184</v>
      </c>
      <c r="G918" s="4">
        <f>IFERROR(__xludf.DUMMYFUNCTION("GOOGLEFINANCE(""CURRENCY:INRBRL"")*D918"),38.80858822148)</f>
        <v>38.80858822</v>
      </c>
      <c r="H918" s="1">
        <v>4.5</v>
      </c>
      <c r="I918" s="1">
        <v>13049.0</v>
      </c>
      <c r="J918" s="1" t="s">
        <v>3456</v>
      </c>
      <c r="K918" s="5" t="s">
        <v>3457</v>
      </c>
    </row>
    <row r="919">
      <c r="A919" s="1" t="s">
        <v>3458</v>
      </c>
      <c r="B919" s="1" t="s">
        <v>3459</v>
      </c>
      <c r="C919" s="1" t="s">
        <v>2753</v>
      </c>
      <c r="D919" s="2">
        <v>1234.0</v>
      </c>
      <c r="E919" s="2">
        <v>1599.0</v>
      </c>
      <c r="F919" s="3">
        <f t="shared" si="6"/>
        <v>0.2282676673</v>
      </c>
      <c r="G919" s="4">
        <f>IFERROR(__xludf.DUMMYFUNCTION("GOOGLEFINANCE(""CURRENCY:INRBRL"")*D919"),73.79013538567999)</f>
        <v>73.79013539</v>
      </c>
      <c r="H919" s="1">
        <v>4.5</v>
      </c>
      <c r="I919" s="1">
        <v>1668.0</v>
      </c>
      <c r="J919" s="1" t="s">
        <v>3460</v>
      </c>
      <c r="K919" s="5" t="s">
        <v>3461</v>
      </c>
    </row>
    <row r="920">
      <c r="A920" s="1" t="s">
        <v>2067</v>
      </c>
      <c r="B920" s="1" t="s">
        <v>2068</v>
      </c>
      <c r="C920" s="1" t="s">
        <v>2069</v>
      </c>
      <c r="D920" s="2">
        <v>1399.0</v>
      </c>
      <c r="E920" s="2">
        <v>2999.0</v>
      </c>
      <c r="F920" s="3">
        <f t="shared" si="6"/>
        <v>0.5335111704</v>
      </c>
      <c r="G920" s="4">
        <f>IFERROR(__xludf.DUMMYFUNCTION("GOOGLEFINANCE(""CURRENCY:INRBRL"")*D920"),83.65672561148)</f>
        <v>83.65672561</v>
      </c>
      <c r="H920" s="1">
        <v>4.5</v>
      </c>
      <c r="I920" s="1">
        <v>97174.0</v>
      </c>
      <c r="J920" s="1" t="s">
        <v>2070</v>
      </c>
      <c r="K920" s="5" t="s">
        <v>3462</v>
      </c>
    </row>
    <row r="921">
      <c r="A921" s="1" t="s">
        <v>3463</v>
      </c>
      <c r="B921" s="1" t="s">
        <v>3464</v>
      </c>
      <c r="C921" s="1" t="s">
        <v>3214</v>
      </c>
      <c r="D921" s="2">
        <v>272.0</v>
      </c>
      <c r="E921" s="2">
        <v>320.0</v>
      </c>
      <c r="F921" s="3">
        <f t="shared" si="6"/>
        <v>0.15</v>
      </c>
      <c r="G921" s="4">
        <f>IFERROR(__xludf.DUMMYFUNCTION("GOOGLEFINANCE(""CURRENCY:INRBRL"")*D921"),16.26492449344)</f>
        <v>16.26492449</v>
      </c>
      <c r="H921" s="1">
        <v>4.5</v>
      </c>
      <c r="I921" s="1">
        <v>3686.0</v>
      </c>
      <c r="J921" s="1" t="s">
        <v>3465</v>
      </c>
      <c r="K921" s="5" t="s">
        <v>3466</v>
      </c>
    </row>
    <row r="922">
      <c r="A922" s="1" t="s">
        <v>3467</v>
      </c>
      <c r="B922" s="1" t="s">
        <v>3468</v>
      </c>
      <c r="C922" s="1" t="s">
        <v>3469</v>
      </c>
      <c r="D922" s="2">
        <v>99.0</v>
      </c>
      <c r="E922" s="2">
        <v>999.0</v>
      </c>
      <c r="F922" s="3">
        <f t="shared" si="6"/>
        <v>0.9009009009</v>
      </c>
      <c r="G922" s="4">
        <f>IFERROR(__xludf.DUMMYFUNCTION("GOOGLEFINANCE(""CURRENCY:INRBRL"")*D922"),5.919954135479999)</f>
        <v>5.919954135</v>
      </c>
      <c r="H922" s="1">
        <v>4.5</v>
      </c>
      <c r="I922" s="1">
        <v>594.0</v>
      </c>
      <c r="J922" s="1" t="s">
        <v>3470</v>
      </c>
      <c r="K922" s="5" t="s">
        <v>3471</v>
      </c>
    </row>
    <row r="923">
      <c r="A923" s="1" t="s">
        <v>3472</v>
      </c>
      <c r="B923" s="1" t="s">
        <v>3473</v>
      </c>
      <c r="C923" s="1" t="s">
        <v>3474</v>
      </c>
      <c r="D923" s="2">
        <v>3498.0</v>
      </c>
      <c r="E923" s="2">
        <v>3875.0</v>
      </c>
      <c r="F923" s="3">
        <f t="shared" si="6"/>
        <v>0.09729032258</v>
      </c>
      <c r="G923" s="4">
        <f>IFERROR(__xludf.DUMMYFUNCTION("GOOGLEFINANCE(""CURRENCY:INRBRL"")*D923"),209.17171278696)</f>
        <v>209.1717128</v>
      </c>
      <c r="H923" s="1">
        <v>4.5</v>
      </c>
      <c r="I923" s="1">
        <v>12185.0</v>
      </c>
      <c r="J923" s="1" t="s">
        <v>3475</v>
      </c>
      <c r="K923" s="5" t="s">
        <v>3476</v>
      </c>
    </row>
    <row r="924">
      <c r="A924" s="1" t="s">
        <v>3477</v>
      </c>
      <c r="B924" s="1" t="s">
        <v>3478</v>
      </c>
      <c r="C924" s="1" t="s">
        <v>2675</v>
      </c>
      <c r="D924" s="2">
        <v>10099.0</v>
      </c>
      <c r="E924" s="2">
        <v>19110.0</v>
      </c>
      <c r="F924" s="3">
        <f t="shared" si="6"/>
        <v>0.4715332287</v>
      </c>
      <c r="G924" s="4">
        <f>IFERROR(__xludf.DUMMYFUNCTION("GOOGLEFINANCE(""CURRENCY:INRBRL"")*D924"),603.89511933548)</f>
        <v>603.8951193</v>
      </c>
      <c r="H924" s="1">
        <v>4.5</v>
      </c>
      <c r="I924" s="1">
        <v>2623.0</v>
      </c>
      <c r="J924" s="1" t="s">
        <v>3479</v>
      </c>
      <c r="K924" s="5" t="s">
        <v>3480</v>
      </c>
    </row>
    <row r="925">
      <c r="A925" s="1" t="s">
        <v>3481</v>
      </c>
      <c r="B925" s="1" t="s">
        <v>3482</v>
      </c>
      <c r="C925" s="1" t="s">
        <v>2841</v>
      </c>
      <c r="D925" s="2">
        <v>449.0</v>
      </c>
      <c r="E925" s="2">
        <v>999.0</v>
      </c>
      <c r="F925" s="3">
        <f t="shared" si="6"/>
        <v>0.5505505506</v>
      </c>
      <c r="G925" s="4">
        <f>IFERROR(__xludf.DUMMYFUNCTION("GOOGLEFINANCE(""CURRENCY:INRBRL"")*D925"),26.84908491748)</f>
        <v>26.84908492</v>
      </c>
      <c r="H925" s="1">
        <v>4.5</v>
      </c>
      <c r="I925" s="1">
        <v>9701.0</v>
      </c>
      <c r="J925" s="1" t="s">
        <v>3483</v>
      </c>
      <c r="K925" s="5" t="s">
        <v>3484</v>
      </c>
    </row>
    <row r="926">
      <c r="A926" s="1" t="s">
        <v>3485</v>
      </c>
      <c r="B926" s="1" t="s">
        <v>3486</v>
      </c>
      <c r="C926" s="1" t="s">
        <v>3487</v>
      </c>
      <c r="D926" s="2">
        <v>150.0</v>
      </c>
      <c r="E926" s="2">
        <v>150.0</v>
      </c>
      <c r="F926" s="3">
        <f t="shared" si="6"/>
        <v>0</v>
      </c>
      <c r="G926" s="4">
        <f>IFERROR(__xludf.DUMMYFUNCTION("GOOGLEFINANCE(""CURRENCY:INRBRL"")*D926"),8.969627478)</f>
        <v>8.969627478</v>
      </c>
      <c r="H926" s="1">
        <v>4.5</v>
      </c>
      <c r="I926" s="1">
        <v>15867.0</v>
      </c>
      <c r="J926" s="1" t="s">
        <v>3488</v>
      </c>
      <c r="K926" s="5" t="s">
        <v>3489</v>
      </c>
    </row>
    <row r="927">
      <c r="A927" s="1" t="s">
        <v>248</v>
      </c>
      <c r="B927" s="1" t="s">
        <v>249</v>
      </c>
      <c r="C927" s="1" t="s">
        <v>13</v>
      </c>
      <c r="D927" s="2">
        <v>348.0</v>
      </c>
      <c r="E927" s="2">
        <v>1499.0</v>
      </c>
      <c r="F927" s="3">
        <f t="shared" si="6"/>
        <v>0.7678452302</v>
      </c>
      <c r="G927" s="4">
        <f>IFERROR(__xludf.DUMMYFUNCTION("GOOGLEFINANCE(""CURRENCY:INRBRL"")*D927"),20.80953574896)</f>
        <v>20.80953575</v>
      </c>
      <c r="H927" s="1">
        <v>4.5</v>
      </c>
      <c r="I927" s="1">
        <v>656.0</v>
      </c>
      <c r="J927" s="1" t="s">
        <v>250</v>
      </c>
      <c r="K927" s="5" t="s">
        <v>3490</v>
      </c>
    </row>
    <row r="928">
      <c r="A928" s="1" t="s">
        <v>3491</v>
      </c>
      <c r="B928" s="1" t="s">
        <v>3492</v>
      </c>
      <c r="C928" s="1" t="s">
        <v>2514</v>
      </c>
      <c r="D928" s="2">
        <v>1199.0</v>
      </c>
      <c r="E928" s="2">
        <v>2999.0</v>
      </c>
      <c r="F928" s="3">
        <f t="shared" si="6"/>
        <v>0.6002000667</v>
      </c>
      <c r="G928" s="4">
        <f>IFERROR(__xludf.DUMMYFUNCTION("GOOGLEFINANCE(""CURRENCY:INRBRL"")*D928"),71.69722230747999)</f>
        <v>71.69722231</v>
      </c>
      <c r="H928" s="1">
        <v>4.5</v>
      </c>
      <c r="I928" s="1">
        <v>10725.0</v>
      </c>
      <c r="J928" s="1" t="s">
        <v>3493</v>
      </c>
      <c r="K928" s="5" t="s">
        <v>3494</v>
      </c>
    </row>
    <row r="929">
      <c r="A929" s="1" t="s">
        <v>3495</v>
      </c>
      <c r="B929" s="1" t="s">
        <v>3496</v>
      </c>
      <c r="C929" s="1" t="s">
        <v>2481</v>
      </c>
      <c r="D929" s="2">
        <v>397.0</v>
      </c>
      <c r="E929" s="2">
        <v>899.0</v>
      </c>
      <c r="F929" s="3">
        <f t="shared" si="6"/>
        <v>0.5583982202</v>
      </c>
      <c r="G929" s="4">
        <f>IFERROR(__xludf.DUMMYFUNCTION("GOOGLEFINANCE(""CURRENCY:INRBRL"")*D929"),23.739614058439997)</f>
        <v>23.73961406</v>
      </c>
      <c r="H929" s="1">
        <v>4.5</v>
      </c>
      <c r="I929" s="1">
        <v>3025.0</v>
      </c>
      <c r="J929" s="1" t="s">
        <v>3497</v>
      </c>
      <c r="K929" s="5" t="s">
        <v>3498</v>
      </c>
    </row>
    <row r="930">
      <c r="A930" s="1" t="s">
        <v>252</v>
      </c>
      <c r="B930" s="1" t="s">
        <v>253</v>
      </c>
      <c r="C930" s="1" t="s">
        <v>13</v>
      </c>
      <c r="D930" s="2">
        <v>154.0</v>
      </c>
      <c r="E930" s="2">
        <v>349.0</v>
      </c>
      <c r="F930" s="3">
        <f t="shared" si="6"/>
        <v>0.558739255</v>
      </c>
      <c r="G930" s="4">
        <f>IFERROR(__xludf.DUMMYFUNCTION("GOOGLEFINANCE(""CURRENCY:INRBRL"")*D930"),9.208817544079999)</f>
        <v>9.208817544</v>
      </c>
      <c r="H930" s="1">
        <v>4.5</v>
      </c>
      <c r="I930" s="1">
        <v>7064.0</v>
      </c>
      <c r="J930" s="1" t="s">
        <v>254</v>
      </c>
      <c r="K930" s="5" t="s">
        <v>3499</v>
      </c>
    </row>
    <row r="931">
      <c r="A931" s="1" t="s">
        <v>3500</v>
      </c>
      <c r="B931" s="1" t="s">
        <v>3501</v>
      </c>
      <c r="C931" s="1" t="s">
        <v>2758</v>
      </c>
      <c r="D931" s="2">
        <v>699.0</v>
      </c>
      <c r="E931" s="2">
        <v>1499.0</v>
      </c>
      <c r="F931" s="3">
        <f t="shared" si="6"/>
        <v>0.5336891261</v>
      </c>
      <c r="G931" s="4">
        <f>IFERROR(__xludf.DUMMYFUNCTION("GOOGLEFINANCE(""CURRENCY:INRBRL"")*D931"),41.798464047479996)</f>
        <v>41.79846405</v>
      </c>
      <c r="H931" s="1">
        <v>4.5</v>
      </c>
      <c r="I931" s="1">
        <v>5736.0</v>
      </c>
      <c r="J931" s="1" t="s">
        <v>3502</v>
      </c>
      <c r="K931" s="5" t="s">
        <v>3503</v>
      </c>
    </row>
    <row r="932">
      <c r="A932" s="1" t="s">
        <v>3504</v>
      </c>
      <c r="B932" s="1" t="s">
        <v>3505</v>
      </c>
      <c r="C932" s="1" t="s">
        <v>1403</v>
      </c>
      <c r="D932" s="2">
        <v>1679.0</v>
      </c>
      <c r="E932" s="2">
        <v>1999.0</v>
      </c>
      <c r="F932" s="3">
        <f t="shared" si="6"/>
        <v>0.16008004</v>
      </c>
      <c r="G932" s="4">
        <f>IFERROR(__xludf.DUMMYFUNCTION("GOOGLEFINANCE(""CURRENCY:INRBRL"")*D932"),100.40003023707999)</f>
        <v>100.4000302</v>
      </c>
      <c r="H932" s="1">
        <v>4.5</v>
      </c>
      <c r="I932" s="1">
        <v>72563.0</v>
      </c>
      <c r="J932" s="1" t="s">
        <v>3506</v>
      </c>
      <c r="K932" s="5" t="s">
        <v>3507</v>
      </c>
    </row>
    <row r="933">
      <c r="A933" s="1" t="s">
        <v>3508</v>
      </c>
      <c r="B933" s="1" t="s">
        <v>3509</v>
      </c>
      <c r="C933" s="1" t="s">
        <v>2266</v>
      </c>
      <c r="D933" s="2">
        <v>354.0</v>
      </c>
      <c r="E933" s="2">
        <v>1499.0</v>
      </c>
      <c r="F933" s="3">
        <f t="shared" si="6"/>
        <v>0.7638425617</v>
      </c>
      <c r="G933" s="4">
        <f>IFERROR(__xludf.DUMMYFUNCTION("GOOGLEFINANCE(""CURRENCY:INRBRL"")*D933"),21.16832084808)</f>
        <v>21.16832085</v>
      </c>
      <c r="H933" s="1">
        <v>4.5</v>
      </c>
      <c r="I933" s="1">
        <v>1026.0</v>
      </c>
      <c r="J933" s="1" t="s">
        <v>3510</v>
      </c>
      <c r="K933" s="5" t="s">
        <v>3511</v>
      </c>
    </row>
    <row r="934">
      <c r="A934" s="1" t="s">
        <v>3512</v>
      </c>
      <c r="B934" s="1" t="s">
        <v>3513</v>
      </c>
      <c r="C934" s="1" t="s">
        <v>3514</v>
      </c>
      <c r="D934" s="2">
        <v>1199.0</v>
      </c>
      <c r="E934" s="2">
        <v>5499.0</v>
      </c>
      <c r="F934" s="3">
        <f t="shared" si="6"/>
        <v>0.7819603564</v>
      </c>
      <c r="G934" s="4">
        <f>IFERROR(__xludf.DUMMYFUNCTION("GOOGLEFINANCE(""CURRENCY:INRBRL"")*D934"),71.69722230747999)</f>
        <v>71.69722231</v>
      </c>
      <c r="H934" s="1">
        <v>4.5</v>
      </c>
      <c r="I934" s="1">
        <v>2043.0</v>
      </c>
      <c r="J934" s="1" t="s">
        <v>3515</v>
      </c>
      <c r="K934" s="5" t="s">
        <v>3516</v>
      </c>
    </row>
    <row r="935">
      <c r="A935" s="1" t="s">
        <v>3517</v>
      </c>
      <c r="B935" s="1" t="s">
        <v>3518</v>
      </c>
      <c r="C935" s="1" t="s">
        <v>2753</v>
      </c>
      <c r="D935" s="2">
        <v>379.0</v>
      </c>
      <c r="E935" s="2">
        <v>1499.0</v>
      </c>
      <c r="F935" s="3">
        <f t="shared" si="6"/>
        <v>0.7471647765</v>
      </c>
      <c r="G935" s="4">
        <f>IFERROR(__xludf.DUMMYFUNCTION("GOOGLEFINANCE(""CURRENCY:INRBRL"")*D935"),22.663258761079998)</f>
        <v>22.66325876</v>
      </c>
      <c r="H935" s="1">
        <v>4.5</v>
      </c>
      <c r="I935" s="1">
        <v>4149.0</v>
      </c>
      <c r="J935" s="1" t="s">
        <v>3519</v>
      </c>
      <c r="K935" s="5" t="s">
        <v>3520</v>
      </c>
    </row>
    <row r="936">
      <c r="A936" s="1" t="s">
        <v>3521</v>
      </c>
      <c r="B936" s="1" t="s">
        <v>3522</v>
      </c>
      <c r="C936" s="1" t="s">
        <v>2375</v>
      </c>
      <c r="D936" s="2">
        <v>499.0</v>
      </c>
      <c r="E936" s="2">
        <v>775.0</v>
      </c>
      <c r="F936" s="3">
        <f t="shared" si="6"/>
        <v>0.3561290323</v>
      </c>
      <c r="G936" s="4">
        <f>IFERROR(__xludf.DUMMYFUNCTION("GOOGLEFINANCE(""CURRENCY:INRBRL"")*D936"),29.838960743479998)</f>
        <v>29.83896074</v>
      </c>
      <c r="H936" s="1">
        <v>4.5</v>
      </c>
      <c r="I936" s="1">
        <v>74.0</v>
      </c>
      <c r="J936" s="1" t="s">
        <v>3523</v>
      </c>
      <c r="K936" s="5" t="s">
        <v>3524</v>
      </c>
    </row>
    <row r="937">
      <c r="A937" s="1" t="s">
        <v>3525</v>
      </c>
      <c r="B937" s="1" t="s">
        <v>3526</v>
      </c>
      <c r="C937" s="1" t="s">
        <v>3527</v>
      </c>
      <c r="D937" s="2">
        <v>10389.0</v>
      </c>
      <c r="E937" s="2">
        <v>31999.0</v>
      </c>
      <c r="F937" s="3">
        <f t="shared" si="6"/>
        <v>0.6753336042</v>
      </c>
      <c r="G937" s="4">
        <f>IFERROR(__xludf.DUMMYFUNCTION("GOOGLEFINANCE(""CURRENCY:INRBRL"")*D937"),621.2363991262799)</f>
        <v>621.2363991</v>
      </c>
      <c r="H937" s="1">
        <v>4.5</v>
      </c>
      <c r="I937" s="1">
        <v>41398.0</v>
      </c>
      <c r="J937" s="1" t="s">
        <v>3528</v>
      </c>
      <c r="K937" s="5" t="s">
        <v>3529</v>
      </c>
    </row>
    <row r="938">
      <c r="A938" s="1" t="s">
        <v>3530</v>
      </c>
      <c r="B938" s="1" t="s">
        <v>3531</v>
      </c>
      <c r="C938" s="1" t="s">
        <v>3187</v>
      </c>
      <c r="D938" s="2">
        <v>649.0</v>
      </c>
      <c r="E938" s="2">
        <v>1299.0</v>
      </c>
      <c r="F938" s="3">
        <f t="shared" si="6"/>
        <v>0.5003849115</v>
      </c>
      <c r="G938" s="4">
        <f>IFERROR(__xludf.DUMMYFUNCTION("GOOGLEFINANCE(""CURRENCY:INRBRL"")*D938"),38.80858822148)</f>
        <v>38.80858822</v>
      </c>
      <c r="H938" s="1">
        <v>4.5</v>
      </c>
      <c r="I938" s="1">
        <v>5195.0</v>
      </c>
      <c r="J938" s="1" t="s">
        <v>3532</v>
      </c>
      <c r="K938" s="5" t="s">
        <v>3533</v>
      </c>
    </row>
    <row r="939">
      <c r="A939" s="1" t="s">
        <v>3534</v>
      </c>
      <c r="B939" s="1" t="s">
        <v>3535</v>
      </c>
      <c r="C939" s="1" t="s">
        <v>3536</v>
      </c>
      <c r="D939" s="2">
        <v>1199.0</v>
      </c>
      <c r="E939" s="2">
        <v>1999.0</v>
      </c>
      <c r="F939" s="3">
        <f t="shared" si="6"/>
        <v>0.4002001001</v>
      </c>
      <c r="G939" s="4">
        <f>IFERROR(__xludf.DUMMYFUNCTION("GOOGLEFINANCE(""CURRENCY:INRBRL"")*D939"),71.69722230747999)</f>
        <v>71.69722231</v>
      </c>
      <c r="H939" s="1">
        <v>4.5</v>
      </c>
      <c r="I939" s="1">
        <v>2242.0</v>
      </c>
      <c r="J939" s="1" t="s">
        <v>3537</v>
      </c>
      <c r="K939" s="5" t="s">
        <v>3538</v>
      </c>
    </row>
    <row r="940">
      <c r="A940" s="1" t="s">
        <v>264</v>
      </c>
      <c r="B940" s="1" t="s">
        <v>265</v>
      </c>
      <c r="C940" s="1" t="s">
        <v>13</v>
      </c>
      <c r="D940" s="2">
        <v>139.0</v>
      </c>
      <c r="E940" s="2">
        <v>999.0</v>
      </c>
      <c r="F940" s="3">
        <f t="shared" si="6"/>
        <v>0.8608608609</v>
      </c>
      <c r="G940" s="4">
        <f>IFERROR(__xludf.DUMMYFUNCTION("GOOGLEFINANCE(""CURRENCY:INRBRL"")*D940"),8.311854796279999)</f>
        <v>8.311854796</v>
      </c>
      <c r="H940" s="1">
        <v>4.5</v>
      </c>
      <c r="I940" s="1">
        <v>1313.0</v>
      </c>
      <c r="J940" s="1" t="s">
        <v>266</v>
      </c>
      <c r="K940" s="5" t="s">
        <v>3539</v>
      </c>
    </row>
    <row r="941">
      <c r="A941" s="1" t="s">
        <v>3540</v>
      </c>
      <c r="B941" s="1" t="s">
        <v>3541</v>
      </c>
      <c r="C941" s="1" t="s">
        <v>1403</v>
      </c>
      <c r="D941" s="2">
        <v>889.0</v>
      </c>
      <c r="E941" s="2">
        <v>1999.0</v>
      </c>
      <c r="F941" s="3">
        <f t="shared" si="6"/>
        <v>0.5552776388</v>
      </c>
      <c r="G941" s="4">
        <f>IFERROR(__xludf.DUMMYFUNCTION("GOOGLEFINANCE(""CURRENCY:INRBRL"")*D941"),53.15999218628)</f>
        <v>53.15999219</v>
      </c>
      <c r="H941" s="1">
        <v>4.5</v>
      </c>
      <c r="I941" s="1">
        <v>2284.0</v>
      </c>
      <c r="J941" s="1" t="s">
        <v>3542</v>
      </c>
      <c r="K941" s="5" t="s">
        <v>3543</v>
      </c>
    </row>
    <row r="942">
      <c r="A942" s="1" t="s">
        <v>3544</v>
      </c>
      <c r="B942" s="1" t="s">
        <v>3545</v>
      </c>
      <c r="C942" s="1" t="s">
        <v>2367</v>
      </c>
      <c r="D942" s="2">
        <v>1409.0</v>
      </c>
      <c r="E942" s="2">
        <v>2199.0</v>
      </c>
      <c r="F942" s="3">
        <f t="shared" si="6"/>
        <v>0.3592542065</v>
      </c>
      <c r="G942" s="4">
        <f>IFERROR(__xludf.DUMMYFUNCTION("GOOGLEFINANCE(""CURRENCY:INRBRL"")*D942"),84.25470077668)</f>
        <v>84.25470078</v>
      </c>
      <c r="H942" s="1">
        <v>4.5</v>
      </c>
      <c r="I942" s="1">
        <v>427.0</v>
      </c>
      <c r="J942" s="1" t="s">
        <v>3546</v>
      </c>
      <c r="K942" s="5" t="s">
        <v>3547</v>
      </c>
    </row>
    <row r="943">
      <c r="A943" s="1" t="s">
        <v>3548</v>
      </c>
      <c r="B943" s="1" t="s">
        <v>3549</v>
      </c>
      <c r="C943" s="1" t="s">
        <v>3550</v>
      </c>
      <c r="D943" s="2">
        <v>549.0</v>
      </c>
      <c r="E943" s="2">
        <v>1999.0</v>
      </c>
      <c r="F943" s="3">
        <f t="shared" si="6"/>
        <v>0.7253626813</v>
      </c>
      <c r="G943" s="4">
        <f>IFERROR(__xludf.DUMMYFUNCTION("GOOGLEFINANCE(""CURRENCY:INRBRL"")*D943"),32.828836569479996)</f>
        <v>32.82883657</v>
      </c>
      <c r="H943" s="1">
        <v>4.5</v>
      </c>
      <c r="I943" s="1">
        <v>1367.0</v>
      </c>
      <c r="J943" s="1" t="s">
        <v>3551</v>
      </c>
      <c r="K943" s="5" t="s">
        <v>3552</v>
      </c>
    </row>
    <row r="944">
      <c r="A944" s="1" t="s">
        <v>3553</v>
      </c>
      <c r="B944" s="1" t="s">
        <v>3554</v>
      </c>
      <c r="C944" s="1" t="s">
        <v>3514</v>
      </c>
      <c r="D944" s="2">
        <v>749.0</v>
      </c>
      <c r="E944" s="2">
        <v>1799.0</v>
      </c>
      <c r="F944" s="3">
        <f t="shared" si="6"/>
        <v>0.5836575875</v>
      </c>
      <c r="G944" s="4">
        <f>IFERROR(__xludf.DUMMYFUNCTION("GOOGLEFINANCE(""CURRENCY:INRBRL"")*D944"),44.78833987348)</f>
        <v>44.78833987</v>
      </c>
      <c r="H944" s="1">
        <v>4.5</v>
      </c>
      <c r="I944" s="1">
        <v>13199.0</v>
      </c>
      <c r="J944" s="1" t="s">
        <v>3555</v>
      </c>
      <c r="K944" s="5" t="s">
        <v>3556</v>
      </c>
    </row>
    <row r="945">
      <c r="A945" s="1" t="s">
        <v>268</v>
      </c>
      <c r="B945" s="1" t="s">
        <v>269</v>
      </c>
      <c r="C945" s="1" t="s">
        <v>13</v>
      </c>
      <c r="D945" s="2">
        <v>329.0</v>
      </c>
      <c r="E945" s="2">
        <v>845.0</v>
      </c>
      <c r="F945" s="3">
        <f t="shared" si="6"/>
        <v>0.6106508876</v>
      </c>
      <c r="G945" s="4">
        <f>IFERROR(__xludf.DUMMYFUNCTION("GOOGLEFINANCE(""CURRENCY:INRBRL"")*D945"),19.67338293508)</f>
        <v>19.67338294</v>
      </c>
      <c r="H945" s="1">
        <v>4.5</v>
      </c>
      <c r="I945" s="1">
        <v>29746.0</v>
      </c>
      <c r="J945" s="1" t="s">
        <v>270</v>
      </c>
      <c r="K945" s="5" t="s">
        <v>3557</v>
      </c>
    </row>
    <row r="946">
      <c r="A946" s="1" t="s">
        <v>3558</v>
      </c>
      <c r="B946" s="1" t="s">
        <v>3559</v>
      </c>
      <c r="C946" s="1" t="s">
        <v>13</v>
      </c>
      <c r="D946" s="2">
        <v>379.0</v>
      </c>
      <c r="E946" s="2">
        <v>1099.0</v>
      </c>
      <c r="F946" s="3">
        <f t="shared" si="6"/>
        <v>0.6551410373</v>
      </c>
      <c r="G946" s="4">
        <f>IFERROR(__xludf.DUMMYFUNCTION("GOOGLEFINANCE(""CURRENCY:INRBRL"")*D946"),22.663258761079998)</f>
        <v>22.66325876</v>
      </c>
      <c r="H946" s="1">
        <v>4.5</v>
      </c>
      <c r="I946" s="1">
        <v>2806.0</v>
      </c>
      <c r="J946" s="1" t="s">
        <v>3560</v>
      </c>
      <c r="K946" s="5" t="s">
        <v>3561</v>
      </c>
    </row>
    <row r="947">
      <c r="A947" s="1" t="s">
        <v>3562</v>
      </c>
      <c r="B947" s="1" t="s">
        <v>3563</v>
      </c>
      <c r="C947" s="1" t="s">
        <v>1348</v>
      </c>
      <c r="D947" s="2">
        <v>5998.0</v>
      </c>
      <c r="E947" s="2">
        <v>7999.0</v>
      </c>
      <c r="F947" s="3">
        <f t="shared" si="6"/>
        <v>0.2501562695</v>
      </c>
      <c r="G947" s="4">
        <f>IFERROR(__xludf.DUMMYFUNCTION("GOOGLEFINANCE(""CURRENCY:INRBRL"")*D947"),358.66550408695997)</f>
        <v>358.6655041</v>
      </c>
      <c r="H947" s="1">
        <v>4.5</v>
      </c>
      <c r="I947" s="1">
        <v>30355.0</v>
      </c>
      <c r="J947" s="1" t="s">
        <v>3564</v>
      </c>
      <c r="K947" s="5" t="s">
        <v>3565</v>
      </c>
    </row>
    <row r="948">
      <c r="A948" s="1" t="s">
        <v>3566</v>
      </c>
      <c r="B948" s="1" t="s">
        <v>3567</v>
      </c>
      <c r="C948" s="1" t="s">
        <v>2841</v>
      </c>
      <c r="D948" s="2">
        <v>299.0</v>
      </c>
      <c r="E948" s="2">
        <v>1499.0</v>
      </c>
      <c r="F948" s="3">
        <f t="shared" si="6"/>
        <v>0.8005336891</v>
      </c>
      <c r="G948" s="4">
        <f>IFERROR(__xludf.DUMMYFUNCTION("GOOGLEFINANCE(""CURRENCY:INRBRL"")*D948"),17.87945743948)</f>
        <v>17.87945744</v>
      </c>
      <c r="H948" s="1">
        <v>4.5</v>
      </c>
      <c r="I948" s="1">
        <v>2868.0</v>
      </c>
      <c r="J948" s="1" t="s">
        <v>3568</v>
      </c>
      <c r="K948" s="5" t="s">
        <v>3569</v>
      </c>
    </row>
    <row r="949">
      <c r="A949" s="1" t="s">
        <v>3570</v>
      </c>
      <c r="B949" s="1" t="s">
        <v>3571</v>
      </c>
      <c r="C949" s="1" t="s">
        <v>2753</v>
      </c>
      <c r="D949" s="2">
        <v>379.0</v>
      </c>
      <c r="E949" s="2">
        <v>1499.0</v>
      </c>
      <c r="F949" s="3">
        <f t="shared" si="6"/>
        <v>0.7471647765</v>
      </c>
      <c r="G949" s="4">
        <f>IFERROR(__xludf.DUMMYFUNCTION("GOOGLEFINANCE(""CURRENCY:INRBRL"")*D949"),22.663258761079998)</f>
        <v>22.66325876</v>
      </c>
      <c r="H949" s="1">
        <v>4.5</v>
      </c>
      <c r="I949" s="1">
        <v>670.0</v>
      </c>
      <c r="J949" s="1" t="s">
        <v>3572</v>
      </c>
      <c r="K949" s="5" t="s">
        <v>3573</v>
      </c>
    </row>
    <row r="950">
      <c r="A950" s="1" t="s">
        <v>3574</v>
      </c>
      <c r="B950" s="1" t="s">
        <v>3575</v>
      </c>
      <c r="C950" s="1" t="s">
        <v>3576</v>
      </c>
      <c r="D950" s="2">
        <v>1399.0</v>
      </c>
      <c r="E950" s="2">
        <v>2999.0</v>
      </c>
      <c r="F950" s="3">
        <f t="shared" si="6"/>
        <v>0.5335111704</v>
      </c>
      <c r="G950" s="4">
        <f>IFERROR(__xludf.DUMMYFUNCTION("GOOGLEFINANCE(""CURRENCY:INRBRL"")*D950"),83.65672561148)</f>
        <v>83.65672561</v>
      </c>
      <c r="H950" s="1">
        <v>4.5</v>
      </c>
      <c r="I950" s="1">
        <v>353.0</v>
      </c>
      <c r="J950" s="1" t="s">
        <v>3577</v>
      </c>
      <c r="K950" s="5" t="s">
        <v>3578</v>
      </c>
    </row>
    <row r="951">
      <c r="A951" s="1" t="s">
        <v>3579</v>
      </c>
      <c r="B951" s="1" t="s">
        <v>3580</v>
      </c>
      <c r="C951" s="1" t="s">
        <v>3581</v>
      </c>
      <c r="D951" s="2">
        <v>699.0</v>
      </c>
      <c r="E951" s="2">
        <v>1299.0</v>
      </c>
      <c r="F951" s="3">
        <f t="shared" si="6"/>
        <v>0.4618937644</v>
      </c>
      <c r="G951" s="4">
        <f>IFERROR(__xludf.DUMMYFUNCTION("GOOGLEFINANCE(""CURRENCY:INRBRL"")*D951"),41.798464047479996)</f>
        <v>41.79846405</v>
      </c>
      <c r="H951" s="1">
        <v>4.5</v>
      </c>
      <c r="I951" s="1">
        <v>6183.0</v>
      </c>
      <c r="J951" s="1" t="s">
        <v>3582</v>
      </c>
      <c r="K951" s="5" t="s">
        <v>3583</v>
      </c>
    </row>
    <row r="952">
      <c r="A952" s="1" t="s">
        <v>3584</v>
      </c>
      <c r="B952" s="1" t="s">
        <v>3585</v>
      </c>
      <c r="C952" s="1" t="s">
        <v>2872</v>
      </c>
      <c r="D952" s="2">
        <v>300.0</v>
      </c>
      <c r="E952" s="2">
        <v>300.0</v>
      </c>
      <c r="F952" s="3">
        <f t="shared" si="6"/>
        <v>0</v>
      </c>
      <c r="G952" s="4">
        <f>IFERROR(__xludf.DUMMYFUNCTION("GOOGLEFINANCE(""CURRENCY:INRBRL"")*D952"),17.939254956)</f>
        <v>17.93925496</v>
      </c>
      <c r="H952" s="1">
        <v>4.5</v>
      </c>
      <c r="I952" s="1">
        <v>419.0</v>
      </c>
      <c r="J952" s="1" t="s">
        <v>3586</v>
      </c>
      <c r="K952" s="5" t="s">
        <v>3587</v>
      </c>
    </row>
    <row r="953">
      <c r="A953" s="1" t="s">
        <v>3588</v>
      </c>
      <c r="B953" s="1" t="s">
        <v>3589</v>
      </c>
      <c r="C953" s="1" t="s">
        <v>2476</v>
      </c>
      <c r="D953" s="2">
        <v>999.0</v>
      </c>
      <c r="E953" s="2">
        <v>1995.0</v>
      </c>
      <c r="F953" s="3">
        <f t="shared" si="6"/>
        <v>0.4992481203</v>
      </c>
      <c r="G953" s="4">
        <f>IFERROR(__xludf.DUMMYFUNCTION("GOOGLEFINANCE(""CURRENCY:INRBRL"")*D953"),59.737719003479995)</f>
        <v>59.737719</v>
      </c>
      <c r="H953" s="1">
        <v>4.5</v>
      </c>
      <c r="I953" s="1">
        <v>7317.0</v>
      </c>
      <c r="J953" s="1" t="s">
        <v>3590</v>
      </c>
      <c r="K953" s="5" t="s">
        <v>3591</v>
      </c>
    </row>
    <row r="954">
      <c r="A954" s="1" t="s">
        <v>3592</v>
      </c>
      <c r="B954" s="1" t="s">
        <v>3593</v>
      </c>
      <c r="C954" s="1" t="s">
        <v>3594</v>
      </c>
      <c r="D954" s="2">
        <v>535.0</v>
      </c>
      <c r="E954" s="2">
        <v>535.0</v>
      </c>
      <c r="F954" s="3">
        <f t="shared" si="6"/>
        <v>0</v>
      </c>
      <c r="G954" s="4">
        <f>IFERROR(__xludf.DUMMYFUNCTION("GOOGLEFINANCE(""CURRENCY:INRBRL"")*D954"),31.9916713382)</f>
        <v>31.99167134</v>
      </c>
      <c r="H954" s="1">
        <v>4.5</v>
      </c>
      <c r="I954" s="1">
        <v>4426.0</v>
      </c>
      <c r="J954" s="1" t="s">
        <v>3595</v>
      </c>
      <c r="K954" s="5" t="s">
        <v>3596</v>
      </c>
    </row>
    <row r="955">
      <c r="A955" s="1" t="s">
        <v>272</v>
      </c>
      <c r="B955" s="1" t="s">
        <v>273</v>
      </c>
      <c r="C955" s="1" t="s">
        <v>79</v>
      </c>
      <c r="D955" s="2">
        <v>13999.0</v>
      </c>
      <c r="E955" s="2">
        <v>24999.0</v>
      </c>
      <c r="F955" s="3">
        <f t="shared" si="6"/>
        <v>0.4400176007</v>
      </c>
      <c r="G955" s="4">
        <f>IFERROR(__xludf.DUMMYFUNCTION("GOOGLEFINANCE(""CURRENCY:INRBRL"")*D955"),837.1054337634799)</f>
        <v>837.1054338</v>
      </c>
      <c r="H955" s="1">
        <v>4.5</v>
      </c>
      <c r="I955" s="1">
        <v>45237.0</v>
      </c>
      <c r="J955" s="1" t="s">
        <v>274</v>
      </c>
      <c r="K955" s="5" t="s">
        <v>3597</v>
      </c>
    </row>
    <row r="956">
      <c r="A956" s="1" t="s">
        <v>3598</v>
      </c>
      <c r="B956" s="1" t="s">
        <v>3599</v>
      </c>
      <c r="C956" s="1" t="s">
        <v>2841</v>
      </c>
      <c r="D956" s="2">
        <v>269.0</v>
      </c>
      <c r="E956" s="2">
        <v>1099.0</v>
      </c>
      <c r="F956" s="3">
        <f t="shared" si="6"/>
        <v>0.7552320291</v>
      </c>
      <c r="G956" s="4">
        <f>IFERROR(__xludf.DUMMYFUNCTION("GOOGLEFINANCE(""CURRENCY:INRBRL"")*D956"),16.08553194388)</f>
        <v>16.08553194</v>
      </c>
      <c r="H956" s="1">
        <v>4.5</v>
      </c>
      <c r="I956" s="1">
        <v>1092.0</v>
      </c>
      <c r="J956" s="1" t="s">
        <v>3600</v>
      </c>
      <c r="K956" s="5" t="s">
        <v>3601</v>
      </c>
    </row>
    <row r="957">
      <c r="A957" s="1" t="s">
        <v>3602</v>
      </c>
      <c r="B957" s="1" t="s">
        <v>3603</v>
      </c>
      <c r="C957" s="1" t="s">
        <v>3214</v>
      </c>
      <c r="D957" s="2">
        <v>341.0</v>
      </c>
      <c r="E957" s="2">
        <v>450.0</v>
      </c>
      <c r="F957" s="3">
        <f t="shared" si="6"/>
        <v>0.2422222222</v>
      </c>
      <c r="G957" s="4">
        <f>IFERROR(__xludf.DUMMYFUNCTION("GOOGLEFINANCE(""CURRENCY:INRBRL"")*D957"),20.39095313332)</f>
        <v>20.39095313</v>
      </c>
      <c r="H957" s="1">
        <v>4.5</v>
      </c>
      <c r="I957" s="1">
        <v>2493.0</v>
      </c>
      <c r="J957" s="1" t="s">
        <v>3604</v>
      </c>
      <c r="K957" s="5" t="s">
        <v>3605</v>
      </c>
    </row>
    <row r="958">
      <c r="A958" s="1" t="s">
        <v>3606</v>
      </c>
      <c r="B958" s="1" t="s">
        <v>3607</v>
      </c>
      <c r="C958" s="1" t="s">
        <v>2514</v>
      </c>
      <c r="D958" s="2">
        <v>2499.0</v>
      </c>
      <c r="E958" s="2">
        <v>3999.0</v>
      </c>
      <c r="F958" s="3">
        <f t="shared" si="6"/>
        <v>0.3750937734</v>
      </c>
      <c r="G958" s="4">
        <f>IFERROR(__xludf.DUMMYFUNCTION("GOOGLEFINANCE(""CURRENCY:INRBRL"")*D958"),149.43399378348)</f>
        <v>149.4339938</v>
      </c>
      <c r="H958" s="1">
        <v>4.5</v>
      </c>
      <c r="I958" s="1">
        <v>12679.0</v>
      </c>
      <c r="J958" s="1" t="s">
        <v>3608</v>
      </c>
      <c r="K958" s="5" t="s">
        <v>3609</v>
      </c>
    </row>
    <row r="959">
      <c r="A959" s="1" t="s">
        <v>301</v>
      </c>
      <c r="B959" s="1" t="s">
        <v>302</v>
      </c>
      <c r="C959" s="1" t="s">
        <v>13</v>
      </c>
      <c r="D959" s="2">
        <v>349.0</v>
      </c>
      <c r="E959" s="2">
        <v>599.0</v>
      </c>
      <c r="F959" s="3">
        <f t="shared" si="6"/>
        <v>0.4173622705</v>
      </c>
      <c r="G959" s="4">
        <f>IFERROR(__xludf.DUMMYFUNCTION("GOOGLEFINANCE(""CURRENCY:INRBRL"")*D959"),20.869333265479998)</f>
        <v>20.86933327</v>
      </c>
      <c r="H959" s="1">
        <v>4.5</v>
      </c>
      <c r="I959" s="1">
        <v>210.0</v>
      </c>
      <c r="J959" s="1" t="s">
        <v>303</v>
      </c>
      <c r="K959" s="5" t="s">
        <v>3610</v>
      </c>
    </row>
    <row r="960">
      <c r="A960" s="1" t="s">
        <v>3611</v>
      </c>
      <c r="B960" s="1" t="s">
        <v>3612</v>
      </c>
      <c r="C960" s="1" t="s">
        <v>3296</v>
      </c>
      <c r="D960" s="2">
        <v>5899.0</v>
      </c>
      <c r="E960" s="2">
        <v>7005.0</v>
      </c>
      <c r="F960" s="3">
        <f t="shared" si="6"/>
        <v>0.1578872234</v>
      </c>
      <c r="G960" s="4">
        <f>IFERROR(__xludf.DUMMYFUNCTION("GOOGLEFINANCE(""CURRENCY:INRBRL"")*D960"),352.74554995148)</f>
        <v>352.74555</v>
      </c>
      <c r="H960" s="1">
        <v>4.5</v>
      </c>
      <c r="I960" s="1">
        <v>4199.0</v>
      </c>
      <c r="J960" s="1" t="s">
        <v>3613</v>
      </c>
      <c r="K960" s="5" t="s">
        <v>3614</v>
      </c>
    </row>
    <row r="961">
      <c r="A961" s="1" t="s">
        <v>2145</v>
      </c>
      <c r="B961" s="1" t="s">
        <v>2146</v>
      </c>
      <c r="C961" s="1" t="s">
        <v>1448</v>
      </c>
      <c r="D961" s="2">
        <v>699.0</v>
      </c>
      <c r="E961" s="2">
        <v>1199.0</v>
      </c>
      <c r="F961" s="3">
        <f t="shared" si="6"/>
        <v>0.4170141785</v>
      </c>
      <c r="G961" s="4">
        <f>IFERROR(__xludf.DUMMYFUNCTION("GOOGLEFINANCE(""CURRENCY:INRBRL"")*D961"),41.798464047479996)</f>
        <v>41.79846405</v>
      </c>
      <c r="H961" s="1">
        <v>4.5</v>
      </c>
      <c r="I961" s="1">
        <v>14403.0</v>
      </c>
      <c r="J961" s="1" t="s">
        <v>2147</v>
      </c>
      <c r="K961" s="5" t="s">
        <v>3615</v>
      </c>
    </row>
    <row r="962">
      <c r="A962" s="1" t="s">
        <v>3616</v>
      </c>
      <c r="B962" s="1" t="s">
        <v>3617</v>
      </c>
      <c r="C962" s="1" t="s">
        <v>2514</v>
      </c>
      <c r="D962" s="2">
        <v>1565.0</v>
      </c>
      <c r="E962" s="2">
        <v>2999.0</v>
      </c>
      <c r="F962" s="3">
        <f t="shared" si="6"/>
        <v>0.4781593865</v>
      </c>
      <c r="G962" s="4">
        <f>IFERROR(__xludf.DUMMYFUNCTION("GOOGLEFINANCE(""CURRENCY:INRBRL"")*D962"),93.58311335379999)</f>
        <v>93.58311335</v>
      </c>
      <c r="H962" s="1">
        <v>4.5</v>
      </c>
      <c r="I962" s="1">
        <v>11113.0</v>
      </c>
      <c r="J962" s="1" t="s">
        <v>3618</v>
      </c>
      <c r="K962" s="5" t="s">
        <v>3619</v>
      </c>
    </row>
    <row r="963">
      <c r="A963" s="1" t="s">
        <v>3620</v>
      </c>
      <c r="B963" s="1" t="s">
        <v>3621</v>
      </c>
      <c r="C963" s="1" t="s">
        <v>2394</v>
      </c>
      <c r="D963" s="2">
        <v>326.0</v>
      </c>
      <c r="E963" s="2">
        <v>799.0</v>
      </c>
      <c r="F963" s="3">
        <f t="shared" si="6"/>
        <v>0.5919899875</v>
      </c>
      <c r="G963" s="4">
        <f>IFERROR(__xludf.DUMMYFUNCTION("GOOGLEFINANCE(""CURRENCY:INRBRL"")*D963"),19.49399038552)</f>
        <v>19.49399039</v>
      </c>
      <c r="H963" s="1">
        <v>4.5</v>
      </c>
      <c r="I963" s="1">
        <v>10773.0</v>
      </c>
      <c r="J963" s="1" t="s">
        <v>3622</v>
      </c>
      <c r="K963" s="5" t="s">
        <v>3623</v>
      </c>
    </row>
    <row r="964">
      <c r="A964" s="1" t="s">
        <v>2130</v>
      </c>
      <c r="B964" s="1" t="s">
        <v>2131</v>
      </c>
      <c r="C964" s="1" t="s">
        <v>2132</v>
      </c>
      <c r="D964" s="2">
        <v>120.0</v>
      </c>
      <c r="E964" s="2">
        <v>999.0</v>
      </c>
      <c r="F964" s="3">
        <f t="shared" si="6"/>
        <v>0.8798798799</v>
      </c>
      <c r="G964" s="4">
        <f>IFERROR(__xludf.DUMMYFUNCTION("GOOGLEFINANCE(""CURRENCY:INRBRL"")*D964"),7.1757019824)</f>
        <v>7.175701982</v>
      </c>
      <c r="H964" s="1">
        <v>4.5</v>
      </c>
      <c r="I964" s="1">
        <v>6491.0</v>
      </c>
      <c r="J964" s="1" t="s">
        <v>2133</v>
      </c>
      <c r="K964" s="5" t="s">
        <v>3624</v>
      </c>
    </row>
    <row r="965">
      <c r="A965" s="1" t="s">
        <v>3625</v>
      </c>
      <c r="B965" s="1" t="s">
        <v>3626</v>
      </c>
      <c r="C965" s="1" t="s">
        <v>2375</v>
      </c>
      <c r="D965" s="2">
        <v>657.0</v>
      </c>
      <c r="E965" s="2">
        <v>999.0</v>
      </c>
      <c r="F965" s="3">
        <f t="shared" si="6"/>
        <v>0.3423423423</v>
      </c>
      <c r="G965" s="4">
        <f>IFERROR(__xludf.DUMMYFUNCTION("GOOGLEFINANCE(""CURRENCY:INRBRL"")*D965"),39.28696835364)</f>
        <v>39.28696835</v>
      </c>
      <c r="H965" s="1">
        <v>4.5</v>
      </c>
      <c r="I965" s="1">
        <v>13944.0</v>
      </c>
      <c r="J965" s="1" t="s">
        <v>3627</v>
      </c>
      <c r="K965" s="5" t="s">
        <v>3628</v>
      </c>
    </row>
    <row r="966">
      <c r="A966" s="1" t="s">
        <v>3629</v>
      </c>
      <c r="B966" s="1" t="s">
        <v>3630</v>
      </c>
      <c r="C966" s="1" t="s">
        <v>2466</v>
      </c>
      <c r="D966" s="2">
        <v>1995.0</v>
      </c>
      <c r="E966" s="2">
        <v>2895.0</v>
      </c>
      <c r="F966" s="3">
        <f t="shared" si="6"/>
        <v>0.310880829</v>
      </c>
      <c r="G966" s="4">
        <f>IFERROR(__xludf.DUMMYFUNCTION("GOOGLEFINANCE(""CURRENCY:INRBRL"")*D966"),119.2960454574)</f>
        <v>119.2960455</v>
      </c>
      <c r="H966" s="1">
        <v>4.5</v>
      </c>
      <c r="I966" s="1">
        <v>1076.0</v>
      </c>
      <c r="J966" s="1" t="s">
        <v>3631</v>
      </c>
      <c r="K966" s="5" t="s">
        <v>3632</v>
      </c>
    </row>
    <row r="967">
      <c r="A967" s="1" t="s">
        <v>3633</v>
      </c>
      <c r="B967" s="1" t="s">
        <v>3634</v>
      </c>
      <c r="C967" s="1" t="s">
        <v>2552</v>
      </c>
      <c r="D967" s="2">
        <v>1499.0</v>
      </c>
      <c r="E967" s="2">
        <v>1499.0</v>
      </c>
      <c r="F967" s="3">
        <f>((D967-E967)/E967)*-1</f>
        <v>0</v>
      </c>
      <c r="G967" s="4">
        <f>IFERROR(__xludf.DUMMYFUNCTION("GOOGLEFINANCE(""CURRENCY:INRBRL"")*D967"),89.63647726347999)</f>
        <v>89.63647726</v>
      </c>
      <c r="H967" s="1">
        <v>4.5</v>
      </c>
      <c r="I967" s="1">
        <v>25996.0</v>
      </c>
      <c r="J967" s="1" t="s">
        <v>3635</v>
      </c>
      <c r="K967" s="5" t="s">
        <v>3636</v>
      </c>
    </row>
    <row r="968">
      <c r="A968" s="1" t="s">
        <v>3637</v>
      </c>
      <c r="B968" s="1" t="s">
        <v>3638</v>
      </c>
      <c r="C968" s="1" t="s">
        <v>2327</v>
      </c>
      <c r="D968" s="2">
        <v>2649.0</v>
      </c>
      <c r="E968" s="2">
        <v>3195.0</v>
      </c>
      <c r="F968" s="3">
        <f t="shared" ref="F968:F1124" si="7">((D968-E968)/-E968)</f>
        <v>0.1708920188</v>
      </c>
      <c r="G968" s="4">
        <f>IFERROR(__xludf.DUMMYFUNCTION("GOOGLEFINANCE(""CURRENCY:INRBRL"")*D968"),158.40362126148)</f>
        <v>158.4036213</v>
      </c>
      <c r="H968" s="1">
        <v>4.5</v>
      </c>
      <c r="I968" s="1">
        <v>16146.0</v>
      </c>
      <c r="J968" s="1" t="s">
        <v>3639</v>
      </c>
      <c r="K968" s="5" t="s">
        <v>3640</v>
      </c>
    </row>
    <row r="969">
      <c r="A969" s="1" t="s">
        <v>3641</v>
      </c>
      <c r="B969" s="1" t="s">
        <v>3642</v>
      </c>
      <c r="C969" s="1" t="s">
        <v>3296</v>
      </c>
      <c r="D969" s="2">
        <v>5299.0</v>
      </c>
      <c r="E969" s="2">
        <v>6355.0</v>
      </c>
      <c r="F969" s="3">
        <f t="shared" si="7"/>
        <v>0.1661683714</v>
      </c>
      <c r="G969" s="4">
        <f>IFERROR(__xludf.DUMMYFUNCTION("GOOGLEFINANCE(""CURRENCY:INRBRL"")*D969"),316.86704003948)</f>
        <v>316.86704</v>
      </c>
      <c r="H969" s="1">
        <v>4.5</v>
      </c>
      <c r="I969" s="1">
        <v>828.0</v>
      </c>
      <c r="J969" s="1" t="s">
        <v>3643</v>
      </c>
      <c r="K969" s="5" t="s">
        <v>3644</v>
      </c>
    </row>
    <row r="970">
      <c r="A970" s="1" t="s">
        <v>280</v>
      </c>
      <c r="B970" s="1" t="s">
        <v>281</v>
      </c>
      <c r="C970" s="1" t="s">
        <v>13</v>
      </c>
      <c r="D970" s="2">
        <v>263.0</v>
      </c>
      <c r="E970" s="2">
        <v>699.0</v>
      </c>
      <c r="F970" s="3">
        <f t="shared" si="7"/>
        <v>0.6237482117</v>
      </c>
      <c r="G970" s="4">
        <f>IFERROR(__xludf.DUMMYFUNCTION("GOOGLEFINANCE(""CURRENCY:INRBRL"")*D970"),15.72674684476)</f>
        <v>15.72674684</v>
      </c>
      <c r="H970" s="1">
        <v>4.5</v>
      </c>
      <c r="I970" s="1">
        <v>450.0</v>
      </c>
      <c r="J970" s="1" t="s">
        <v>282</v>
      </c>
      <c r="K970" s="5" t="s">
        <v>3645</v>
      </c>
    </row>
    <row r="971">
      <c r="A971" s="1" t="s">
        <v>3646</v>
      </c>
      <c r="B971" s="1" t="s">
        <v>3647</v>
      </c>
      <c r="C971" s="1" t="s">
        <v>3514</v>
      </c>
      <c r="D971" s="2">
        <v>1999.0</v>
      </c>
      <c r="E971" s="2">
        <v>2999.0</v>
      </c>
      <c r="F971" s="3">
        <f t="shared" si="7"/>
        <v>0.3334444815</v>
      </c>
      <c r="G971" s="4">
        <f>IFERROR(__xludf.DUMMYFUNCTION("GOOGLEFINANCE(""CURRENCY:INRBRL"")*D971"),119.53523552348)</f>
        <v>119.5352355</v>
      </c>
      <c r="H971" s="1">
        <v>4.5</v>
      </c>
      <c r="I971" s="1">
        <v>14237.0</v>
      </c>
      <c r="J971" s="1" t="s">
        <v>3648</v>
      </c>
      <c r="K971" s="5" t="s">
        <v>3649</v>
      </c>
    </row>
    <row r="972">
      <c r="A972" s="1" t="s">
        <v>3650</v>
      </c>
      <c r="B972" s="1" t="s">
        <v>3651</v>
      </c>
      <c r="C972" s="1" t="s">
        <v>3652</v>
      </c>
      <c r="D972" s="2">
        <v>1289.0</v>
      </c>
      <c r="E972" s="2">
        <v>1499.0</v>
      </c>
      <c r="F972" s="3">
        <f t="shared" si="7"/>
        <v>0.1400933956</v>
      </c>
      <c r="G972" s="4">
        <f>IFERROR(__xludf.DUMMYFUNCTION("GOOGLEFINANCE(""CURRENCY:INRBRL"")*D972"),77.07899879428)</f>
        <v>77.07899879</v>
      </c>
      <c r="H972" s="1">
        <v>4.5</v>
      </c>
      <c r="I972" s="1">
        <v>20668.0</v>
      </c>
      <c r="J972" s="1" t="s">
        <v>3653</v>
      </c>
      <c r="K972" s="5" t="s">
        <v>3654</v>
      </c>
    </row>
    <row r="973">
      <c r="A973" s="1" t="s">
        <v>3655</v>
      </c>
      <c r="B973" s="1" t="s">
        <v>3656</v>
      </c>
      <c r="C973" s="1" t="s">
        <v>2872</v>
      </c>
      <c r="D973" s="2">
        <v>165.0</v>
      </c>
      <c r="E973" s="2">
        <v>165.0</v>
      </c>
      <c r="F973" s="3">
        <f t="shared" si="7"/>
        <v>0</v>
      </c>
      <c r="G973" s="4">
        <f>IFERROR(__xludf.DUMMYFUNCTION("GOOGLEFINANCE(""CURRENCY:INRBRL"")*D973"),9.8665902258)</f>
        <v>9.866590226</v>
      </c>
      <c r="H973" s="1">
        <v>4.5</v>
      </c>
      <c r="I973" s="1">
        <v>1674.0</v>
      </c>
      <c r="J973" s="1" t="s">
        <v>3657</v>
      </c>
      <c r="K973" s="5" t="s">
        <v>3658</v>
      </c>
    </row>
    <row r="974">
      <c r="A974" s="1" t="s">
        <v>3659</v>
      </c>
      <c r="B974" s="1" t="s">
        <v>3660</v>
      </c>
      <c r="C974" s="1" t="s">
        <v>3138</v>
      </c>
      <c r="D974" s="2">
        <v>1699.0</v>
      </c>
      <c r="E974" s="2">
        <v>3499.0</v>
      </c>
      <c r="F974" s="3">
        <f t="shared" si="7"/>
        <v>0.5144326951</v>
      </c>
      <c r="G974" s="4">
        <f>IFERROR(__xludf.DUMMYFUNCTION("GOOGLEFINANCE(""CURRENCY:INRBRL"")*D974"),101.59598056748)</f>
        <v>101.5959806</v>
      </c>
      <c r="H974" s="1">
        <v>4.5</v>
      </c>
      <c r="I974" s="1">
        <v>7689.0</v>
      </c>
      <c r="J974" s="1" t="s">
        <v>3661</v>
      </c>
      <c r="K974" s="5" t="s">
        <v>3662</v>
      </c>
    </row>
    <row r="975">
      <c r="A975" s="1" t="s">
        <v>3663</v>
      </c>
      <c r="B975" s="1" t="s">
        <v>3664</v>
      </c>
      <c r="C975" s="1" t="s">
        <v>2712</v>
      </c>
      <c r="D975" s="2">
        <v>2299.0</v>
      </c>
      <c r="E975" s="2">
        <v>7499.0</v>
      </c>
      <c r="F975" s="3">
        <f t="shared" si="7"/>
        <v>0.6934257901</v>
      </c>
      <c r="G975" s="4">
        <f>IFERROR(__xludf.DUMMYFUNCTION("GOOGLEFINANCE(""CURRENCY:INRBRL"")*D975"),137.47449047947998)</f>
        <v>137.4744905</v>
      </c>
      <c r="H975" s="1">
        <v>4.5</v>
      </c>
      <c r="I975" s="1">
        <v>5554.0</v>
      </c>
      <c r="J975" s="1" t="s">
        <v>3665</v>
      </c>
      <c r="K975" s="5" t="s">
        <v>3666</v>
      </c>
    </row>
    <row r="976">
      <c r="A976" s="1" t="s">
        <v>293</v>
      </c>
      <c r="B976" s="1" t="s">
        <v>294</v>
      </c>
      <c r="C976" s="1" t="s">
        <v>13</v>
      </c>
      <c r="D976" s="2">
        <v>219.0</v>
      </c>
      <c r="E976" s="2">
        <v>700.0</v>
      </c>
      <c r="F976" s="3">
        <f t="shared" si="7"/>
        <v>0.6871428571</v>
      </c>
      <c r="G976" s="4">
        <f>IFERROR(__xludf.DUMMYFUNCTION("GOOGLEFINANCE(""CURRENCY:INRBRL"")*D976"),13.095656117879999)</f>
        <v>13.09565612</v>
      </c>
      <c r="H976" s="1">
        <v>4.5</v>
      </c>
      <c r="I976" s="1">
        <v>20053.0</v>
      </c>
      <c r="J976" s="1" t="s">
        <v>295</v>
      </c>
      <c r="K976" s="5" t="s">
        <v>3667</v>
      </c>
    </row>
    <row r="977">
      <c r="A977" s="1" t="s">
        <v>3668</v>
      </c>
      <c r="B977" s="1" t="s">
        <v>3669</v>
      </c>
      <c r="C977" s="1" t="s">
        <v>2680</v>
      </c>
      <c r="D977" s="2">
        <v>39.0</v>
      </c>
      <c r="E977" s="2">
        <v>39.0</v>
      </c>
      <c r="F977" s="3">
        <f t="shared" si="7"/>
        <v>0</v>
      </c>
      <c r="G977" s="4">
        <f>IFERROR(__xludf.DUMMYFUNCTION("GOOGLEFINANCE(""CURRENCY:INRBRL"")*D977"),2.33210314428)</f>
        <v>2.332103144</v>
      </c>
      <c r="H977" s="1">
        <v>4.5</v>
      </c>
      <c r="I977" s="1">
        <v>3344.0</v>
      </c>
      <c r="J977" s="1" t="s">
        <v>3670</v>
      </c>
      <c r="K977" s="5" t="s">
        <v>3671</v>
      </c>
    </row>
    <row r="978">
      <c r="A978" s="1" t="s">
        <v>3672</v>
      </c>
      <c r="B978" s="1" t="s">
        <v>3673</v>
      </c>
      <c r="C978" s="1" t="s">
        <v>3674</v>
      </c>
      <c r="D978" s="2">
        <v>27.0</v>
      </c>
      <c r="E978" s="2">
        <v>38.0</v>
      </c>
      <c r="F978" s="3">
        <f t="shared" si="7"/>
        <v>0.2894736842</v>
      </c>
      <c r="G978" s="4">
        <f>IFERROR(__xludf.DUMMYFUNCTION("GOOGLEFINANCE(""CURRENCY:INRBRL"")*D978"),1.61453294604)</f>
        <v>1.614532946</v>
      </c>
      <c r="H978" s="1">
        <v>4.5</v>
      </c>
      <c r="I978" s="1">
        <v>2886.0</v>
      </c>
      <c r="J978" s="1" t="s">
        <v>3675</v>
      </c>
      <c r="K978" s="5" t="s">
        <v>3676</v>
      </c>
    </row>
    <row r="979">
      <c r="A979" s="1" t="s">
        <v>3677</v>
      </c>
      <c r="B979" s="1" t="s">
        <v>3678</v>
      </c>
      <c r="C979" s="1" t="s">
        <v>1403</v>
      </c>
      <c r="D979" s="2">
        <v>1499.0</v>
      </c>
      <c r="E979" s="2">
        <v>1999.0</v>
      </c>
      <c r="F979" s="3">
        <f t="shared" si="7"/>
        <v>0.2501250625</v>
      </c>
      <c r="G979" s="4">
        <f>IFERROR(__xludf.DUMMYFUNCTION("GOOGLEFINANCE(""CURRENCY:INRBRL"")*D979"),89.63647726347999)</f>
        <v>89.63647726</v>
      </c>
      <c r="H979" s="1">
        <v>4.5</v>
      </c>
      <c r="I979" s="1">
        <v>9825.0</v>
      </c>
      <c r="J979" s="1" t="s">
        <v>3679</v>
      </c>
      <c r="K979" s="5" t="s">
        <v>3680</v>
      </c>
    </row>
    <row r="980">
      <c r="A980" s="1" t="s">
        <v>3681</v>
      </c>
      <c r="B980" s="1" t="s">
        <v>3682</v>
      </c>
      <c r="C980" s="1" t="s">
        <v>2275</v>
      </c>
      <c r="D980" s="2">
        <v>398.0</v>
      </c>
      <c r="E980" s="2">
        <v>1949.0</v>
      </c>
      <c r="F980" s="3">
        <f t="shared" si="7"/>
        <v>0.7957927142</v>
      </c>
      <c r="G980" s="4">
        <f>IFERROR(__xludf.DUMMYFUNCTION("GOOGLEFINANCE(""CURRENCY:INRBRL"")*D980"),23.799411574959997)</f>
        <v>23.79941157</v>
      </c>
      <c r="H980" s="1">
        <v>4.5</v>
      </c>
      <c r="I980" s="1">
        <v>75.0</v>
      </c>
      <c r="J980" s="1" t="s">
        <v>3683</v>
      </c>
      <c r="K980" s="5" t="s">
        <v>3684</v>
      </c>
    </row>
    <row r="981">
      <c r="A981" s="1" t="s">
        <v>297</v>
      </c>
      <c r="B981" s="1" t="s">
        <v>298</v>
      </c>
      <c r="C981" s="1" t="s">
        <v>13</v>
      </c>
      <c r="D981" s="2">
        <v>349.0</v>
      </c>
      <c r="E981" s="2">
        <v>899.0</v>
      </c>
      <c r="F981" s="3">
        <f t="shared" si="7"/>
        <v>0.6117908788</v>
      </c>
      <c r="G981" s="4">
        <f>IFERROR(__xludf.DUMMYFUNCTION("GOOGLEFINANCE(""CURRENCY:INRBRL"")*D981"),20.869333265479998)</f>
        <v>20.86933327</v>
      </c>
      <c r="H981" s="1">
        <v>4.5</v>
      </c>
      <c r="I981" s="1">
        <v>149.0</v>
      </c>
      <c r="J981" s="1" t="s">
        <v>299</v>
      </c>
      <c r="K981" s="5" t="s">
        <v>3685</v>
      </c>
    </row>
    <row r="982">
      <c r="A982" s="1" t="s">
        <v>3686</v>
      </c>
      <c r="B982" s="1" t="s">
        <v>3687</v>
      </c>
      <c r="C982" s="1" t="s">
        <v>3138</v>
      </c>
      <c r="D982" s="2">
        <v>770.0</v>
      </c>
      <c r="E982" s="2">
        <v>1547.0</v>
      </c>
      <c r="F982" s="3">
        <f t="shared" si="7"/>
        <v>0.5022624434</v>
      </c>
      <c r="G982" s="4">
        <f>IFERROR(__xludf.DUMMYFUNCTION("GOOGLEFINANCE(""CURRENCY:INRBRL"")*D982"),46.0440877204)</f>
        <v>46.04408772</v>
      </c>
      <c r="H982" s="1">
        <v>4.5</v>
      </c>
      <c r="I982" s="1">
        <v>2585.0</v>
      </c>
      <c r="J982" s="1" t="s">
        <v>3688</v>
      </c>
      <c r="K982" s="5" t="s">
        <v>3689</v>
      </c>
    </row>
    <row r="983">
      <c r="A983" s="1" t="s">
        <v>3690</v>
      </c>
      <c r="B983" s="1" t="s">
        <v>3691</v>
      </c>
      <c r="C983" s="1" t="s">
        <v>1609</v>
      </c>
      <c r="D983" s="2">
        <v>279.0</v>
      </c>
      <c r="E983" s="2">
        <v>1299.0</v>
      </c>
      <c r="F983" s="3">
        <f t="shared" si="7"/>
        <v>0.7852193995</v>
      </c>
      <c r="G983" s="4">
        <f>IFERROR(__xludf.DUMMYFUNCTION("GOOGLEFINANCE(""CURRENCY:INRBRL"")*D983"),16.68350710908)</f>
        <v>16.68350711</v>
      </c>
      <c r="H983" s="1">
        <v>4.5</v>
      </c>
      <c r="I983" s="1">
        <v>5072.0</v>
      </c>
      <c r="J983" s="1" t="s">
        <v>3692</v>
      </c>
      <c r="K983" s="5" t="s">
        <v>3693</v>
      </c>
    </row>
    <row r="984">
      <c r="A984" s="1" t="s">
        <v>3694</v>
      </c>
      <c r="B984" s="1" t="s">
        <v>3695</v>
      </c>
      <c r="C984" s="1" t="s">
        <v>3696</v>
      </c>
      <c r="D984" s="2">
        <v>249.0</v>
      </c>
      <c r="E984" s="2">
        <v>599.0</v>
      </c>
      <c r="F984" s="3">
        <f t="shared" si="7"/>
        <v>0.5843071786</v>
      </c>
      <c r="G984" s="4">
        <f>IFERROR(__xludf.DUMMYFUNCTION("GOOGLEFINANCE(""CURRENCY:INRBRL"")*D984"),14.889581613479999)</f>
        <v>14.88958161</v>
      </c>
      <c r="H984" s="1">
        <v>4.5</v>
      </c>
      <c r="I984" s="1">
        <v>5985.0</v>
      </c>
      <c r="J984" s="1" t="s">
        <v>3697</v>
      </c>
      <c r="K984" s="5" t="s">
        <v>3698</v>
      </c>
    </row>
    <row r="985">
      <c r="A985" s="1" t="s">
        <v>309</v>
      </c>
      <c r="B985" s="1" t="s">
        <v>310</v>
      </c>
      <c r="C985" s="1" t="s">
        <v>13</v>
      </c>
      <c r="D985" s="2">
        <v>115.0</v>
      </c>
      <c r="E985" s="2">
        <v>499.0</v>
      </c>
      <c r="F985" s="3">
        <f t="shared" si="7"/>
        <v>0.7695390782</v>
      </c>
      <c r="G985" s="4">
        <f>IFERROR(__xludf.DUMMYFUNCTION("GOOGLEFINANCE(""CURRENCY:INRBRL"")*D985"),6.8767143998)</f>
        <v>6.8767144</v>
      </c>
      <c r="H985" s="1">
        <v>4.5</v>
      </c>
      <c r="I985" s="1">
        <v>7732.0</v>
      </c>
      <c r="J985" s="1" t="s">
        <v>311</v>
      </c>
      <c r="K985" s="5" t="s">
        <v>3699</v>
      </c>
    </row>
    <row r="986">
      <c r="A986" s="1" t="s">
        <v>3700</v>
      </c>
      <c r="B986" s="1" t="s">
        <v>3701</v>
      </c>
      <c r="C986" s="1" t="s">
        <v>3702</v>
      </c>
      <c r="D986" s="2">
        <v>230.0</v>
      </c>
      <c r="E986" s="2">
        <v>230.0</v>
      </c>
      <c r="F986" s="3">
        <f t="shared" si="7"/>
        <v>0</v>
      </c>
      <c r="G986" s="4">
        <f>IFERROR(__xludf.DUMMYFUNCTION("GOOGLEFINANCE(""CURRENCY:INRBRL"")*D986"),13.7534287996)</f>
        <v>13.7534288</v>
      </c>
      <c r="H986" s="1">
        <v>4.5</v>
      </c>
      <c r="I986" s="1">
        <v>9427.0</v>
      </c>
      <c r="J986" s="1" t="s">
        <v>3703</v>
      </c>
      <c r="K986" s="5" t="s">
        <v>3704</v>
      </c>
    </row>
    <row r="987">
      <c r="A987" s="1" t="s">
        <v>313</v>
      </c>
      <c r="B987" s="1" t="s">
        <v>314</v>
      </c>
      <c r="C987" s="1" t="s">
        <v>13</v>
      </c>
      <c r="D987" s="2">
        <v>399.0</v>
      </c>
      <c r="E987" s="2">
        <v>999.0</v>
      </c>
      <c r="F987" s="3">
        <f t="shared" si="7"/>
        <v>0.6006006006</v>
      </c>
      <c r="G987" s="4">
        <f>IFERROR(__xludf.DUMMYFUNCTION("GOOGLEFINANCE(""CURRENCY:INRBRL"")*D987"),23.859209091479997)</f>
        <v>23.85920909</v>
      </c>
      <c r="H987" s="1">
        <v>4.5</v>
      </c>
      <c r="I987" s="1">
        <v>178.0</v>
      </c>
      <c r="J987" s="1" t="s">
        <v>315</v>
      </c>
      <c r="K987" s="5" t="s">
        <v>3705</v>
      </c>
    </row>
    <row r="988">
      <c r="A988" s="1" t="s">
        <v>3706</v>
      </c>
      <c r="B988" s="1" t="s">
        <v>3707</v>
      </c>
      <c r="C988" s="1" t="s">
        <v>2466</v>
      </c>
      <c r="D988" s="2">
        <v>599.0</v>
      </c>
      <c r="E988" s="2">
        <v>700.0</v>
      </c>
      <c r="F988" s="3">
        <f t="shared" si="7"/>
        <v>0.1442857143</v>
      </c>
      <c r="G988" s="4">
        <f>IFERROR(__xludf.DUMMYFUNCTION("GOOGLEFINANCE(""CURRENCY:INRBRL"")*D988"),35.81871239548)</f>
        <v>35.8187124</v>
      </c>
      <c r="H988" s="1">
        <v>4.5</v>
      </c>
      <c r="I988" s="1">
        <v>2301.0</v>
      </c>
      <c r="J988" s="1" t="s">
        <v>3708</v>
      </c>
      <c r="K988" s="5" t="s">
        <v>3709</v>
      </c>
    </row>
    <row r="989">
      <c r="A989" s="1" t="s">
        <v>3710</v>
      </c>
      <c r="B989" s="1" t="s">
        <v>3711</v>
      </c>
      <c r="C989" s="1" t="s">
        <v>3712</v>
      </c>
      <c r="D989" s="2">
        <v>598.0</v>
      </c>
      <c r="E989" s="2">
        <v>1159.0</v>
      </c>
      <c r="F989" s="3">
        <f t="shared" si="7"/>
        <v>0.4840379638</v>
      </c>
      <c r="G989" s="4">
        <f>IFERROR(__xludf.DUMMYFUNCTION("GOOGLEFINANCE(""CURRENCY:INRBRL"")*D989"),35.75891487896)</f>
        <v>35.75891488</v>
      </c>
      <c r="H989" s="1">
        <v>4.5</v>
      </c>
      <c r="I989" s="1">
        <v>2535.0</v>
      </c>
      <c r="J989" s="1" t="s">
        <v>3713</v>
      </c>
      <c r="K989" s="5" t="s">
        <v>3714</v>
      </c>
    </row>
    <row r="990">
      <c r="A990" s="1" t="s">
        <v>3715</v>
      </c>
      <c r="B990" s="1" t="s">
        <v>3716</v>
      </c>
      <c r="C990" s="1" t="s">
        <v>2753</v>
      </c>
      <c r="D990" s="2">
        <v>399.0</v>
      </c>
      <c r="E990" s="2">
        <v>1499.0</v>
      </c>
      <c r="F990" s="3">
        <f t="shared" si="7"/>
        <v>0.7338225484</v>
      </c>
      <c r="G990" s="4">
        <f>IFERROR(__xludf.DUMMYFUNCTION("GOOGLEFINANCE(""CURRENCY:INRBRL"")*D990"),23.859209091479997)</f>
        <v>23.85920909</v>
      </c>
      <c r="H990" s="1">
        <v>4.5</v>
      </c>
      <c r="I990" s="1">
        <v>691.0</v>
      </c>
      <c r="J990" s="1" t="s">
        <v>3717</v>
      </c>
      <c r="K990" s="5" t="s">
        <v>3718</v>
      </c>
    </row>
    <row r="991">
      <c r="A991" s="1" t="s">
        <v>3719</v>
      </c>
      <c r="B991" s="1" t="s">
        <v>3720</v>
      </c>
      <c r="C991" s="1" t="s">
        <v>2275</v>
      </c>
      <c r="D991" s="2">
        <v>499.0</v>
      </c>
      <c r="E991" s="2">
        <v>1299.0</v>
      </c>
      <c r="F991" s="3">
        <f t="shared" si="7"/>
        <v>0.6158583526</v>
      </c>
      <c r="G991" s="4">
        <f>IFERROR(__xludf.DUMMYFUNCTION("GOOGLEFINANCE(""CURRENCY:INRBRL"")*D991"),29.838960743479998)</f>
        <v>29.83896074</v>
      </c>
      <c r="H991" s="1">
        <v>4.5</v>
      </c>
      <c r="I991" s="1">
        <v>274.0</v>
      </c>
      <c r="J991" s="1" t="s">
        <v>3721</v>
      </c>
      <c r="K991" s="5" t="s">
        <v>3722</v>
      </c>
    </row>
    <row r="992">
      <c r="A992" s="1" t="s">
        <v>317</v>
      </c>
      <c r="B992" s="1" t="s">
        <v>318</v>
      </c>
      <c r="C992" s="1" t="s">
        <v>13</v>
      </c>
      <c r="D992" s="2">
        <v>199.0</v>
      </c>
      <c r="E992" s="2">
        <v>499.0</v>
      </c>
      <c r="F992" s="3">
        <f t="shared" si="7"/>
        <v>0.6012024048</v>
      </c>
      <c r="G992" s="4">
        <f>IFERROR(__xludf.DUMMYFUNCTION("GOOGLEFINANCE(""CURRENCY:INRBRL"")*D992"),11.899705787479999)</f>
        <v>11.89970579</v>
      </c>
      <c r="H992" s="1">
        <v>4.5</v>
      </c>
      <c r="I992" s="1">
        <v>602.0</v>
      </c>
      <c r="J992" s="1" t="s">
        <v>319</v>
      </c>
      <c r="K992" s="5" t="s">
        <v>3723</v>
      </c>
    </row>
    <row r="993">
      <c r="A993" s="1" t="s">
        <v>3724</v>
      </c>
      <c r="B993" s="1" t="s">
        <v>3725</v>
      </c>
      <c r="C993" s="1" t="s">
        <v>2261</v>
      </c>
      <c r="D993" s="2">
        <v>579.0</v>
      </c>
      <c r="E993" s="2">
        <v>1099.0</v>
      </c>
      <c r="F993" s="3">
        <f t="shared" si="7"/>
        <v>0.4731574158</v>
      </c>
      <c r="G993" s="4">
        <f>IFERROR(__xludf.DUMMYFUNCTION("GOOGLEFINANCE(""CURRENCY:INRBRL"")*D993"),34.622762065079996)</f>
        <v>34.62276207</v>
      </c>
      <c r="H993" s="1">
        <v>4.5</v>
      </c>
      <c r="I993" s="1">
        <v>3482.0</v>
      </c>
      <c r="J993" s="1" t="s">
        <v>3726</v>
      </c>
      <c r="K993" s="5" t="s">
        <v>3727</v>
      </c>
    </row>
    <row r="994">
      <c r="A994" s="1" t="s">
        <v>321</v>
      </c>
      <c r="B994" s="1" t="s">
        <v>322</v>
      </c>
      <c r="C994" s="1" t="s">
        <v>13</v>
      </c>
      <c r="D994" s="2">
        <v>179.0</v>
      </c>
      <c r="E994" s="2">
        <v>399.0</v>
      </c>
      <c r="F994" s="3">
        <f t="shared" si="7"/>
        <v>0.5513784461</v>
      </c>
      <c r="G994" s="4">
        <f>IFERROR(__xludf.DUMMYFUNCTION("GOOGLEFINANCE(""CURRENCY:INRBRL"")*D994"),10.70375545708)</f>
        <v>10.70375546</v>
      </c>
      <c r="H994" s="1">
        <v>4.5</v>
      </c>
      <c r="I994" s="1">
        <v>1423.0</v>
      </c>
      <c r="J994" s="1" t="s">
        <v>323</v>
      </c>
      <c r="K994" s="5" t="s">
        <v>3728</v>
      </c>
    </row>
    <row r="995">
      <c r="A995" s="1" t="s">
        <v>3729</v>
      </c>
      <c r="B995" s="1" t="s">
        <v>3730</v>
      </c>
      <c r="C995" s="1" t="s">
        <v>3731</v>
      </c>
      <c r="D995" s="2">
        <v>90.0</v>
      </c>
      <c r="E995" s="2">
        <v>100.0</v>
      </c>
      <c r="F995" s="3">
        <f t="shared" si="7"/>
        <v>0.1</v>
      </c>
      <c r="G995" s="4">
        <f>IFERROR(__xludf.DUMMYFUNCTION("GOOGLEFINANCE(""CURRENCY:INRBRL"")*D995"),5.3817764868)</f>
        <v>5.381776487</v>
      </c>
      <c r="H995" s="1">
        <v>4.5</v>
      </c>
      <c r="I995" s="1">
        <v>6199.0</v>
      </c>
      <c r="J995" s="1" t="s">
        <v>3732</v>
      </c>
      <c r="K995" s="5" t="s">
        <v>3733</v>
      </c>
    </row>
    <row r="996">
      <c r="A996" s="1" t="s">
        <v>3734</v>
      </c>
      <c r="B996" s="1" t="s">
        <v>3735</v>
      </c>
      <c r="C996" s="1" t="s">
        <v>2275</v>
      </c>
      <c r="D996" s="2">
        <v>899.0</v>
      </c>
      <c r="E996" s="2">
        <v>1999.0</v>
      </c>
      <c r="F996" s="3">
        <f t="shared" si="7"/>
        <v>0.5502751376</v>
      </c>
      <c r="G996" s="4">
        <f>IFERROR(__xludf.DUMMYFUNCTION("GOOGLEFINANCE(""CURRENCY:INRBRL"")*D996"),53.75796735148)</f>
        <v>53.75796735</v>
      </c>
      <c r="H996" s="1">
        <v>4.5</v>
      </c>
      <c r="I996" s="1">
        <v>1667.0</v>
      </c>
      <c r="J996" s="1" t="s">
        <v>3736</v>
      </c>
      <c r="K996" s="5" t="s">
        <v>3737</v>
      </c>
    </row>
    <row r="997">
      <c r="A997" s="1" t="s">
        <v>3738</v>
      </c>
      <c r="B997" s="1" t="s">
        <v>3739</v>
      </c>
      <c r="C997" s="1" t="s">
        <v>3421</v>
      </c>
      <c r="D997" s="2">
        <v>1149.0</v>
      </c>
      <c r="E997" s="2">
        <v>1799.0</v>
      </c>
      <c r="F997" s="3">
        <f t="shared" si="7"/>
        <v>0.3613118399</v>
      </c>
      <c r="G997" s="4">
        <f>IFERROR(__xludf.DUMMYFUNCTION("GOOGLEFINANCE(""CURRENCY:INRBRL"")*D997"),68.70734648148)</f>
        <v>68.70734648</v>
      </c>
      <c r="H997" s="1">
        <v>4.5</v>
      </c>
      <c r="I997" s="1">
        <v>4723.0</v>
      </c>
      <c r="J997" s="1" t="s">
        <v>3740</v>
      </c>
      <c r="K997" s="5" t="s">
        <v>3741</v>
      </c>
    </row>
    <row r="998">
      <c r="A998" s="1" t="s">
        <v>3742</v>
      </c>
      <c r="B998" s="1" t="s">
        <v>3743</v>
      </c>
      <c r="C998" s="1" t="s">
        <v>2841</v>
      </c>
      <c r="D998" s="2">
        <v>249.0</v>
      </c>
      <c r="E998" s="2">
        <v>499.0</v>
      </c>
      <c r="F998" s="3">
        <f t="shared" si="7"/>
        <v>0.501002004</v>
      </c>
      <c r="G998" s="4">
        <f>IFERROR(__xludf.DUMMYFUNCTION("GOOGLEFINANCE(""CURRENCY:INRBRL"")*D998"),14.889581613479999)</f>
        <v>14.88958161</v>
      </c>
      <c r="H998" s="1">
        <v>4.5</v>
      </c>
      <c r="I998" s="1">
        <v>2286.0</v>
      </c>
      <c r="J998" s="1" t="s">
        <v>3744</v>
      </c>
      <c r="K998" s="5" t="s">
        <v>3745</v>
      </c>
    </row>
    <row r="999">
      <c r="A999" s="1" t="s">
        <v>3746</v>
      </c>
      <c r="B999" s="1" t="s">
        <v>3747</v>
      </c>
      <c r="C999" s="1" t="s">
        <v>2680</v>
      </c>
      <c r="D999" s="2">
        <v>39.0</v>
      </c>
      <c r="E999" s="2">
        <v>39.0</v>
      </c>
      <c r="F999" s="3">
        <f t="shared" si="7"/>
        <v>0</v>
      </c>
      <c r="G999" s="4">
        <f>IFERROR(__xludf.DUMMYFUNCTION("GOOGLEFINANCE(""CURRENCY:INRBRL"")*D999"),2.33210314428)</f>
        <v>2.332103144</v>
      </c>
      <c r="H999" s="1">
        <v>4.5</v>
      </c>
      <c r="I999" s="1">
        <v>13572.0</v>
      </c>
      <c r="J999" s="1" t="s">
        <v>3670</v>
      </c>
      <c r="K999" s="5" t="s">
        <v>3748</v>
      </c>
    </row>
    <row r="1000">
      <c r="A1000" s="1" t="s">
        <v>3749</v>
      </c>
      <c r="B1000" s="1" t="s">
        <v>3750</v>
      </c>
      <c r="C1000" s="1" t="s">
        <v>2419</v>
      </c>
      <c r="D1000" s="2">
        <v>1599.0</v>
      </c>
      <c r="E1000" s="2">
        <v>3599.0</v>
      </c>
      <c r="F1000" s="3">
        <f t="shared" si="7"/>
        <v>0.5557099194</v>
      </c>
      <c r="G1000" s="4">
        <f>IFERROR(__xludf.DUMMYFUNCTION("GOOGLEFINANCE(""CURRENCY:INRBRL"")*D1000"),95.61622891548)</f>
        <v>95.61622892</v>
      </c>
      <c r="H1000" s="1">
        <v>4.5</v>
      </c>
      <c r="I1000" s="1">
        <v>16182.0</v>
      </c>
      <c r="J1000" s="1" t="s">
        <v>3751</v>
      </c>
      <c r="K1000" s="5" t="s">
        <v>3752</v>
      </c>
    </row>
    <row r="1001">
      <c r="A1001" s="1" t="s">
        <v>3753</v>
      </c>
      <c r="B1001" s="1" t="s">
        <v>3754</v>
      </c>
      <c r="C1001" s="1" t="s">
        <v>2545</v>
      </c>
      <c r="D1001" s="2">
        <v>1199.0</v>
      </c>
      <c r="E1001" s="2">
        <v>3999.0</v>
      </c>
      <c r="F1001" s="3">
        <f t="shared" si="7"/>
        <v>0.7001750438</v>
      </c>
      <c r="G1001" s="4">
        <f>IFERROR(__xludf.DUMMYFUNCTION("GOOGLEFINANCE(""CURRENCY:INRBRL"")*D1001"),71.69722230747999)</f>
        <v>71.69722231</v>
      </c>
      <c r="H1001" s="1">
        <v>4.5</v>
      </c>
      <c r="I1001" s="1">
        <v>2908.0</v>
      </c>
      <c r="J1001" s="1" t="s">
        <v>3755</v>
      </c>
      <c r="K1001" s="5" t="s">
        <v>3756</v>
      </c>
    </row>
    <row r="1002">
      <c r="A1002" s="1" t="s">
        <v>329</v>
      </c>
      <c r="B1002" s="1" t="s">
        <v>330</v>
      </c>
      <c r="C1002" s="1" t="s">
        <v>13</v>
      </c>
      <c r="D1002" s="2">
        <v>209.0</v>
      </c>
      <c r="E1002" s="2">
        <v>499.0</v>
      </c>
      <c r="F1002" s="3">
        <f t="shared" si="7"/>
        <v>0.5811623246</v>
      </c>
      <c r="G1002" s="4">
        <f>IFERROR(__xludf.DUMMYFUNCTION("GOOGLEFINANCE(""CURRENCY:INRBRL"")*D1002"),12.49768095268)</f>
        <v>12.49768095</v>
      </c>
      <c r="H1002" s="1">
        <v>4.5</v>
      </c>
      <c r="I1002" s="1">
        <v>536.0</v>
      </c>
      <c r="J1002" s="1" t="s">
        <v>331</v>
      </c>
      <c r="K1002" s="5" t="s">
        <v>3757</v>
      </c>
    </row>
    <row r="1003">
      <c r="A1003" s="1" t="s">
        <v>3758</v>
      </c>
      <c r="B1003" s="1" t="s">
        <v>3759</v>
      </c>
      <c r="C1003" s="1" t="s">
        <v>2261</v>
      </c>
      <c r="D1003" s="2">
        <v>1099.0</v>
      </c>
      <c r="E1003" s="2">
        <v>1499.0</v>
      </c>
      <c r="F1003" s="3">
        <f t="shared" si="7"/>
        <v>0.266844563</v>
      </c>
      <c r="G1003" s="4">
        <f>IFERROR(__xludf.DUMMYFUNCTION("GOOGLEFINANCE(""CURRENCY:INRBRL"")*D1003"),65.71747065548)</f>
        <v>65.71747066</v>
      </c>
      <c r="H1003" s="1">
        <v>4.5</v>
      </c>
      <c r="I1003" s="1">
        <v>2375.0</v>
      </c>
      <c r="J1003" s="1" t="s">
        <v>3760</v>
      </c>
      <c r="K1003" s="5" t="s">
        <v>3761</v>
      </c>
    </row>
    <row r="1004">
      <c r="A1004" s="1" t="s">
        <v>3762</v>
      </c>
      <c r="B1004" s="1" t="s">
        <v>3763</v>
      </c>
      <c r="C1004" s="1" t="s">
        <v>2872</v>
      </c>
      <c r="D1004" s="2">
        <v>120.0</v>
      </c>
      <c r="E1004" s="2">
        <v>120.0</v>
      </c>
      <c r="F1004" s="3">
        <f t="shared" si="7"/>
        <v>0</v>
      </c>
      <c r="G1004" s="4">
        <f>IFERROR(__xludf.DUMMYFUNCTION("GOOGLEFINANCE(""CURRENCY:INRBRL"")*D1004"),7.1757019824)</f>
        <v>7.175701982</v>
      </c>
      <c r="H1004" s="1">
        <v>4.5</v>
      </c>
      <c r="I1004" s="1">
        <v>4951.0</v>
      </c>
      <c r="J1004" s="1" t="s">
        <v>3764</v>
      </c>
      <c r="K1004" s="5" t="s">
        <v>3765</v>
      </c>
    </row>
    <row r="1005">
      <c r="A1005" s="1" t="s">
        <v>3766</v>
      </c>
      <c r="B1005" s="1" t="s">
        <v>3767</v>
      </c>
      <c r="C1005" s="1" t="s">
        <v>3421</v>
      </c>
      <c r="D1005" s="2">
        <v>1519.0</v>
      </c>
      <c r="E1005" s="2">
        <v>3499.0</v>
      </c>
      <c r="F1005" s="3">
        <f t="shared" si="7"/>
        <v>0.5658759646</v>
      </c>
      <c r="G1005" s="4">
        <f>IFERROR(__xludf.DUMMYFUNCTION("GOOGLEFINANCE(""CURRENCY:INRBRL"")*D1005"),90.83242759388)</f>
        <v>90.83242759</v>
      </c>
      <c r="H1005" s="1">
        <v>4.5</v>
      </c>
      <c r="I1005" s="1">
        <v>408.0</v>
      </c>
      <c r="J1005" s="1" t="s">
        <v>3768</v>
      </c>
      <c r="K1005" s="5" t="s">
        <v>3769</v>
      </c>
    </row>
    <row r="1006">
      <c r="A1006" s="1" t="s">
        <v>3770</v>
      </c>
      <c r="B1006" s="1" t="s">
        <v>3771</v>
      </c>
      <c r="C1006" s="1" t="s">
        <v>3731</v>
      </c>
      <c r="D1006" s="2">
        <v>420.0</v>
      </c>
      <c r="E1006" s="2">
        <v>420.0</v>
      </c>
      <c r="F1006" s="3">
        <f t="shared" si="7"/>
        <v>0</v>
      </c>
      <c r="G1006" s="4">
        <f>IFERROR(__xludf.DUMMYFUNCTION("GOOGLEFINANCE(""CURRENCY:INRBRL"")*D1006"),25.1149569384)</f>
        <v>25.11495694</v>
      </c>
      <c r="H1006" s="1">
        <v>4.5</v>
      </c>
      <c r="I1006" s="1">
        <v>1926.0</v>
      </c>
      <c r="J1006" s="1" t="s">
        <v>3772</v>
      </c>
      <c r="K1006" s="5" t="s">
        <v>3773</v>
      </c>
    </row>
    <row r="1007">
      <c r="A1007" s="1" t="s">
        <v>3774</v>
      </c>
      <c r="B1007" s="1" t="s">
        <v>3775</v>
      </c>
      <c r="C1007" s="1" t="s">
        <v>3776</v>
      </c>
      <c r="D1007" s="2">
        <v>225.0</v>
      </c>
      <c r="E1007" s="2">
        <v>225.0</v>
      </c>
      <c r="F1007" s="3">
        <f t="shared" si="7"/>
        <v>0</v>
      </c>
      <c r="G1007" s="4">
        <f>IFERROR(__xludf.DUMMYFUNCTION("GOOGLEFINANCE(""CURRENCY:INRBRL"")*D1007"),13.454441217)</f>
        <v>13.45444122</v>
      </c>
      <c r="H1007" s="1">
        <v>4.5</v>
      </c>
      <c r="I1007" s="1">
        <v>4798.0</v>
      </c>
      <c r="J1007" s="1" t="s">
        <v>3777</v>
      </c>
      <c r="K1007" s="5" t="s">
        <v>3778</v>
      </c>
    </row>
    <row r="1008">
      <c r="A1008" s="1" t="s">
        <v>3779</v>
      </c>
      <c r="B1008" s="1" t="s">
        <v>3780</v>
      </c>
      <c r="C1008" s="1" t="s">
        <v>3781</v>
      </c>
      <c r="D1008" s="2">
        <v>199.0</v>
      </c>
      <c r="E1008" s="2">
        <v>799.0</v>
      </c>
      <c r="F1008" s="3">
        <f t="shared" si="7"/>
        <v>0.7509386733</v>
      </c>
      <c r="G1008" s="4">
        <f>IFERROR(__xludf.DUMMYFUNCTION("GOOGLEFINANCE(""CURRENCY:INRBRL"")*D1008"),11.899705787479999)</f>
        <v>11.89970579</v>
      </c>
      <c r="H1008" s="1">
        <v>4.5</v>
      </c>
      <c r="I1008" s="1">
        <v>7333.0</v>
      </c>
      <c r="J1008" s="1" t="s">
        <v>3782</v>
      </c>
      <c r="K1008" s="5" t="s">
        <v>3783</v>
      </c>
    </row>
    <row r="1009">
      <c r="A1009" s="1" t="s">
        <v>2194</v>
      </c>
      <c r="B1009" s="1" t="s">
        <v>2195</v>
      </c>
      <c r="C1009" s="1" t="s">
        <v>1579</v>
      </c>
      <c r="D1009" s="2">
        <v>1799.0</v>
      </c>
      <c r="E1009" s="2">
        <v>3999.0</v>
      </c>
      <c r="F1009" s="3">
        <f t="shared" si="7"/>
        <v>0.5501375344</v>
      </c>
      <c r="G1009" s="4">
        <f>IFERROR(__xludf.DUMMYFUNCTION("GOOGLEFINANCE(""CURRENCY:INRBRL"")*D1009"),107.57573221947999)</f>
        <v>107.5757322</v>
      </c>
      <c r="H1009" s="1">
        <v>4.5</v>
      </c>
      <c r="I1009" s="1">
        <v>245.0</v>
      </c>
      <c r="J1009" s="1" t="s">
        <v>2196</v>
      </c>
      <c r="K1009" s="5" t="s">
        <v>3784</v>
      </c>
    </row>
    <row r="1010">
      <c r="A1010" s="1" t="s">
        <v>3785</v>
      </c>
      <c r="B1010" s="1" t="s">
        <v>3786</v>
      </c>
      <c r="C1010" s="1" t="s">
        <v>3474</v>
      </c>
      <c r="D1010" s="2">
        <v>8349.0</v>
      </c>
      <c r="E1010" s="2">
        <v>9625.0</v>
      </c>
      <c r="F1010" s="3">
        <f t="shared" si="7"/>
        <v>0.1325714286</v>
      </c>
      <c r="G1010" s="4">
        <f>IFERROR(__xludf.DUMMYFUNCTION("GOOGLEFINANCE(""CURRENCY:INRBRL"")*D1010"),499.24946542547997)</f>
        <v>499.2494654</v>
      </c>
      <c r="H1010" s="1">
        <v>4.5</v>
      </c>
      <c r="I1010" s="1">
        <v>3652.0</v>
      </c>
      <c r="J1010" s="1" t="s">
        <v>3787</v>
      </c>
      <c r="K1010" s="5" t="s">
        <v>3788</v>
      </c>
    </row>
    <row r="1011">
      <c r="A1011" s="1" t="s">
        <v>3789</v>
      </c>
      <c r="B1011" s="1" t="s">
        <v>3790</v>
      </c>
      <c r="C1011" s="1" t="s">
        <v>3065</v>
      </c>
      <c r="D1011" s="2">
        <v>3307.0</v>
      </c>
      <c r="E1011" s="2">
        <v>6099.0</v>
      </c>
      <c r="F1011" s="3">
        <f t="shared" si="7"/>
        <v>0.4577799639</v>
      </c>
      <c r="G1011" s="4">
        <f>IFERROR(__xludf.DUMMYFUNCTION("GOOGLEFINANCE(""CURRENCY:INRBRL"")*D1011"),197.75038713164)</f>
        <v>197.7503871</v>
      </c>
      <c r="H1011" s="1">
        <v>4.5</v>
      </c>
      <c r="I1011" s="1">
        <v>2515.0</v>
      </c>
      <c r="J1011" s="1" t="s">
        <v>3791</v>
      </c>
      <c r="K1011" s="5" t="s">
        <v>3792</v>
      </c>
    </row>
    <row r="1012">
      <c r="A1012" s="1" t="s">
        <v>353</v>
      </c>
      <c r="B1012" s="1" t="s">
        <v>354</v>
      </c>
      <c r="C1012" s="1" t="s">
        <v>13</v>
      </c>
      <c r="D1012" s="2">
        <v>325.0</v>
      </c>
      <c r="E1012" s="2">
        <v>1299.0</v>
      </c>
      <c r="F1012" s="3">
        <f t="shared" si="7"/>
        <v>0.7498075443</v>
      </c>
      <c r="G1012" s="4">
        <f>IFERROR(__xludf.DUMMYFUNCTION("GOOGLEFINANCE(""CURRENCY:INRBRL"")*D1012"),19.434192869)</f>
        <v>19.43419287</v>
      </c>
      <c r="H1012" s="1">
        <v>4.5</v>
      </c>
      <c r="I1012" s="1">
        <v>10576.0</v>
      </c>
      <c r="J1012" s="1" t="s">
        <v>355</v>
      </c>
      <c r="K1012" s="5" t="s">
        <v>3793</v>
      </c>
    </row>
    <row r="1013">
      <c r="A1013" s="1" t="s">
        <v>3794</v>
      </c>
      <c r="B1013" s="1" t="s">
        <v>3795</v>
      </c>
      <c r="C1013" s="1" t="s">
        <v>2256</v>
      </c>
      <c r="D1013" s="2">
        <v>449.0</v>
      </c>
      <c r="E1013" s="2">
        <v>1299.0</v>
      </c>
      <c r="F1013" s="3">
        <f t="shared" si="7"/>
        <v>0.6543494996</v>
      </c>
      <c r="G1013" s="4">
        <f>IFERROR(__xludf.DUMMYFUNCTION("GOOGLEFINANCE(""CURRENCY:INRBRL"")*D1013"),26.84908491748)</f>
        <v>26.84908492</v>
      </c>
      <c r="H1013" s="1">
        <v>4.5</v>
      </c>
      <c r="I1013" s="1">
        <v>4959.0</v>
      </c>
      <c r="J1013" s="1" t="s">
        <v>3796</v>
      </c>
      <c r="K1013" s="5" t="s">
        <v>3797</v>
      </c>
    </row>
    <row r="1014">
      <c r="A1014" s="1" t="s">
        <v>3798</v>
      </c>
      <c r="B1014" s="1" t="s">
        <v>3799</v>
      </c>
      <c r="C1014" s="1" t="s">
        <v>2343</v>
      </c>
      <c r="D1014" s="2">
        <v>380.0</v>
      </c>
      <c r="E1014" s="2">
        <v>400.0</v>
      </c>
      <c r="F1014" s="3">
        <f t="shared" si="7"/>
        <v>0.05</v>
      </c>
      <c r="G1014" s="4">
        <f>IFERROR(__xludf.DUMMYFUNCTION("GOOGLEFINANCE(""CURRENCY:INRBRL"")*D1014"),22.723056277599998)</f>
        <v>22.72305628</v>
      </c>
      <c r="H1014" s="1">
        <v>4.5</v>
      </c>
      <c r="I1014" s="1">
        <v>2111.0</v>
      </c>
      <c r="J1014" s="1" t="s">
        <v>3800</v>
      </c>
      <c r="K1014" s="5" t="s">
        <v>3801</v>
      </c>
    </row>
    <row r="1015">
      <c r="A1015" s="1" t="s">
        <v>3802</v>
      </c>
      <c r="B1015" s="1" t="s">
        <v>3803</v>
      </c>
      <c r="C1015" s="1" t="s">
        <v>2266</v>
      </c>
      <c r="D1015" s="2">
        <v>499.0</v>
      </c>
      <c r="E1015" s="2">
        <v>1399.0</v>
      </c>
      <c r="F1015" s="3">
        <f t="shared" si="7"/>
        <v>0.6433166548</v>
      </c>
      <c r="G1015" s="4">
        <f>IFERROR(__xludf.DUMMYFUNCTION("GOOGLEFINANCE(""CURRENCY:INRBRL"")*D1015"),29.838960743479998)</f>
        <v>29.83896074</v>
      </c>
      <c r="H1015" s="1">
        <v>4.5</v>
      </c>
      <c r="I1015" s="1">
        <v>1462.0</v>
      </c>
      <c r="J1015" s="1" t="s">
        <v>3804</v>
      </c>
      <c r="K1015" s="5" t="s">
        <v>3805</v>
      </c>
    </row>
    <row r="1016">
      <c r="A1016" s="1" t="s">
        <v>3806</v>
      </c>
      <c r="B1016" s="1" t="s">
        <v>3807</v>
      </c>
      <c r="C1016" s="1" t="s">
        <v>3808</v>
      </c>
      <c r="D1016" s="2">
        <v>37.25</v>
      </c>
      <c r="E1016" s="2">
        <v>59.89</v>
      </c>
      <c r="F1016" s="3">
        <f t="shared" si="7"/>
        <v>0.3780263817</v>
      </c>
      <c r="G1016" s="4">
        <f>IFERROR(__xludf.DUMMYFUNCTION("GOOGLEFINANCE(""CURRENCY:INRBRL"")*D1016"),2.22745749037)</f>
        <v>2.22745749</v>
      </c>
      <c r="H1016" s="1">
        <v>4.5</v>
      </c>
      <c r="I1016" s="1">
        <v>323.0</v>
      </c>
      <c r="J1016" s="1" t="s">
        <v>3809</v>
      </c>
      <c r="K1016" s="5" t="s">
        <v>3810</v>
      </c>
    </row>
    <row r="1017">
      <c r="A1017" s="1" t="s">
        <v>3811</v>
      </c>
      <c r="B1017" s="1" t="s">
        <v>3812</v>
      </c>
      <c r="C1017" s="1" t="s">
        <v>2069</v>
      </c>
      <c r="D1017" s="2">
        <v>849.0</v>
      </c>
      <c r="E1017" s="2">
        <v>2499.0</v>
      </c>
      <c r="F1017" s="3">
        <f t="shared" si="7"/>
        <v>0.6602641056</v>
      </c>
      <c r="G1017" s="4">
        <f>IFERROR(__xludf.DUMMYFUNCTION("GOOGLEFINANCE(""CURRENCY:INRBRL"")*D1017"),50.768091525479996)</f>
        <v>50.76809153</v>
      </c>
      <c r="H1017" s="1">
        <v>4.5</v>
      </c>
      <c r="I1017" s="1">
        <v>91188.0</v>
      </c>
      <c r="J1017" s="1" t="s">
        <v>3813</v>
      </c>
      <c r="K1017" s="5" t="s">
        <v>3814</v>
      </c>
    </row>
    <row r="1018">
      <c r="A1018" s="1" t="s">
        <v>3815</v>
      </c>
      <c r="B1018" s="1" t="s">
        <v>3816</v>
      </c>
      <c r="C1018" s="1" t="s">
        <v>2836</v>
      </c>
      <c r="D1018" s="2">
        <v>799.0</v>
      </c>
      <c r="E1018" s="2">
        <v>1999.0</v>
      </c>
      <c r="F1018" s="3">
        <f t="shared" si="7"/>
        <v>0.6003001501</v>
      </c>
      <c r="G1018" s="4">
        <f>IFERROR(__xludf.DUMMYFUNCTION("GOOGLEFINANCE(""CURRENCY:INRBRL"")*D1018"),47.77821569948)</f>
        <v>47.7782157</v>
      </c>
      <c r="H1018" s="1">
        <v>4.5</v>
      </c>
      <c r="I1018" s="1">
        <v>418.0</v>
      </c>
      <c r="J1018" s="1" t="s">
        <v>3817</v>
      </c>
      <c r="K1018" s="5" t="s">
        <v>3818</v>
      </c>
    </row>
    <row r="1019">
      <c r="A1019" s="1" t="s">
        <v>2241</v>
      </c>
      <c r="B1019" s="1" t="s">
        <v>2242</v>
      </c>
      <c r="C1019" s="1" t="s">
        <v>1801</v>
      </c>
      <c r="D1019" s="2">
        <v>2599.0</v>
      </c>
      <c r="E1019" s="2">
        <v>6999.0</v>
      </c>
      <c r="F1019" s="3">
        <f t="shared" si="7"/>
        <v>0.6286612373</v>
      </c>
      <c r="G1019" s="4">
        <f>IFERROR(__xludf.DUMMYFUNCTION("GOOGLEFINANCE(""CURRENCY:INRBRL"")*D1019"),155.41374543548)</f>
        <v>155.4137454</v>
      </c>
      <c r="H1019" s="1">
        <v>4.5</v>
      </c>
      <c r="I1019" s="1">
        <v>1526.0</v>
      </c>
      <c r="J1019" s="1" t="s">
        <v>2243</v>
      </c>
      <c r="K1019" s="5" t="s">
        <v>3819</v>
      </c>
    </row>
    <row r="1020">
      <c r="A1020" s="1" t="s">
        <v>369</v>
      </c>
      <c r="B1020" s="1" t="s">
        <v>370</v>
      </c>
      <c r="C1020" s="1" t="s">
        <v>13</v>
      </c>
      <c r="D1020" s="2">
        <v>199.0</v>
      </c>
      <c r="E1020" s="2">
        <v>999.0</v>
      </c>
      <c r="F1020" s="3">
        <f t="shared" si="7"/>
        <v>0.8008008008</v>
      </c>
      <c r="G1020" s="4">
        <f>IFERROR(__xludf.DUMMYFUNCTION("GOOGLEFINANCE(""CURRENCY:INRBRL"")*D1020"),11.899705787479999)</f>
        <v>11.89970579</v>
      </c>
      <c r="H1020" s="1">
        <v>4.5</v>
      </c>
      <c r="I1020" s="1">
        <v>127.0</v>
      </c>
      <c r="J1020" s="1" t="s">
        <v>371</v>
      </c>
      <c r="K1020" s="5" t="s">
        <v>3820</v>
      </c>
    </row>
    <row r="1021">
      <c r="A1021" s="1" t="s">
        <v>376</v>
      </c>
      <c r="B1021" s="1" t="s">
        <v>377</v>
      </c>
      <c r="C1021" s="1" t="s">
        <v>46</v>
      </c>
      <c r="D1021" s="2">
        <v>269.0</v>
      </c>
      <c r="E1021" s="2">
        <v>800.0</v>
      </c>
      <c r="F1021" s="3">
        <f t="shared" si="7"/>
        <v>0.66375</v>
      </c>
      <c r="G1021" s="4">
        <f>IFERROR(__xludf.DUMMYFUNCTION("GOOGLEFINANCE(""CURRENCY:INRBRL"")*D1021"),16.08553194388)</f>
        <v>16.08553194</v>
      </c>
      <c r="H1021" s="1">
        <v>4.5</v>
      </c>
      <c r="I1021" s="1">
        <v>10134.0</v>
      </c>
      <c r="J1021" s="1" t="s">
        <v>378</v>
      </c>
      <c r="K1021" s="5" t="s">
        <v>3821</v>
      </c>
    </row>
    <row r="1022">
      <c r="A1022" s="1" t="s">
        <v>3822</v>
      </c>
      <c r="B1022" s="1" t="s">
        <v>3823</v>
      </c>
      <c r="C1022" s="1" t="s">
        <v>2680</v>
      </c>
      <c r="D1022" s="2">
        <v>298.0</v>
      </c>
      <c r="E1022" s="2">
        <v>999.0</v>
      </c>
      <c r="F1022" s="3">
        <f t="shared" si="7"/>
        <v>0.7017017017</v>
      </c>
      <c r="G1022" s="4">
        <f>IFERROR(__xludf.DUMMYFUNCTION("GOOGLEFINANCE(""CURRENCY:INRBRL"")*D1022"),17.81965992296)</f>
        <v>17.81965992</v>
      </c>
      <c r="H1022" s="1">
        <v>4.5</v>
      </c>
      <c r="I1022" s="1">
        <v>1552.0</v>
      </c>
      <c r="J1022" s="1" t="s">
        <v>3824</v>
      </c>
      <c r="K1022" s="5" t="s">
        <v>3825</v>
      </c>
    </row>
    <row r="1023">
      <c r="A1023" s="1" t="s">
        <v>3826</v>
      </c>
      <c r="B1023" s="1" t="s">
        <v>3827</v>
      </c>
      <c r="C1023" s="1" t="s">
        <v>2836</v>
      </c>
      <c r="D1023" s="2">
        <v>1499.0</v>
      </c>
      <c r="E1023" s="2">
        <v>2999.0</v>
      </c>
      <c r="F1023" s="3">
        <f t="shared" si="7"/>
        <v>0.5001667222</v>
      </c>
      <c r="G1023" s="4">
        <f>IFERROR(__xludf.DUMMYFUNCTION("GOOGLEFINANCE(""CURRENCY:INRBRL"")*D1023"),89.63647726347999)</f>
        <v>89.63647726</v>
      </c>
      <c r="H1023" s="1">
        <v>4.5</v>
      </c>
      <c r="I1023" s="1">
        <v>25262.0</v>
      </c>
      <c r="J1023" s="1" t="s">
        <v>3828</v>
      </c>
      <c r="K1023" s="5" t="s">
        <v>3829</v>
      </c>
    </row>
    <row r="1024">
      <c r="A1024" s="1" t="s">
        <v>3830</v>
      </c>
      <c r="B1024" s="1" t="s">
        <v>3831</v>
      </c>
      <c r="C1024" s="1" t="s">
        <v>3832</v>
      </c>
      <c r="D1024" s="2">
        <v>649.0</v>
      </c>
      <c r="E1024" s="2">
        <v>1245.0</v>
      </c>
      <c r="F1024" s="3">
        <f t="shared" si="7"/>
        <v>0.4787148594</v>
      </c>
      <c r="G1024" s="4">
        <f>IFERROR(__xludf.DUMMYFUNCTION("GOOGLEFINANCE(""CURRENCY:INRBRL"")*D1024"),38.80858822148)</f>
        <v>38.80858822</v>
      </c>
      <c r="H1024" s="1">
        <v>4.5</v>
      </c>
      <c r="I1024" s="1">
        <v>123365.0</v>
      </c>
      <c r="J1024" s="1" t="s">
        <v>3833</v>
      </c>
      <c r="K1024" s="5" t="s">
        <v>3834</v>
      </c>
    </row>
    <row r="1025">
      <c r="A1025" s="1" t="s">
        <v>3835</v>
      </c>
      <c r="B1025" s="1" t="s">
        <v>3836</v>
      </c>
      <c r="C1025" s="1" t="s">
        <v>3837</v>
      </c>
      <c r="D1025" s="2">
        <v>1199.0</v>
      </c>
      <c r="E1025" s="2">
        <v>1695.0</v>
      </c>
      <c r="F1025" s="3">
        <f t="shared" si="7"/>
        <v>0.2926253687</v>
      </c>
      <c r="G1025" s="4">
        <f>IFERROR(__xludf.DUMMYFUNCTION("GOOGLEFINANCE(""CURRENCY:INRBRL"")*D1025"),71.69722230747999)</f>
        <v>71.69722231</v>
      </c>
      <c r="H1025" s="1">
        <v>4.5</v>
      </c>
      <c r="I1025" s="1">
        <v>133.0</v>
      </c>
      <c r="J1025" s="1" t="s">
        <v>3838</v>
      </c>
      <c r="K1025" s="5" t="s">
        <v>3839</v>
      </c>
    </row>
    <row r="1026">
      <c r="A1026" s="1" t="s">
        <v>3840</v>
      </c>
      <c r="B1026" s="1" t="s">
        <v>3841</v>
      </c>
      <c r="C1026" s="1" t="s">
        <v>3842</v>
      </c>
      <c r="D1026" s="2">
        <v>1199.0</v>
      </c>
      <c r="E1026" s="2">
        <v>1999.0</v>
      </c>
      <c r="F1026" s="3">
        <f t="shared" si="7"/>
        <v>0.4002001001</v>
      </c>
      <c r="G1026" s="4">
        <f>IFERROR(__xludf.DUMMYFUNCTION("GOOGLEFINANCE(""CURRENCY:INRBRL"")*D1026"),71.69722230747999)</f>
        <v>71.69722231</v>
      </c>
      <c r="H1026" s="1">
        <v>4.5</v>
      </c>
      <c r="I1026" s="1">
        <v>18543.0</v>
      </c>
      <c r="J1026" s="1" t="s">
        <v>3843</v>
      </c>
      <c r="K1026" s="5" t="s">
        <v>3844</v>
      </c>
    </row>
    <row r="1027">
      <c r="A1027" s="1" t="s">
        <v>3845</v>
      </c>
      <c r="B1027" s="1" t="s">
        <v>3846</v>
      </c>
      <c r="C1027" s="1" t="s">
        <v>3847</v>
      </c>
      <c r="D1027" s="2">
        <v>455.0</v>
      </c>
      <c r="E1027" s="2">
        <v>999.0</v>
      </c>
      <c r="F1027" s="3">
        <f t="shared" si="7"/>
        <v>0.5445445445</v>
      </c>
      <c r="G1027" s="4">
        <f>IFERROR(__xludf.DUMMYFUNCTION("GOOGLEFINANCE(""CURRENCY:INRBRL"")*D1027"),27.207870016599998)</f>
        <v>27.20787002</v>
      </c>
      <c r="H1027" s="1">
        <v>4.5</v>
      </c>
      <c r="I1027" s="1">
        <v>3578.0</v>
      </c>
      <c r="J1027" s="1" t="s">
        <v>3848</v>
      </c>
      <c r="K1027" s="5" t="s">
        <v>3849</v>
      </c>
    </row>
    <row r="1028">
      <c r="A1028" s="1" t="s">
        <v>3850</v>
      </c>
      <c r="B1028" s="1" t="s">
        <v>3851</v>
      </c>
      <c r="C1028" s="1" t="s">
        <v>3852</v>
      </c>
      <c r="D1028" s="2">
        <v>199.0</v>
      </c>
      <c r="E1028" s="2">
        <v>1999.0</v>
      </c>
      <c r="F1028" s="3">
        <f t="shared" si="7"/>
        <v>0.9004502251</v>
      </c>
      <c r="G1028" s="4">
        <f>IFERROR(__xludf.DUMMYFUNCTION("GOOGLEFINANCE(""CURRENCY:INRBRL"")*D1028"),11.899705787479999)</f>
        <v>11.89970579</v>
      </c>
      <c r="H1028" s="1">
        <v>4.5</v>
      </c>
      <c r="I1028" s="1">
        <v>2031.0</v>
      </c>
      <c r="J1028" s="1" t="s">
        <v>3853</v>
      </c>
      <c r="K1028" s="5" t="s">
        <v>3854</v>
      </c>
    </row>
    <row r="1029">
      <c r="A1029" s="1" t="s">
        <v>3855</v>
      </c>
      <c r="B1029" s="1" t="s">
        <v>3856</v>
      </c>
      <c r="C1029" s="1" t="s">
        <v>3852</v>
      </c>
      <c r="D1029" s="2">
        <v>293.0</v>
      </c>
      <c r="E1029" s="2">
        <v>499.0</v>
      </c>
      <c r="F1029" s="3">
        <f t="shared" si="7"/>
        <v>0.4128256513</v>
      </c>
      <c r="G1029" s="4">
        <f>IFERROR(__xludf.DUMMYFUNCTION("GOOGLEFINANCE(""CURRENCY:INRBRL"")*D1029"),17.520672340359997)</f>
        <v>17.52067234</v>
      </c>
      <c r="H1029" s="1">
        <v>4.5</v>
      </c>
      <c r="I1029" s="1">
        <v>44994.0</v>
      </c>
      <c r="J1029" s="1" t="s">
        <v>3857</v>
      </c>
      <c r="K1029" s="5" t="s">
        <v>3858</v>
      </c>
    </row>
    <row r="1030">
      <c r="A1030" s="1" t="s">
        <v>3859</v>
      </c>
      <c r="B1030" s="1" t="s">
        <v>3860</v>
      </c>
      <c r="C1030" s="1" t="s">
        <v>3861</v>
      </c>
      <c r="D1030" s="2">
        <v>199.0</v>
      </c>
      <c r="E1030" s="2">
        <v>495.0</v>
      </c>
      <c r="F1030" s="3">
        <f t="shared" si="7"/>
        <v>0.597979798</v>
      </c>
      <c r="G1030" s="4">
        <f>IFERROR(__xludf.DUMMYFUNCTION("GOOGLEFINANCE(""CURRENCY:INRBRL"")*D1030"),11.899705787479999)</f>
        <v>11.89970579</v>
      </c>
      <c r="H1030" s="1">
        <v>4.5</v>
      </c>
      <c r="I1030" s="1">
        <v>270563.0</v>
      </c>
      <c r="J1030" s="1" t="s">
        <v>3862</v>
      </c>
      <c r="K1030" s="5" t="s">
        <v>3863</v>
      </c>
    </row>
    <row r="1031">
      <c r="A1031" s="1" t="s">
        <v>3864</v>
      </c>
      <c r="B1031" s="1" t="s">
        <v>3865</v>
      </c>
      <c r="C1031" s="1" t="s">
        <v>3832</v>
      </c>
      <c r="D1031" s="2">
        <v>749.0</v>
      </c>
      <c r="E1031" s="2">
        <v>1245.0</v>
      </c>
      <c r="F1031" s="3">
        <f t="shared" si="7"/>
        <v>0.3983935743</v>
      </c>
      <c r="G1031" s="4">
        <f>IFERROR(__xludf.DUMMYFUNCTION("GOOGLEFINANCE(""CURRENCY:INRBRL"")*D1031"),44.78833987348)</f>
        <v>44.78833987</v>
      </c>
      <c r="H1031" s="1">
        <v>4.5</v>
      </c>
      <c r="I1031" s="1">
        <v>31783.0</v>
      </c>
      <c r="J1031" s="1" t="s">
        <v>3866</v>
      </c>
      <c r="K1031" s="5" t="s">
        <v>3867</v>
      </c>
    </row>
    <row r="1032">
      <c r="A1032" s="1" t="s">
        <v>3868</v>
      </c>
      <c r="B1032" s="1" t="s">
        <v>3869</v>
      </c>
      <c r="C1032" s="1" t="s">
        <v>3837</v>
      </c>
      <c r="D1032" s="2">
        <v>1399.0</v>
      </c>
      <c r="E1032" s="2">
        <v>1549.0</v>
      </c>
      <c r="F1032" s="3">
        <f t="shared" si="7"/>
        <v>0.09683666882</v>
      </c>
      <c r="G1032" s="4">
        <f>IFERROR(__xludf.DUMMYFUNCTION("GOOGLEFINANCE(""CURRENCY:INRBRL"")*D1032"),83.65672561148)</f>
        <v>83.65672561</v>
      </c>
      <c r="H1032" s="1">
        <v>4.49</v>
      </c>
      <c r="I1032" s="1">
        <v>2602.0</v>
      </c>
      <c r="J1032" s="1" t="s">
        <v>3870</v>
      </c>
      <c r="K1032" s="5" t="s">
        <v>3871</v>
      </c>
    </row>
    <row r="1033">
      <c r="A1033" s="1" t="s">
        <v>3872</v>
      </c>
      <c r="B1033" s="1" t="s">
        <v>3873</v>
      </c>
      <c r="C1033" s="1" t="s">
        <v>3832</v>
      </c>
      <c r="D1033" s="2">
        <v>749.0</v>
      </c>
      <c r="E1033" s="2">
        <v>1445.0</v>
      </c>
      <c r="F1033" s="3">
        <f t="shared" si="7"/>
        <v>0.4816608997</v>
      </c>
      <c r="G1033" s="4">
        <f>IFERROR(__xludf.DUMMYFUNCTION("GOOGLEFINANCE(""CURRENCY:INRBRL"")*D1033"),44.78833987348)</f>
        <v>44.78833987</v>
      </c>
      <c r="H1033" s="1">
        <v>4.49</v>
      </c>
      <c r="I1033" s="1">
        <v>6335.0</v>
      </c>
      <c r="J1033" s="1" t="s">
        <v>3874</v>
      </c>
      <c r="K1033" s="5" t="s">
        <v>3875</v>
      </c>
    </row>
    <row r="1034">
      <c r="A1034" s="1" t="s">
        <v>3876</v>
      </c>
      <c r="B1034" s="1" t="s">
        <v>3877</v>
      </c>
      <c r="C1034" s="1" t="s">
        <v>3878</v>
      </c>
      <c r="D1034" s="2">
        <v>1699.0</v>
      </c>
      <c r="E1034" s="2">
        <v>3193.0</v>
      </c>
      <c r="F1034" s="3">
        <f t="shared" si="7"/>
        <v>0.467898528</v>
      </c>
      <c r="G1034" s="4">
        <f>IFERROR(__xludf.DUMMYFUNCTION("GOOGLEFINANCE(""CURRENCY:INRBRL"")*D1034"),101.59598056748)</f>
        <v>101.5959806</v>
      </c>
      <c r="H1034" s="1">
        <v>4.49</v>
      </c>
      <c r="I1034" s="1">
        <v>54032.0</v>
      </c>
      <c r="J1034" s="1" t="s">
        <v>3879</v>
      </c>
      <c r="K1034" s="5" t="s">
        <v>3880</v>
      </c>
    </row>
    <row r="1035">
      <c r="A1035" s="1" t="s">
        <v>3881</v>
      </c>
      <c r="B1035" s="1" t="s">
        <v>3882</v>
      </c>
      <c r="C1035" s="1" t="s">
        <v>3832</v>
      </c>
      <c r="D1035" s="2">
        <v>1043.0</v>
      </c>
      <c r="E1035" s="2">
        <v>1345.0</v>
      </c>
      <c r="F1035" s="3">
        <f t="shared" si="7"/>
        <v>0.224535316</v>
      </c>
      <c r="G1035" s="4">
        <f>IFERROR(__xludf.DUMMYFUNCTION("GOOGLEFINANCE(""CURRENCY:INRBRL"")*D1035"),62.36880973036)</f>
        <v>62.36880973</v>
      </c>
      <c r="H1035" s="1">
        <v>4.49</v>
      </c>
      <c r="I1035" s="1">
        <v>15592.0</v>
      </c>
      <c r="J1035" s="1" t="s">
        <v>3883</v>
      </c>
      <c r="K1035" s="5" t="s">
        <v>3884</v>
      </c>
    </row>
    <row r="1036">
      <c r="A1036" s="1" t="s">
        <v>3885</v>
      </c>
      <c r="B1036" s="1" t="s">
        <v>3886</v>
      </c>
      <c r="C1036" s="1" t="s">
        <v>3847</v>
      </c>
      <c r="D1036" s="2">
        <v>499.0</v>
      </c>
      <c r="E1036" s="2">
        <v>999.0</v>
      </c>
      <c r="F1036" s="3">
        <f t="shared" si="7"/>
        <v>0.5005005005</v>
      </c>
      <c r="G1036" s="4">
        <f>IFERROR(__xludf.DUMMYFUNCTION("GOOGLEFINANCE(""CURRENCY:INRBRL"")*D1036"),29.838960743479998)</f>
        <v>29.83896074</v>
      </c>
      <c r="H1036" s="1">
        <v>4.49</v>
      </c>
      <c r="I1036" s="1">
        <v>4859.0</v>
      </c>
      <c r="J1036" s="1" t="s">
        <v>3887</v>
      </c>
      <c r="K1036" s="5" t="s">
        <v>3888</v>
      </c>
    </row>
    <row r="1037">
      <c r="A1037" s="1" t="s">
        <v>3889</v>
      </c>
      <c r="B1037" s="1" t="s">
        <v>3890</v>
      </c>
      <c r="C1037" s="1" t="s">
        <v>3842</v>
      </c>
      <c r="D1037" s="2">
        <v>1464.0</v>
      </c>
      <c r="E1037" s="2">
        <v>1649.0</v>
      </c>
      <c r="F1037" s="3">
        <f t="shared" si="7"/>
        <v>0.1121892056</v>
      </c>
      <c r="G1037" s="4">
        <f>IFERROR(__xludf.DUMMYFUNCTION("GOOGLEFINANCE(""CURRENCY:INRBRL"")*D1037"),87.54356418527999)</f>
        <v>87.54356419</v>
      </c>
      <c r="H1037" s="1">
        <v>4.49</v>
      </c>
      <c r="I1037" s="1">
        <v>1412.0</v>
      </c>
      <c r="J1037" s="1" t="s">
        <v>3891</v>
      </c>
      <c r="K1037" s="5" t="s">
        <v>3892</v>
      </c>
    </row>
    <row r="1038">
      <c r="A1038" s="1" t="s">
        <v>3893</v>
      </c>
      <c r="B1038" s="1" t="s">
        <v>3894</v>
      </c>
      <c r="C1038" s="1" t="s">
        <v>3895</v>
      </c>
      <c r="D1038" s="2">
        <v>249.0</v>
      </c>
      <c r="E1038" s="2">
        <v>499.0</v>
      </c>
      <c r="F1038" s="3">
        <f t="shared" si="7"/>
        <v>0.501002004</v>
      </c>
      <c r="G1038" s="4">
        <f>IFERROR(__xludf.DUMMYFUNCTION("GOOGLEFINANCE(""CURRENCY:INRBRL"")*D1038"),14.889581613479999)</f>
        <v>14.88958161</v>
      </c>
      <c r="H1038" s="1">
        <v>4.49</v>
      </c>
      <c r="I1038" s="1">
        <v>8427.0</v>
      </c>
      <c r="J1038" s="1" t="s">
        <v>3896</v>
      </c>
      <c r="K1038" s="5" t="s">
        <v>3897</v>
      </c>
    </row>
    <row r="1039">
      <c r="A1039" s="1" t="s">
        <v>3898</v>
      </c>
      <c r="B1039" s="1" t="s">
        <v>3899</v>
      </c>
      <c r="C1039" s="1" t="s">
        <v>3900</v>
      </c>
      <c r="D1039" s="2">
        <v>625.0</v>
      </c>
      <c r="E1039" s="2">
        <v>1399.0</v>
      </c>
      <c r="F1039" s="3">
        <f t="shared" si="7"/>
        <v>0.5532523231</v>
      </c>
      <c r="G1039" s="4">
        <f>IFERROR(__xludf.DUMMYFUNCTION("GOOGLEFINANCE(""CURRENCY:INRBRL"")*D1039"),37.373447825)</f>
        <v>37.37344783</v>
      </c>
      <c r="H1039" s="1">
        <v>4.49</v>
      </c>
      <c r="I1039" s="1">
        <v>23316.0</v>
      </c>
      <c r="J1039" s="1" t="s">
        <v>3901</v>
      </c>
      <c r="K1039" s="5" t="s">
        <v>3902</v>
      </c>
    </row>
    <row r="1040">
      <c r="A1040" s="1" t="s">
        <v>3903</v>
      </c>
      <c r="B1040" s="1" t="s">
        <v>3904</v>
      </c>
      <c r="C1040" s="1" t="s">
        <v>3905</v>
      </c>
      <c r="D1040" s="2">
        <v>1299.0</v>
      </c>
      <c r="E1040" s="2">
        <v>2499.0</v>
      </c>
      <c r="F1040" s="3">
        <f t="shared" si="7"/>
        <v>0.4801920768</v>
      </c>
      <c r="G1040" s="4">
        <f>IFERROR(__xludf.DUMMYFUNCTION("GOOGLEFINANCE(""CURRENCY:INRBRL"")*D1040"),77.67697395948)</f>
        <v>77.67697396</v>
      </c>
      <c r="H1040" s="1">
        <v>4.49</v>
      </c>
      <c r="I1040" s="1">
        <v>653.0</v>
      </c>
      <c r="J1040" s="1" t="s">
        <v>3906</v>
      </c>
      <c r="K1040" s="5" t="s">
        <v>3907</v>
      </c>
    </row>
    <row r="1041">
      <c r="A1041" s="1" t="s">
        <v>3908</v>
      </c>
      <c r="B1041" s="1" t="s">
        <v>3909</v>
      </c>
      <c r="C1041" s="1" t="s">
        <v>3910</v>
      </c>
      <c r="D1041" s="2">
        <v>3599.0</v>
      </c>
      <c r="E1041" s="2">
        <v>6199.0</v>
      </c>
      <c r="F1041" s="3">
        <f t="shared" si="7"/>
        <v>0.4194224875</v>
      </c>
      <c r="G1041" s="4">
        <f>IFERROR(__xludf.DUMMYFUNCTION("GOOGLEFINANCE(""CURRENCY:INRBRL"")*D1041"),215.21126195547998)</f>
        <v>215.211262</v>
      </c>
      <c r="H1041" s="1">
        <v>4.49</v>
      </c>
      <c r="I1041" s="1">
        <v>11924.0</v>
      </c>
      <c r="J1041" s="1" t="s">
        <v>3911</v>
      </c>
      <c r="K1041" s="5" t="s">
        <v>3912</v>
      </c>
    </row>
    <row r="1042">
      <c r="A1042" s="1" t="s">
        <v>3913</v>
      </c>
      <c r="B1042" s="1" t="s">
        <v>3914</v>
      </c>
      <c r="C1042" s="1" t="s">
        <v>3915</v>
      </c>
      <c r="D1042" s="2">
        <v>6549.0</v>
      </c>
      <c r="E1042" s="2">
        <v>13999.0</v>
      </c>
      <c r="F1042" s="3">
        <f t="shared" si="7"/>
        <v>0.5321808701</v>
      </c>
      <c r="G1042" s="4">
        <f>IFERROR(__xludf.DUMMYFUNCTION("GOOGLEFINANCE(""CURRENCY:INRBRL"")*D1042"),391.61393568948)</f>
        <v>391.6139357</v>
      </c>
      <c r="H1042" s="1">
        <v>4.49</v>
      </c>
      <c r="I1042" s="1">
        <v>2961.0</v>
      </c>
      <c r="J1042" s="1" t="s">
        <v>3916</v>
      </c>
      <c r="K1042" s="5" t="s">
        <v>3917</v>
      </c>
    </row>
    <row r="1043">
      <c r="A1043" s="1" t="s">
        <v>3918</v>
      </c>
      <c r="B1043" s="1" t="s">
        <v>3919</v>
      </c>
      <c r="C1043" s="1" t="s">
        <v>3832</v>
      </c>
      <c r="D1043" s="2">
        <v>1625.0</v>
      </c>
      <c r="E1043" s="2">
        <v>2995.0</v>
      </c>
      <c r="F1043" s="3">
        <f t="shared" si="7"/>
        <v>0.4574290484</v>
      </c>
      <c r="G1043" s="4">
        <f>IFERROR(__xludf.DUMMYFUNCTION("GOOGLEFINANCE(""CURRENCY:INRBRL"")*D1043"),97.17096434499999)</f>
        <v>97.17096435</v>
      </c>
      <c r="H1043" s="1">
        <v>4.49</v>
      </c>
      <c r="I1043" s="1">
        <v>23484.0</v>
      </c>
      <c r="J1043" s="1" t="s">
        <v>3920</v>
      </c>
      <c r="K1043" s="5" t="s">
        <v>3921</v>
      </c>
    </row>
    <row r="1044">
      <c r="A1044" s="1" t="s">
        <v>3922</v>
      </c>
      <c r="B1044" s="1" t="s">
        <v>3923</v>
      </c>
      <c r="C1044" s="1" t="s">
        <v>3910</v>
      </c>
      <c r="D1044" s="2">
        <v>2599.0</v>
      </c>
      <c r="E1044" s="2">
        <v>5899.0</v>
      </c>
      <c r="F1044" s="3">
        <f t="shared" si="7"/>
        <v>0.5594168503</v>
      </c>
      <c r="G1044" s="4">
        <f>IFERROR(__xludf.DUMMYFUNCTION("GOOGLEFINANCE(""CURRENCY:INRBRL"")*D1044"),155.41374543548)</f>
        <v>155.4137454</v>
      </c>
      <c r="H1044" s="1">
        <v>4.49</v>
      </c>
      <c r="I1044" s="1">
        <v>21783.0</v>
      </c>
      <c r="J1044" s="1" t="s">
        <v>3924</v>
      </c>
      <c r="K1044" s="5" t="s">
        <v>3925</v>
      </c>
    </row>
    <row r="1045">
      <c r="A1045" s="1" t="s">
        <v>3926</v>
      </c>
      <c r="B1045" s="1" t="s">
        <v>3927</v>
      </c>
      <c r="C1045" s="1" t="s">
        <v>3928</v>
      </c>
      <c r="D1045" s="2">
        <v>1199.0</v>
      </c>
      <c r="E1045" s="2">
        <v>1999.0</v>
      </c>
      <c r="F1045" s="3">
        <f t="shared" si="7"/>
        <v>0.4002001001</v>
      </c>
      <c r="G1045" s="4">
        <f>IFERROR(__xludf.DUMMYFUNCTION("GOOGLEFINANCE(""CURRENCY:INRBRL"")*D1045"),71.69722230747999)</f>
        <v>71.69722231</v>
      </c>
      <c r="H1045" s="1">
        <v>4.49</v>
      </c>
      <c r="I1045" s="1">
        <v>1403.0</v>
      </c>
      <c r="J1045" s="1" t="s">
        <v>3929</v>
      </c>
      <c r="K1045" s="5" t="s">
        <v>3930</v>
      </c>
    </row>
    <row r="1046">
      <c r="A1046" s="1" t="s">
        <v>3931</v>
      </c>
      <c r="B1046" s="1" t="s">
        <v>3932</v>
      </c>
      <c r="C1046" s="1" t="s">
        <v>3933</v>
      </c>
      <c r="D1046" s="2">
        <v>5499.0</v>
      </c>
      <c r="E1046" s="2">
        <v>13149.0</v>
      </c>
      <c r="F1046" s="3">
        <f t="shared" si="7"/>
        <v>0.5817932923</v>
      </c>
      <c r="G1046" s="4">
        <f>IFERROR(__xludf.DUMMYFUNCTION("GOOGLEFINANCE(""CURRENCY:INRBRL"")*D1046"),328.82654334347995)</f>
        <v>328.8265433</v>
      </c>
      <c r="H1046" s="1">
        <v>4.49</v>
      </c>
      <c r="I1046" s="1">
        <v>6398.0</v>
      </c>
      <c r="J1046" s="1" t="s">
        <v>3934</v>
      </c>
      <c r="K1046" s="5" t="s">
        <v>3935</v>
      </c>
    </row>
    <row r="1047">
      <c r="A1047" s="1" t="s">
        <v>3936</v>
      </c>
      <c r="B1047" s="1" t="s">
        <v>3937</v>
      </c>
      <c r="C1047" s="1" t="s">
        <v>3905</v>
      </c>
      <c r="D1047" s="2">
        <v>1299.0</v>
      </c>
      <c r="E1047" s="2">
        <v>3499.0</v>
      </c>
      <c r="F1047" s="3">
        <f t="shared" si="7"/>
        <v>0.6287510717</v>
      </c>
      <c r="G1047" s="4">
        <f>IFERROR(__xludf.DUMMYFUNCTION("GOOGLEFINANCE(""CURRENCY:INRBRL"")*D1047"),77.67697395948)</f>
        <v>77.67697396</v>
      </c>
      <c r="H1047" s="1">
        <v>4.49</v>
      </c>
      <c r="I1047" s="1">
        <v>4405.0</v>
      </c>
      <c r="J1047" s="1" t="s">
        <v>3938</v>
      </c>
      <c r="K1047" s="5" t="s">
        <v>3939</v>
      </c>
    </row>
    <row r="1048">
      <c r="A1048" s="1" t="s">
        <v>3940</v>
      </c>
      <c r="B1048" s="1" t="s">
        <v>3941</v>
      </c>
      <c r="C1048" s="1" t="s">
        <v>3900</v>
      </c>
      <c r="D1048" s="2">
        <v>599.0</v>
      </c>
      <c r="E1048" s="2">
        <v>785.0</v>
      </c>
      <c r="F1048" s="3">
        <f t="shared" si="7"/>
        <v>0.2369426752</v>
      </c>
      <c r="G1048" s="4">
        <f>IFERROR(__xludf.DUMMYFUNCTION("GOOGLEFINANCE(""CURRENCY:INRBRL"")*D1048"),35.81871239548)</f>
        <v>35.8187124</v>
      </c>
      <c r="H1048" s="1">
        <v>4.49</v>
      </c>
      <c r="I1048" s="1">
        <v>24247.0</v>
      </c>
      <c r="J1048" s="1" t="s">
        <v>3942</v>
      </c>
      <c r="K1048" s="5" t="s">
        <v>3943</v>
      </c>
    </row>
    <row r="1049">
      <c r="A1049" s="1" t="s">
        <v>3944</v>
      </c>
      <c r="B1049" s="1" t="s">
        <v>3945</v>
      </c>
      <c r="C1049" s="1" t="s">
        <v>3905</v>
      </c>
      <c r="D1049" s="2">
        <v>1999.0</v>
      </c>
      <c r="E1049" s="2">
        <v>3209.0</v>
      </c>
      <c r="F1049" s="3">
        <f t="shared" si="7"/>
        <v>0.3770645061</v>
      </c>
      <c r="G1049" s="4">
        <f>IFERROR(__xludf.DUMMYFUNCTION("GOOGLEFINANCE(""CURRENCY:INRBRL"")*D1049"),119.53523552348)</f>
        <v>119.5352355</v>
      </c>
      <c r="H1049" s="1">
        <v>4.49</v>
      </c>
      <c r="I1049" s="1">
        <v>41349.0</v>
      </c>
      <c r="J1049" s="1" t="s">
        <v>3946</v>
      </c>
      <c r="K1049" s="5" t="s">
        <v>3947</v>
      </c>
    </row>
    <row r="1050">
      <c r="A1050" s="1" t="s">
        <v>3948</v>
      </c>
      <c r="B1050" s="1" t="s">
        <v>3949</v>
      </c>
      <c r="C1050" s="1" t="s">
        <v>3928</v>
      </c>
      <c r="D1050" s="2">
        <v>549.0</v>
      </c>
      <c r="E1050" s="2">
        <v>999.0</v>
      </c>
      <c r="F1050" s="3">
        <f t="shared" si="7"/>
        <v>0.4504504505</v>
      </c>
      <c r="G1050" s="4">
        <f>IFERROR(__xludf.DUMMYFUNCTION("GOOGLEFINANCE(""CURRENCY:INRBRL"")*D1050"),32.828836569479996)</f>
        <v>32.82883657</v>
      </c>
      <c r="H1050" s="1">
        <v>4.49</v>
      </c>
      <c r="I1050" s="1">
        <v>1074.0</v>
      </c>
      <c r="J1050" s="1" t="s">
        <v>3950</v>
      </c>
      <c r="K1050" s="5" t="s">
        <v>3951</v>
      </c>
    </row>
    <row r="1051">
      <c r="A1051" s="1" t="s">
        <v>3952</v>
      </c>
      <c r="B1051" s="1" t="s">
        <v>3953</v>
      </c>
      <c r="C1051" s="1" t="s">
        <v>3837</v>
      </c>
      <c r="D1051" s="2">
        <v>999.0</v>
      </c>
      <c r="E1051" s="2">
        <v>1999.0</v>
      </c>
      <c r="F1051" s="3">
        <f t="shared" si="7"/>
        <v>0.5002501251</v>
      </c>
      <c r="G1051" s="4">
        <f>IFERROR(__xludf.DUMMYFUNCTION("GOOGLEFINANCE(""CURRENCY:INRBRL"")*D1051"),59.737719003479995)</f>
        <v>59.737719</v>
      </c>
      <c r="H1051" s="1">
        <v>4.49</v>
      </c>
      <c r="I1051" s="1">
        <v>1163.0</v>
      </c>
      <c r="J1051" s="1" t="s">
        <v>3954</v>
      </c>
      <c r="K1051" s="5" t="s">
        <v>3955</v>
      </c>
    </row>
    <row r="1052">
      <c r="A1052" s="1" t="s">
        <v>3956</v>
      </c>
      <c r="B1052" s="1" t="s">
        <v>3957</v>
      </c>
      <c r="C1052" s="1" t="s">
        <v>3847</v>
      </c>
      <c r="D1052" s="2">
        <v>398.0</v>
      </c>
      <c r="E1052" s="2">
        <v>1999.0</v>
      </c>
      <c r="F1052" s="3">
        <f t="shared" si="7"/>
        <v>0.8009004502</v>
      </c>
      <c r="G1052" s="4">
        <f>IFERROR(__xludf.DUMMYFUNCTION("GOOGLEFINANCE(""CURRENCY:INRBRL"")*D1052"),23.799411574959997)</f>
        <v>23.79941157</v>
      </c>
      <c r="H1052" s="1">
        <v>4.49</v>
      </c>
      <c r="I1052" s="1">
        <v>257.0</v>
      </c>
      <c r="J1052" s="1" t="s">
        <v>3958</v>
      </c>
      <c r="K1052" s="5" t="s">
        <v>3959</v>
      </c>
    </row>
    <row r="1053">
      <c r="A1053" s="1" t="s">
        <v>3960</v>
      </c>
      <c r="B1053" s="1" t="s">
        <v>3961</v>
      </c>
      <c r="C1053" s="1" t="s">
        <v>3962</v>
      </c>
      <c r="D1053" s="2">
        <v>539.0</v>
      </c>
      <c r="E1053" s="2">
        <v>720.0</v>
      </c>
      <c r="F1053" s="3">
        <f t="shared" si="7"/>
        <v>0.2513888889</v>
      </c>
      <c r="G1053" s="4">
        <f>IFERROR(__xludf.DUMMYFUNCTION("GOOGLEFINANCE(""CURRENCY:INRBRL"")*D1053"),32.23086140428)</f>
        <v>32.2308614</v>
      </c>
      <c r="H1053" s="1">
        <v>4.49</v>
      </c>
      <c r="I1053" s="1">
        <v>36017.0</v>
      </c>
      <c r="J1053" s="1" t="s">
        <v>3963</v>
      </c>
      <c r="K1053" s="5" t="s">
        <v>3964</v>
      </c>
    </row>
    <row r="1054">
      <c r="A1054" s="1" t="s">
        <v>3965</v>
      </c>
      <c r="B1054" s="1" t="s">
        <v>3966</v>
      </c>
      <c r="C1054" s="1" t="s">
        <v>3832</v>
      </c>
      <c r="D1054" s="2">
        <v>699.0</v>
      </c>
      <c r="E1054" s="2">
        <v>1595.0</v>
      </c>
      <c r="F1054" s="3">
        <f t="shared" si="7"/>
        <v>0.5617554859</v>
      </c>
      <c r="G1054" s="4">
        <f>IFERROR(__xludf.DUMMYFUNCTION("GOOGLEFINANCE(""CURRENCY:INRBRL"")*D1054"),41.798464047479996)</f>
        <v>41.79846405</v>
      </c>
      <c r="H1054" s="1">
        <v>4.49</v>
      </c>
      <c r="I1054" s="1">
        <v>809.0</v>
      </c>
      <c r="J1054" s="1" t="s">
        <v>3967</v>
      </c>
      <c r="K1054" s="5" t="s">
        <v>3968</v>
      </c>
    </row>
    <row r="1055">
      <c r="A1055" s="1" t="s">
        <v>3969</v>
      </c>
      <c r="B1055" s="1" t="s">
        <v>3970</v>
      </c>
      <c r="C1055" s="1" t="s">
        <v>3878</v>
      </c>
      <c r="D1055" s="2">
        <v>2148.0</v>
      </c>
      <c r="E1055" s="2">
        <v>3645.0</v>
      </c>
      <c r="F1055" s="3">
        <f t="shared" si="7"/>
        <v>0.4106995885</v>
      </c>
      <c r="G1055" s="4">
        <f>IFERROR(__xludf.DUMMYFUNCTION("GOOGLEFINANCE(""CURRENCY:INRBRL"")*D1055"),128.44506548496)</f>
        <v>128.4450655</v>
      </c>
      <c r="H1055" s="1">
        <v>4.49</v>
      </c>
      <c r="I1055" s="1">
        <v>31388.0</v>
      </c>
      <c r="J1055" s="1" t="s">
        <v>3971</v>
      </c>
      <c r="K1055" s="5" t="s">
        <v>3972</v>
      </c>
    </row>
    <row r="1056">
      <c r="A1056" s="1" t="s">
        <v>3973</v>
      </c>
      <c r="B1056" s="1" t="s">
        <v>3974</v>
      </c>
      <c r="C1056" s="1" t="s">
        <v>3975</v>
      </c>
      <c r="D1056" s="2">
        <v>3599.0</v>
      </c>
      <c r="E1056" s="2">
        <v>7949.0</v>
      </c>
      <c r="F1056" s="3">
        <f t="shared" si="7"/>
        <v>0.5472386464</v>
      </c>
      <c r="G1056" s="4">
        <f>IFERROR(__xludf.DUMMYFUNCTION("GOOGLEFINANCE(""CURRENCY:INRBRL"")*D1056"),215.21126195547998)</f>
        <v>215.211262</v>
      </c>
      <c r="H1056" s="1">
        <v>4.49</v>
      </c>
      <c r="I1056" s="1">
        <v>136.0</v>
      </c>
      <c r="J1056" s="1" t="s">
        <v>3976</v>
      </c>
      <c r="K1056" s="5" t="s">
        <v>3977</v>
      </c>
    </row>
    <row r="1057">
      <c r="A1057" s="1" t="s">
        <v>3978</v>
      </c>
      <c r="B1057" s="1" t="s">
        <v>3979</v>
      </c>
      <c r="C1057" s="1" t="s">
        <v>3980</v>
      </c>
      <c r="D1057" s="2">
        <v>351.0</v>
      </c>
      <c r="E1057" s="2">
        <v>999.0</v>
      </c>
      <c r="F1057" s="3">
        <f t="shared" si="7"/>
        <v>0.6486486486</v>
      </c>
      <c r="G1057" s="4">
        <f>IFERROR(__xludf.DUMMYFUNCTION("GOOGLEFINANCE(""CURRENCY:INRBRL"")*D1057"),20.988928298519998)</f>
        <v>20.9889283</v>
      </c>
      <c r="H1057" s="1">
        <v>4.49</v>
      </c>
      <c r="I1057" s="1">
        <v>538.0</v>
      </c>
      <c r="J1057" s="1" t="s">
        <v>3981</v>
      </c>
      <c r="K1057" s="5" t="s">
        <v>3982</v>
      </c>
    </row>
    <row r="1058">
      <c r="A1058" s="1" t="s">
        <v>3983</v>
      </c>
      <c r="B1058" s="1" t="s">
        <v>3984</v>
      </c>
      <c r="C1058" s="1" t="s">
        <v>3985</v>
      </c>
      <c r="D1058" s="2">
        <v>1614.0</v>
      </c>
      <c r="E1058" s="2">
        <v>1745.0</v>
      </c>
      <c r="F1058" s="3">
        <f t="shared" si="7"/>
        <v>0.07507163324</v>
      </c>
      <c r="G1058" s="4">
        <f>IFERROR(__xludf.DUMMYFUNCTION("GOOGLEFINANCE(""CURRENCY:INRBRL"")*D1058"),96.51319166328)</f>
        <v>96.51319166</v>
      </c>
      <c r="H1058" s="1">
        <v>4.49</v>
      </c>
      <c r="I1058" s="1">
        <v>37974.0</v>
      </c>
      <c r="J1058" s="1" t="s">
        <v>3986</v>
      </c>
      <c r="K1058" s="5" t="s">
        <v>3987</v>
      </c>
    </row>
    <row r="1059">
      <c r="A1059" s="1" t="s">
        <v>3988</v>
      </c>
      <c r="B1059" s="1" t="s">
        <v>3989</v>
      </c>
      <c r="C1059" s="1" t="s">
        <v>3962</v>
      </c>
      <c r="D1059" s="2">
        <v>719.0</v>
      </c>
      <c r="E1059" s="2">
        <v>1295.0</v>
      </c>
      <c r="F1059" s="3">
        <f t="shared" si="7"/>
        <v>0.4447876448</v>
      </c>
      <c r="G1059" s="4">
        <f>IFERROR(__xludf.DUMMYFUNCTION("GOOGLEFINANCE(""CURRENCY:INRBRL"")*D1059"),42.99441437788)</f>
        <v>42.99441438</v>
      </c>
      <c r="H1059" s="1">
        <v>4.49</v>
      </c>
      <c r="I1059" s="1">
        <v>17218.0</v>
      </c>
      <c r="J1059" s="1" t="s">
        <v>3990</v>
      </c>
      <c r="K1059" s="5" t="s">
        <v>3991</v>
      </c>
    </row>
    <row r="1060">
      <c r="A1060" s="1" t="s">
        <v>3992</v>
      </c>
      <c r="B1060" s="1" t="s">
        <v>3993</v>
      </c>
      <c r="C1060" s="1" t="s">
        <v>3847</v>
      </c>
      <c r="D1060" s="2">
        <v>678.0</v>
      </c>
      <c r="E1060" s="2">
        <v>1499.0</v>
      </c>
      <c r="F1060" s="3">
        <f t="shared" si="7"/>
        <v>0.5476984656</v>
      </c>
      <c r="G1060" s="4">
        <f>IFERROR(__xludf.DUMMYFUNCTION("GOOGLEFINANCE(""CURRENCY:INRBRL"")*D1060"),40.54271620056)</f>
        <v>40.5427162</v>
      </c>
      <c r="H1060" s="1">
        <v>4.49</v>
      </c>
      <c r="I1060" s="1">
        <v>900.0</v>
      </c>
      <c r="J1060" s="1" t="s">
        <v>3994</v>
      </c>
      <c r="K1060" s="5" t="s">
        <v>3995</v>
      </c>
    </row>
    <row r="1061">
      <c r="A1061" s="1" t="s">
        <v>3996</v>
      </c>
      <c r="B1061" s="1" t="s">
        <v>3997</v>
      </c>
      <c r="C1061" s="1" t="s">
        <v>3928</v>
      </c>
      <c r="D1061" s="2">
        <v>809.0</v>
      </c>
      <c r="E1061" s="2">
        <v>1545.0</v>
      </c>
      <c r="F1061" s="3">
        <f t="shared" si="7"/>
        <v>0.4763754045</v>
      </c>
      <c r="G1061" s="4">
        <f>IFERROR(__xludf.DUMMYFUNCTION("GOOGLEFINANCE(""CURRENCY:INRBRL"")*D1061"),48.37619086468)</f>
        <v>48.37619086</v>
      </c>
      <c r="H1061" s="1">
        <v>4.49</v>
      </c>
      <c r="I1061" s="1">
        <v>976.0</v>
      </c>
      <c r="J1061" s="1" t="s">
        <v>3998</v>
      </c>
      <c r="K1061" s="5" t="s">
        <v>3999</v>
      </c>
    </row>
    <row r="1062">
      <c r="A1062" s="1" t="s">
        <v>4000</v>
      </c>
      <c r="B1062" s="1" t="s">
        <v>4001</v>
      </c>
      <c r="C1062" s="1" t="s">
        <v>4002</v>
      </c>
      <c r="D1062" s="2">
        <v>1969.0</v>
      </c>
      <c r="E1062" s="2">
        <v>4999.0</v>
      </c>
      <c r="F1062" s="3">
        <f t="shared" si="7"/>
        <v>0.6061212242</v>
      </c>
      <c r="G1062" s="4">
        <f>IFERROR(__xludf.DUMMYFUNCTION("GOOGLEFINANCE(""CURRENCY:INRBRL"")*D1062"),117.74131002787999)</f>
        <v>117.74131</v>
      </c>
      <c r="H1062" s="1">
        <v>4.49</v>
      </c>
      <c r="I1062" s="1">
        <v>4927.0</v>
      </c>
      <c r="J1062" s="1" t="s">
        <v>4003</v>
      </c>
      <c r="K1062" s="5" t="s">
        <v>4004</v>
      </c>
    </row>
    <row r="1063">
      <c r="A1063" s="1" t="s">
        <v>4005</v>
      </c>
      <c r="B1063" s="1" t="s">
        <v>4006</v>
      </c>
      <c r="C1063" s="1" t="s">
        <v>3847</v>
      </c>
      <c r="D1063" s="2">
        <v>1499.0</v>
      </c>
      <c r="E1063" s="2">
        <v>1695.0</v>
      </c>
      <c r="F1063" s="3">
        <f t="shared" si="7"/>
        <v>0.1156342183</v>
      </c>
      <c r="G1063" s="4">
        <f>IFERROR(__xludf.DUMMYFUNCTION("GOOGLEFINANCE(""CURRENCY:INRBRL"")*D1063"),89.63647726347999)</f>
        <v>89.63647726</v>
      </c>
      <c r="H1063" s="1">
        <v>4.49</v>
      </c>
      <c r="I1063" s="1">
        <v>3543.0</v>
      </c>
      <c r="J1063" s="1" t="s">
        <v>4007</v>
      </c>
      <c r="K1063" s="5" t="s">
        <v>4008</v>
      </c>
    </row>
    <row r="1064">
      <c r="A1064" s="1" t="s">
        <v>4009</v>
      </c>
      <c r="B1064" s="1" t="s">
        <v>4010</v>
      </c>
      <c r="C1064" s="1" t="s">
        <v>3837</v>
      </c>
      <c r="D1064" s="2">
        <v>2499.0</v>
      </c>
      <c r="E1064" s="2">
        <v>3945.0</v>
      </c>
      <c r="F1064" s="3">
        <f t="shared" si="7"/>
        <v>0.366539924</v>
      </c>
      <c r="G1064" s="4">
        <f>IFERROR(__xludf.DUMMYFUNCTION("GOOGLEFINANCE(""CURRENCY:INRBRL"")*D1064"),149.43399378348)</f>
        <v>149.4339938</v>
      </c>
      <c r="H1064" s="1">
        <v>4.49</v>
      </c>
      <c r="I1064" s="1">
        <v>2732.0</v>
      </c>
      <c r="J1064" s="1" t="s">
        <v>4011</v>
      </c>
      <c r="K1064" s="5" t="s">
        <v>4012</v>
      </c>
    </row>
    <row r="1065">
      <c r="A1065" s="1" t="s">
        <v>4013</v>
      </c>
      <c r="B1065" s="1" t="s">
        <v>4014</v>
      </c>
      <c r="C1065" s="1" t="s">
        <v>4015</v>
      </c>
      <c r="D1065" s="2">
        <v>1665.0</v>
      </c>
      <c r="E1065" s="2">
        <v>2099.0</v>
      </c>
      <c r="F1065" s="3">
        <f t="shared" si="7"/>
        <v>0.2067651263</v>
      </c>
      <c r="G1065" s="4">
        <f>IFERROR(__xludf.DUMMYFUNCTION("GOOGLEFINANCE(""CURRENCY:INRBRL"")*D1065"),99.56286500579999)</f>
        <v>99.56286501</v>
      </c>
      <c r="H1065" s="1">
        <v>4.49</v>
      </c>
      <c r="I1065" s="1">
        <v>14368.0</v>
      </c>
      <c r="J1065" s="1" t="s">
        <v>4016</v>
      </c>
      <c r="K1065" s="5" t="s">
        <v>4017</v>
      </c>
    </row>
    <row r="1066">
      <c r="A1066" s="1" t="s">
        <v>4018</v>
      </c>
      <c r="B1066" s="1" t="s">
        <v>4019</v>
      </c>
      <c r="C1066" s="1" t="s">
        <v>3878</v>
      </c>
      <c r="D1066" s="2">
        <v>3229.0</v>
      </c>
      <c r="E1066" s="2">
        <v>5295.0</v>
      </c>
      <c r="F1066" s="3">
        <f t="shared" si="7"/>
        <v>0.3901794145</v>
      </c>
      <c r="G1066" s="4">
        <f>IFERROR(__xludf.DUMMYFUNCTION("GOOGLEFINANCE(""CURRENCY:INRBRL"")*D1066"),193.08618084308)</f>
        <v>193.0861808</v>
      </c>
      <c r="H1066" s="1">
        <v>4.49</v>
      </c>
      <c r="I1066" s="1">
        <v>39724.0</v>
      </c>
      <c r="J1066" s="1" t="s">
        <v>4020</v>
      </c>
      <c r="K1066" s="5" t="s">
        <v>4021</v>
      </c>
    </row>
    <row r="1067">
      <c r="A1067" s="1" t="s">
        <v>4022</v>
      </c>
      <c r="B1067" s="1" t="s">
        <v>4023</v>
      </c>
      <c r="C1067" s="1" t="s">
        <v>3878</v>
      </c>
      <c r="D1067" s="2">
        <v>1799.0</v>
      </c>
      <c r="E1067" s="2">
        <v>3595.0</v>
      </c>
      <c r="F1067" s="3">
        <f t="shared" si="7"/>
        <v>0.4995827538</v>
      </c>
      <c r="G1067" s="4">
        <f>IFERROR(__xludf.DUMMYFUNCTION("GOOGLEFINANCE(""CURRENCY:INRBRL"")*D1067"),107.57573221947999)</f>
        <v>107.5757322</v>
      </c>
      <c r="H1067" s="1">
        <v>4.49</v>
      </c>
      <c r="I1067" s="1">
        <v>9791.0</v>
      </c>
      <c r="J1067" s="1" t="s">
        <v>4024</v>
      </c>
      <c r="K1067" s="5" t="s">
        <v>4025</v>
      </c>
    </row>
    <row r="1068">
      <c r="A1068" s="1" t="s">
        <v>4026</v>
      </c>
      <c r="B1068" s="1" t="s">
        <v>4027</v>
      </c>
      <c r="C1068" s="1" t="s">
        <v>3832</v>
      </c>
      <c r="D1068" s="2">
        <v>1269.0</v>
      </c>
      <c r="E1068" s="2">
        <v>1699.0</v>
      </c>
      <c r="F1068" s="3">
        <f t="shared" si="7"/>
        <v>0.253090053</v>
      </c>
      <c r="G1068" s="4">
        <f>IFERROR(__xludf.DUMMYFUNCTION("GOOGLEFINANCE(""CURRENCY:INRBRL"")*D1068"),75.88304846388)</f>
        <v>75.88304846</v>
      </c>
      <c r="H1068" s="1">
        <v>4.49</v>
      </c>
      <c r="I1068" s="1">
        <v>2891.0</v>
      </c>
      <c r="J1068" s="1" t="s">
        <v>4028</v>
      </c>
      <c r="K1068" s="5" t="s">
        <v>4029</v>
      </c>
    </row>
    <row r="1069">
      <c r="A1069" s="1" t="s">
        <v>4030</v>
      </c>
      <c r="B1069" s="1" t="s">
        <v>4031</v>
      </c>
      <c r="C1069" s="1" t="s">
        <v>3837</v>
      </c>
      <c r="D1069" s="2">
        <v>749.0</v>
      </c>
      <c r="E1069" s="2">
        <v>1129.0</v>
      </c>
      <c r="F1069" s="3">
        <f t="shared" si="7"/>
        <v>0.3365810452</v>
      </c>
      <c r="G1069" s="4">
        <f>IFERROR(__xludf.DUMMYFUNCTION("GOOGLEFINANCE(""CURRENCY:INRBRL"")*D1069"),44.78833987348)</f>
        <v>44.78833987</v>
      </c>
      <c r="H1069" s="1">
        <v>4.49</v>
      </c>
      <c r="I1069" s="1">
        <v>2446.0</v>
      </c>
      <c r="J1069" s="1" t="s">
        <v>4032</v>
      </c>
      <c r="K1069" s="5" t="s">
        <v>4033</v>
      </c>
    </row>
    <row r="1070">
      <c r="A1070" s="1" t="s">
        <v>4034</v>
      </c>
      <c r="B1070" s="1" t="s">
        <v>4035</v>
      </c>
      <c r="C1070" s="1" t="s">
        <v>3905</v>
      </c>
      <c r="D1070" s="2">
        <v>3499.0</v>
      </c>
      <c r="E1070" s="2">
        <v>5795.0</v>
      </c>
      <c r="F1070" s="3">
        <f t="shared" si="7"/>
        <v>0.3962036238</v>
      </c>
      <c r="G1070" s="4">
        <f>IFERROR(__xludf.DUMMYFUNCTION("GOOGLEFINANCE(""CURRENCY:INRBRL"")*D1070"),209.23151030347998)</f>
        <v>209.2315103</v>
      </c>
      <c r="H1070" s="1">
        <v>4.49</v>
      </c>
      <c r="I1070" s="1">
        <v>2534.0</v>
      </c>
      <c r="J1070" s="1" t="s">
        <v>4036</v>
      </c>
      <c r="K1070" s="5" t="s">
        <v>4037</v>
      </c>
    </row>
    <row r="1071">
      <c r="A1071" s="1" t="s">
        <v>4038</v>
      </c>
      <c r="B1071" s="1" t="s">
        <v>4039</v>
      </c>
      <c r="C1071" s="1" t="s">
        <v>4040</v>
      </c>
      <c r="D1071" s="2">
        <v>379.0</v>
      </c>
      <c r="E1071" s="2">
        <v>999.0</v>
      </c>
      <c r="F1071" s="3">
        <f t="shared" si="7"/>
        <v>0.6206206206</v>
      </c>
      <c r="G1071" s="4">
        <f>IFERROR(__xludf.DUMMYFUNCTION("GOOGLEFINANCE(""CURRENCY:INRBRL"")*D1071"),22.663258761079998)</f>
        <v>22.66325876</v>
      </c>
      <c r="H1071" s="1">
        <v>4.49</v>
      </c>
      <c r="I1071" s="1">
        <v>3096.0</v>
      </c>
      <c r="J1071" s="1" t="s">
        <v>4041</v>
      </c>
      <c r="K1071" s="5" t="s">
        <v>4042</v>
      </c>
    </row>
    <row r="1072">
      <c r="A1072" s="1" t="s">
        <v>4043</v>
      </c>
      <c r="B1072" s="1" t="s">
        <v>4044</v>
      </c>
      <c r="C1072" s="1" t="s">
        <v>3837</v>
      </c>
      <c r="D1072" s="2">
        <v>1099.0</v>
      </c>
      <c r="E1072" s="2">
        <v>2399.0</v>
      </c>
      <c r="F1072" s="3">
        <f t="shared" si="7"/>
        <v>0.5418924552</v>
      </c>
      <c r="G1072" s="4">
        <f>IFERROR(__xludf.DUMMYFUNCTION("GOOGLEFINANCE(""CURRENCY:INRBRL"")*D1072"),65.71747065548)</f>
        <v>65.71747066</v>
      </c>
      <c r="H1072" s="1">
        <v>4.49</v>
      </c>
      <c r="I1072" s="1">
        <v>4.0</v>
      </c>
      <c r="J1072" s="1" t="s">
        <v>4045</v>
      </c>
      <c r="K1072" s="5" t="s">
        <v>4046</v>
      </c>
    </row>
    <row r="1073">
      <c r="A1073" s="1" t="s">
        <v>4047</v>
      </c>
      <c r="B1073" s="1" t="s">
        <v>4048</v>
      </c>
      <c r="C1073" s="1" t="s">
        <v>3928</v>
      </c>
      <c r="D1073" s="2">
        <v>749.0</v>
      </c>
      <c r="E1073" s="2">
        <v>1299.0</v>
      </c>
      <c r="F1073" s="3">
        <f t="shared" si="7"/>
        <v>0.4234026174</v>
      </c>
      <c r="G1073" s="4">
        <f>IFERROR(__xludf.DUMMYFUNCTION("GOOGLEFINANCE(""CURRENCY:INRBRL"")*D1073"),44.78833987348)</f>
        <v>44.78833987</v>
      </c>
      <c r="H1073" s="1">
        <v>4.49</v>
      </c>
      <c r="I1073" s="1">
        <v>119.0</v>
      </c>
      <c r="J1073" s="1" t="s">
        <v>4049</v>
      </c>
      <c r="K1073" s="5" t="s">
        <v>4050</v>
      </c>
    </row>
    <row r="1074">
      <c r="A1074" s="1" t="s">
        <v>4051</v>
      </c>
      <c r="B1074" s="1" t="s">
        <v>4052</v>
      </c>
      <c r="C1074" s="1" t="s">
        <v>4053</v>
      </c>
      <c r="D1074" s="2">
        <v>1299.0</v>
      </c>
      <c r="E1074" s="2">
        <v>1299.0</v>
      </c>
      <c r="F1074" s="3">
        <f t="shared" si="7"/>
        <v>0</v>
      </c>
      <c r="G1074" s="4">
        <f>IFERROR(__xludf.DUMMYFUNCTION("GOOGLEFINANCE(""CURRENCY:INRBRL"")*D1074"),77.67697395948)</f>
        <v>77.67697396</v>
      </c>
      <c r="H1074" s="1">
        <v>4.49</v>
      </c>
      <c r="I1074" s="1">
        <v>40106.0</v>
      </c>
      <c r="J1074" s="1" t="s">
        <v>4054</v>
      </c>
      <c r="K1074" s="5" t="s">
        <v>4055</v>
      </c>
    </row>
    <row r="1075">
      <c r="A1075" s="1" t="s">
        <v>4056</v>
      </c>
      <c r="B1075" s="1" t="s">
        <v>4057</v>
      </c>
      <c r="C1075" s="1" t="s">
        <v>3900</v>
      </c>
      <c r="D1075" s="2">
        <v>549.0</v>
      </c>
      <c r="E1075" s="2">
        <v>1099.0</v>
      </c>
      <c r="F1075" s="3">
        <f t="shared" si="7"/>
        <v>0.5004549591</v>
      </c>
      <c r="G1075" s="4">
        <f>IFERROR(__xludf.DUMMYFUNCTION("GOOGLEFINANCE(""CURRENCY:INRBRL"")*D1075"),32.828836569479996)</f>
        <v>32.82883657</v>
      </c>
      <c r="H1075" s="1">
        <v>4.49</v>
      </c>
      <c r="I1075" s="1">
        <v>13029.0</v>
      </c>
      <c r="J1075" s="1" t="s">
        <v>4058</v>
      </c>
      <c r="K1075" s="5" t="s">
        <v>4059</v>
      </c>
    </row>
    <row r="1076">
      <c r="A1076" s="1" t="s">
        <v>4060</v>
      </c>
      <c r="B1076" s="1" t="s">
        <v>4061</v>
      </c>
      <c r="C1076" s="1" t="s">
        <v>3842</v>
      </c>
      <c r="D1076" s="2">
        <v>899.0</v>
      </c>
      <c r="E1076" s="2">
        <v>1999.0</v>
      </c>
      <c r="F1076" s="3">
        <f t="shared" si="7"/>
        <v>0.5502751376</v>
      </c>
      <c r="G1076" s="4">
        <f>IFERROR(__xludf.DUMMYFUNCTION("GOOGLEFINANCE(""CURRENCY:INRBRL"")*D1076"),53.75796735148)</f>
        <v>53.75796735</v>
      </c>
      <c r="H1076" s="1">
        <v>4.49</v>
      </c>
      <c r="I1076" s="1">
        <v>291.0</v>
      </c>
      <c r="J1076" s="1" t="s">
        <v>4062</v>
      </c>
      <c r="K1076" s="5" t="s">
        <v>4063</v>
      </c>
    </row>
    <row r="1077">
      <c r="A1077" s="1" t="s">
        <v>4064</v>
      </c>
      <c r="B1077" s="1" t="s">
        <v>4065</v>
      </c>
      <c r="C1077" s="1" t="s">
        <v>3900</v>
      </c>
      <c r="D1077" s="2">
        <v>1321.0</v>
      </c>
      <c r="E1077" s="2">
        <v>1545.0</v>
      </c>
      <c r="F1077" s="3">
        <f t="shared" si="7"/>
        <v>0.1449838188</v>
      </c>
      <c r="G1077" s="4">
        <f>IFERROR(__xludf.DUMMYFUNCTION("GOOGLEFINANCE(""CURRENCY:INRBRL"")*D1077"),78.99251932291999)</f>
        <v>78.99251932</v>
      </c>
      <c r="H1077" s="1">
        <v>4.49</v>
      </c>
      <c r="I1077" s="1">
        <v>15453.0</v>
      </c>
      <c r="J1077" s="1" t="s">
        <v>4066</v>
      </c>
      <c r="K1077" s="5" t="s">
        <v>4067</v>
      </c>
    </row>
    <row r="1078">
      <c r="A1078" s="1" t="s">
        <v>4068</v>
      </c>
      <c r="B1078" s="1" t="s">
        <v>4069</v>
      </c>
      <c r="C1078" s="1" t="s">
        <v>3847</v>
      </c>
      <c r="D1078" s="2">
        <v>1099.0</v>
      </c>
      <c r="E1078" s="2">
        <v>1999.0</v>
      </c>
      <c r="F1078" s="3">
        <f t="shared" si="7"/>
        <v>0.4502251126</v>
      </c>
      <c r="G1078" s="4">
        <f>IFERROR(__xludf.DUMMYFUNCTION("GOOGLEFINANCE(""CURRENCY:INRBRL"")*D1078"),65.71747065548)</f>
        <v>65.71747066</v>
      </c>
      <c r="H1078" s="1">
        <v>4.49</v>
      </c>
      <c r="I1078" s="1">
        <v>604.0</v>
      </c>
      <c r="J1078" s="1" t="s">
        <v>4070</v>
      </c>
      <c r="K1078" s="5" t="s">
        <v>4071</v>
      </c>
    </row>
    <row r="1079">
      <c r="A1079" s="1" t="s">
        <v>4072</v>
      </c>
      <c r="B1079" s="1" t="s">
        <v>4073</v>
      </c>
      <c r="C1079" s="1" t="s">
        <v>3900</v>
      </c>
      <c r="D1079" s="2">
        <v>775.0</v>
      </c>
      <c r="E1079" s="2">
        <v>875.0</v>
      </c>
      <c r="F1079" s="3">
        <f t="shared" si="7"/>
        <v>0.1142857143</v>
      </c>
      <c r="G1079" s="4">
        <f>IFERROR(__xludf.DUMMYFUNCTION("GOOGLEFINANCE(""CURRENCY:INRBRL"")*D1079"),46.343075303)</f>
        <v>46.3430753</v>
      </c>
      <c r="H1079" s="1">
        <v>4.49</v>
      </c>
      <c r="I1079" s="1">
        <v>46647.0</v>
      </c>
      <c r="J1079" s="1" t="s">
        <v>4074</v>
      </c>
      <c r="K1079" s="5" t="s">
        <v>4075</v>
      </c>
    </row>
    <row r="1080">
      <c r="A1080" s="1" t="s">
        <v>4076</v>
      </c>
      <c r="B1080" s="1" t="s">
        <v>4077</v>
      </c>
      <c r="C1080" s="1" t="s">
        <v>3933</v>
      </c>
      <c r="D1080" s="2">
        <v>6299.0</v>
      </c>
      <c r="E1080" s="2">
        <v>15279.0</v>
      </c>
      <c r="F1080" s="3">
        <f t="shared" si="7"/>
        <v>0.5877347994</v>
      </c>
      <c r="G1080" s="4">
        <f>IFERROR(__xludf.DUMMYFUNCTION("GOOGLEFINANCE(""CURRENCY:INRBRL"")*D1080"),376.66455655948)</f>
        <v>376.6645566</v>
      </c>
      <c r="H1080" s="1">
        <v>4.49</v>
      </c>
      <c r="I1080" s="1">
        <v>3233.0</v>
      </c>
      <c r="J1080" s="1" t="s">
        <v>4078</v>
      </c>
      <c r="K1080" s="5" t="s">
        <v>4079</v>
      </c>
    </row>
    <row r="1081">
      <c r="A1081" s="1" t="s">
        <v>4080</v>
      </c>
      <c r="B1081" s="1" t="s">
        <v>4081</v>
      </c>
      <c r="C1081" s="1" t="s">
        <v>3985</v>
      </c>
      <c r="D1081" s="2">
        <v>3199.0</v>
      </c>
      <c r="E1081" s="2">
        <v>4195.0</v>
      </c>
      <c r="F1081" s="3">
        <f t="shared" si="7"/>
        <v>0.2374255066</v>
      </c>
      <c r="G1081" s="4">
        <f>IFERROR(__xludf.DUMMYFUNCTION("GOOGLEFINANCE(""CURRENCY:INRBRL"")*D1081"),191.29225534748)</f>
        <v>191.2922553</v>
      </c>
      <c r="H1081" s="1">
        <v>4.49</v>
      </c>
      <c r="I1081" s="1">
        <v>1282.0</v>
      </c>
      <c r="J1081" s="1" t="s">
        <v>4082</v>
      </c>
      <c r="K1081" s="5" t="s">
        <v>4083</v>
      </c>
    </row>
    <row r="1082">
      <c r="A1082" s="1" t="s">
        <v>4084</v>
      </c>
      <c r="B1082" s="1" t="s">
        <v>4085</v>
      </c>
      <c r="C1082" s="1" t="s">
        <v>3837</v>
      </c>
      <c r="D1082" s="2">
        <v>799.0</v>
      </c>
      <c r="E1082" s="2">
        <v>1989.0</v>
      </c>
      <c r="F1082" s="3">
        <f t="shared" si="7"/>
        <v>0.5982905983</v>
      </c>
      <c r="G1082" s="4">
        <f>IFERROR(__xludf.DUMMYFUNCTION("GOOGLEFINANCE(""CURRENCY:INRBRL"")*D1082"),47.77821569948)</f>
        <v>47.7782157</v>
      </c>
      <c r="H1082" s="1">
        <v>4.49</v>
      </c>
      <c r="I1082" s="1">
        <v>70.0</v>
      </c>
      <c r="J1082" s="1" t="s">
        <v>4086</v>
      </c>
      <c r="K1082" s="5" t="s">
        <v>4087</v>
      </c>
    </row>
    <row r="1083">
      <c r="A1083" s="1" t="s">
        <v>4088</v>
      </c>
      <c r="B1083" s="1" t="s">
        <v>4089</v>
      </c>
      <c r="C1083" s="1" t="s">
        <v>4002</v>
      </c>
      <c r="D1083" s="2">
        <v>2699.0</v>
      </c>
      <c r="E1083" s="2">
        <v>4999.0</v>
      </c>
      <c r="F1083" s="3">
        <f t="shared" si="7"/>
        <v>0.4600920184</v>
      </c>
      <c r="G1083" s="4">
        <f>IFERROR(__xludf.DUMMYFUNCTION("GOOGLEFINANCE(""CURRENCY:INRBRL"")*D1083"),161.39349708748)</f>
        <v>161.3934971</v>
      </c>
      <c r="H1083" s="1">
        <v>4.49</v>
      </c>
      <c r="I1083" s="1">
        <v>26164.0</v>
      </c>
      <c r="J1083" s="1" t="s">
        <v>4090</v>
      </c>
      <c r="K1083" s="5" t="s">
        <v>4091</v>
      </c>
    </row>
    <row r="1084">
      <c r="A1084" s="1" t="s">
        <v>4092</v>
      </c>
      <c r="B1084" s="1" t="s">
        <v>4093</v>
      </c>
      <c r="C1084" s="1" t="s">
        <v>3900</v>
      </c>
      <c r="D1084" s="2">
        <v>599.0</v>
      </c>
      <c r="E1084" s="2">
        <v>990.0</v>
      </c>
      <c r="F1084" s="3">
        <f t="shared" si="7"/>
        <v>0.3949494949</v>
      </c>
      <c r="G1084" s="4">
        <f>IFERROR(__xludf.DUMMYFUNCTION("GOOGLEFINANCE(""CURRENCY:INRBRL"")*D1084"),35.81871239548)</f>
        <v>35.8187124</v>
      </c>
      <c r="H1084" s="1">
        <v>4.49</v>
      </c>
      <c r="I1084" s="1">
        <v>16166.0</v>
      </c>
      <c r="J1084" s="1" t="s">
        <v>4094</v>
      </c>
      <c r="K1084" s="5" t="s">
        <v>4095</v>
      </c>
    </row>
    <row r="1085">
      <c r="A1085" s="1" t="s">
        <v>4096</v>
      </c>
      <c r="B1085" s="1" t="s">
        <v>4097</v>
      </c>
      <c r="C1085" s="1" t="s">
        <v>3928</v>
      </c>
      <c r="D1085" s="2">
        <v>749.0</v>
      </c>
      <c r="E1085" s="2">
        <v>1111.0</v>
      </c>
      <c r="F1085" s="3">
        <f t="shared" si="7"/>
        <v>0.3258325833</v>
      </c>
      <c r="G1085" s="4">
        <f>IFERROR(__xludf.DUMMYFUNCTION("GOOGLEFINANCE(""CURRENCY:INRBRL"")*D1085"),44.78833987348)</f>
        <v>44.78833987</v>
      </c>
      <c r="H1085" s="1">
        <v>4.49</v>
      </c>
      <c r="I1085" s="1">
        <v>35693.0</v>
      </c>
      <c r="J1085" s="1" t="s">
        <v>4098</v>
      </c>
      <c r="K1085" s="5" t="s">
        <v>4099</v>
      </c>
    </row>
    <row r="1086">
      <c r="A1086" s="1" t="s">
        <v>4100</v>
      </c>
      <c r="B1086" s="1" t="s">
        <v>4101</v>
      </c>
      <c r="C1086" s="1" t="s">
        <v>3933</v>
      </c>
      <c r="D1086" s="2">
        <v>6199.0</v>
      </c>
      <c r="E1086" s="2">
        <v>10399.0</v>
      </c>
      <c r="F1086" s="3">
        <f t="shared" si="7"/>
        <v>0.4038849889</v>
      </c>
      <c r="G1086" s="4">
        <f>IFERROR(__xludf.DUMMYFUNCTION("GOOGLEFINANCE(""CURRENCY:INRBRL"")*D1086"),370.68480490748)</f>
        <v>370.6848049</v>
      </c>
      <c r="H1086" s="1">
        <v>4.49</v>
      </c>
      <c r="I1086" s="1">
        <v>14391.0</v>
      </c>
      <c r="J1086" s="1" t="s">
        <v>4102</v>
      </c>
      <c r="K1086" s="5" t="s">
        <v>4103</v>
      </c>
    </row>
    <row r="1087">
      <c r="A1087" s="1" t="s">
        <v>4104</v>
      </c>
      <c r="B1087" s="1" t="s">
        <v>4105</v>
      </c>
      <c r="C1087" s="1" t="s">
        <v>4106</v>
      </c>
      <c r="D1087" s="2">
        <v>1819.0</v>
      </c>
      <c r="E1087" s="2">
        <v>2499.0</v>
      </c>
      <c r="F1087" s="3">
        <f t="shared" si="7"/>
        <v>0.2721088435</v>
      </c>
      <c r="G1087" s="4">
        <f>IFERROR(__xludf.DUMMYFUNCTION("GOOGLEFINANCE(""CURRENCY:INRBRL"")*D1087"),108.77168254988)</f>
        <v>108.7716825</v>
      </c>
      <c r="H1087" s="1">
        <v>4.49</v>
      </c>
      <c r="I1087" s="1">
        <v>7946.0</v>
      </c>
      <c r="J1087" s="1" t="s">
        <v>4107</v>
      </c>
      <c r="K1087" s="5" t="s">
        <v>4108</v>
      </c>
    </row>
    <row r="1088">
      <c r="A1088" s="1" t="s">
        <v>4109</v>
      </c>
      <c r="B1088" s="1" t="s">
        <v>4110</v>
      </c>
      <c r="C1088" s="1" t="s">
        <v>3928</v>
      </c>
      <c r="D1088" s="2">
        <v>1199.0</v>
      </c>
      <c r="E1088" s="2">
        <v>1899.0</v>
      </c>
      <c r="F1088" s="3">
        <f t="shared" si="7"/>
        <v>0.3686150606</v>
      </c>
      <c r="G1088" s="4">
        <f>IFERROR(__xludf.DUMMYFUNCTION("GOOGLEFINANCE(""CURRENCY:INRBRL"")*D1088"),71.69722230747999)</f>
        <v>71.69722231</v>
      </c>
      <c r="H1088" s="1">
        <v>4.49</v>
      </c>
      <c r="I1088" s="1">
        <v>1765.0</v>
      </c>
      <c r="J1088" s="1" t="s">
        <v>4111</v>
      </c>
      <c r="K1088" s="5" t="s">
        <v>4112</v>
      </c>
    </row>
    <row r="1089">
      <c r="A1089" s="1" t="s">
        <v>4113</v>
      </c>
      <c r="B1089" s="1" t="s">
        <v>4114</v>
      </c>
      <c r="C1089" s="1" t="s">
        <v>3905</v>
      </c>
      <c r="D1089" s="2">
        <v>3249.0</v>
      </c>
      <c r="E1089" s="2">
        <v>6295.0</v>
      </c>
      <c r="F1089" s="3">
        <f t="shared" si="7"/>
        <v>0.4838760921</v>
      </c>
      <c r="G1089" s="4">
        <f>IFERROR(__xludf.DUMMYFUNCTION("GOOGLEFINANCE(""CURRENCY:INRBRL"")*D1089"),194.28213117348)</f>
        <v>194.2821312</v>
      </c>
      <c r="H1089" s="1">
        <v>4.49</v>
      </c>
      <c r="I1089" s="1">
        <v>14062.0</v>
      </c>
      <c r="J1089" s="1" t="s">
        <v>4115</v>
      </c>
      <c r="K1089" s="5" t="s">
        <v>4116</v>
      </c>
    </row>
    <row r="1090">
      <c r="A1090" s="1" t="s">
        <v>4117</v>
      </c>
      <c r="B1090" s="1" t="s">
        <v>4118</v>
      </c>
      <c r="C1090" s="1" t="s">
        <v>4040</v>
      </c>
      <c r="D1090" s="2">
        <v>349.0</v>
      </c>
      <c r="E1090" s="2">
        <v>999.0</v>
      </c>
      <c r="F1090" s="3">
        <f t="shared" si="7"/>
        <v>0.6506506507</v>
      </c>
      <c r="G1090" s="4">
        <f>IFERROR(__xludf.DUMMYFUNCTION("GOOGLEFINANCE(""CURRENCY:INRBRL"")*D1090"),20.869333265479998)</f>
        <v>20.86933327</v>
      </c>
      <c r="H1090" s="1">
        <v>4.49</v>
      </c>
      <c r="I1090" s="1">
        <v>15646.0</v>
      </c>
      <c r="J1090" s="1" t="s">
        <v>4119</v>
      </c>
      <c r="K1090" s="5" t="s">
        <v>4120</v>
      </c>
    </row>
    <row r="1091">
      <c r="A1091" s="1" t="s">
        <v>4121</v>
      </c>
      <c r="B1091" s="1" t="s">
        <v>4122</v>
      </c>
      <c r="C1091" s="1" t="s">
        <v>3842</v>
      </c>
      <c r="D1091" s="2">
        <v>1049.0</v>
      </c>
      <c r="E1091" s="2">
        <v>1699.0</v>
      </c>
      <c r="F1091" s="3">
        <f t="shared" si="7"/>
        <v>0.3825779871</v>
      </c>
      <c r="G1091" s="4">
        <f>IFERROR(__xludf.DUMMYFUNCTION("GOOGLEFINANCE(""CURRENCY:INRBRL"")*D1091"),62.72759482948)</f>
        <v>62.72759483</v>
      </c>
      <c r="H1091" s="1">
        <v>4.49</v>
      </c>
      <c r="I1091" s="1">
        <v>111.0</v>
      </c>
      <c r="J1091" s="1" t="s">
        <v>4123</v>
      </c>
      <c r="K1091" s="5" t="s">
        <v>4124</v>
      </c>
    </row>
    <row r="1092">
      <c r="A1092" s="1" t="s">
        <v>4125</v>
      </c>
      <c r="B1092" s="1" t="s">
        <v>4126</v>
      </c>
      <c r="C1092" s="1" t="s">
        <v>4127</v>
      </c>
      <c r="D1092" s="2">
        <v>799.0</v>
      </c>
      <c r="E1092" s="2">
        <v>1499.0</v>
      </c>
      <c r="F1092" s="3">
        <f t="shared" si="7"/>
        <v>0.4669779853</v>
      </c>
      <c r="G1092" s="4">
        <f>IFERROR(__xludf.DUMMYFUNCTION("GOOGLEFINANCE(""CURRENCY:INRBRL"")*D1092"),47.77821569948)</f>
        <v>47.7782157</v>
      </c>
      <c r="H1092" s="1">
        <v>4.49</v>
      </c>
      <c r="I1092" s="1">
        <v>9695.0</v>
      </c>
      <c r="J1092" s="1" t="s">
        <v>4128</v>
      </c>
      <c r="K1092" s="5" t="s">
        <v>4129</v>
      </c>
    </row>
    <row r="1093">
      <c r="A1093" s="1" t="s">
        <v>4130</v>
      </c>
      <c r="B1093" s="1" t="s">
        <v>4131</v>
      </c>
      <c r="C1093" s="1" t="s">
        <v>3933</v>
      </c>
      <c r="D1093" s="2">
        <v>4999.0</v>
      </c>
      <c r="E1093" s="2">
        <v>9649.0</v>
      </c>
      <c r="F1093" s="3">
        <f t="shared" si="7"/>
        <v>0.4819152244</v>
      </c>
      <c r="G1093" s="4">
        <f>IFERROR(__xludf.DUMMYFUNCTION("GOOGLEFINANCE(""CURRENCY:INRBRL"")*D1093"),298.92778508348)</f>
        <v>298.9277851</v>
      </c>
      <c r="H1093" s="1">
        <v>4.49</v>
      </c>
      <c r="I1093" s="1">
        <v>1772.0</v>
      </c>
      <c r="J1093" s="1" t="s">
        <v>4132</v>
      </c>
      <c r="K1093" s="5" t="s">
        <v>4133</v>
      </c>
    </row>
    <row r="1094">
      <c r="A1094" s="1" t="s">
        <v>4134</v>
      </c>
      <c r="B1094" s="1" t="s">
        <v>4135</v>
      </c>
      <c r="C1094" s="1" t="s">
        <v>3905</v>
      </c>
      <c r="D1094" s="2">
        <v>6999.0</v>
      </c>
      <c r="E1094" s="2">
        <v>10599.0</v>
      </c>
      <c r="F1094" s="3">
        <f t="shared" si="7"/>
        <v>0.3396546844</v>
      </c>
      <c r="G1094" s="4">
        <f>IFERROR(__xludf.DUMMYFUNCTION("GOOGLEFINANCE(""CURRENCY:INRBRL"")*D1094"),418.52281812347996)</f>
        <v>418.5228181</v>
      </c>
      <c r="H1094" s="1">
        <v>4.49</v>
      </c>
      <c r="I1094" s="1">
        <v>11499.0</v>
      </c>
      <c r="J1094" s="1" t="s">
        <v>4136</v>
      </c>
      <c r="K1094" s="5" t="s">
        <v>4137</v>
      </c>
    </row>
    <row r="1095">
      <c r="A1095" s="1" t="s">
        <v>4138</v>
      </c>
      <c r="B1095" s="1" t="s">
        <v>4139</v>
      </c>
      <c r="C1095" s="1" t="s">
        <v>3852</v>
      </c>
      <c r="D1095" s="2">
        <v>799.0</v>
      </c>
      <c r="E1095" s="2">
        <v>1999.0</v>
      </c>
      <c r="F1095" s="3">
        <f t="shared" si="7"/>
        <v>0.6003001501</v>
      </c>
      <c r="G1095" s="4">
        <f>IFERROR(__xludf.DUMMYFUNCTION("GOOGLEFINANCE(""CURRENCY:INRBRL"")*D1095"),47.77821569948)</f>
        <v>47.7782157</v>
      </c>
      <c r="H1095" s="1">
        <v>4.49</v>
      </c>
      <c r="I1095" s="1">
        <v>2162.0</v>
      </c>
      <c r="J1095" s="1" t="s">
        <v>4140</v>
      </c>
      <c r="K1095" s="5" t="s">
        <v>4141</v>
      </c>
    </row>
    <row r="1096">
      <c r="A1096" s="1" t="s">
        <v>4142</v>
      </c>
      <c r="B1096" s="1" t="s">
        <v>4143</v>
      </c>
      <c r="C1096" s="1" t="s">
        <v>4144</v>
      </c>
      <c r="D1096" s="2">
        <v>89.0</v>
      </c>
      <c r="E1096" s="2">
        <v>89.0</v>
      </c>
      <c r="F1096" s="3">
        <f t="shared" si="7"/>
        <v>0</v>
      </c>
      <c r="G1096" s="4">
        <f>IFERROR(__xludf.DUMMYFUNCTION("GOOGLEFINANCE(""CURRENCY:INRBRL"")*D1096"),5.32197897028)</f>
        <v>5.32197897</v>
      </c>
      <c r="H1096" s="1">
        <v>4.49</v>
      </c>
      <c r="I1096" s="1">
        <v>19621.0</v>
      </c>
      <c r="J1096" s="1" t="s">
        <v>4145</v>
      </c>
      <c r="K1096" s="5" t="s">
        <v>4146</v>
      </c>
    </row>
    <row r="1097">
      <c r="A1097" s="1" t="s">
        <v>4147</v>
      </c>
      <c r="B1097" s="1" t="s">
        <v>4148</v>
      </c>
      <c r="C1097" s="1" t="s">
        <v>4149</v>
      </c>
      <c r="D1097" s="2">
        <v>1399.0</v>
      </c>
      <c r="E1097" s="2">
        <v>2485.0</v>
      </c>
      <c r="F1097" s="3">
        <f t="shared" si="7"/>
        <v>0.4370221328</v>
      </c>
      <c r="G1097" s="4">
        <f>IFERROR(__xludf.DUMMYFUNCTION("GOOGLEFINANCE(""CURRENCY:INRBRL"")*D1097"),83.65672561148)</f>
        <v>83.65672561</v>
      </c>
      <c r="H1097" s="1">
        <v>4.49</v>
      </c>
      <c r="I1097" s="1">
        <v>19998.0</v>
      </c>
      <c r="J1097" s="1" t="s">
        <v>4150</v>
      </c>
      <c r="K1097" s="5" t="s">
        <v>4151</v>
      </c>
    </row>
    <row r="1098">
      <c r="A1098" s="1" t="s">
        <v>4152</v>
      </c>
      <c r="B1098" s="1" t="s">
        <v>4153</v>
      </c>
      <c r="C1098" s="1" t="s">
        <v>3980</v>
      </c>
      <c r="D1098" s="2">
        <v>355.0</v>
      </c>
      <c r="E1098" s="2">
        <v>899.0</v>
      </c>
      <c r="F1098" s="3">
        <f t="shared" si="7"/>
        <v>0.6051167964</v>
      </c>
      <c r="G1098" s="4">
        <f>IFERROR(__xludf.DUMMYFUNCTION("GOOGLEFINANCE(""CURRENCY:INRBRL"")*D1098"),21.2281183646)</f>
        <v>21.22811836</v>
      </c>
      <c r="H1098" s="1">
        <v>4.49</v>
      </c>
      <c r="I1098" s="1">
        <v>1051.0</v>
      </c>
      <c r="J1098" s="1" t="s">
        <v>4154</v>
      </c>
      <c r="K1098" s="5" t="s">
        <v>4155</v>
      </c>
    </row>
    <row r="1099">
      <c r="A1099" s="1" t="s">
        <v>4156</v>
      </c>
      <c r="B1099" s="1" t="s">
        <v>4157</v>
      </c>
      <c r="C1099" s="1" t="s">
        <v>3837</v>
      </c>
      <c r="D1099" s="2">
        <v>2169.0</v>
      </c>
      <c r="E1099" s="2">
        <v>3279.0</v>
      </c>
      <c r="F1099" s="3">
        <f t="shared" si="7"/>
        <v>0.3385178408</v>
      </c>
      <c r="G1099" s="4">
        <f>IFERROR(__xludf.DUMMYFUNCTION("GOOGLEFINANCE(""CURRENCY:INRBRL"")*D1099"),129.70081333188)</f>
        <v>129.7008133</v>
      </c>
      <c r="H1099" s="1">
        <v>4.49</v>
      </c>
      <c r="I1099" s="1">
        <v>1716.0</v>
      </c>
      <c r="J1099" s="1" t="s">
        <v>4158</v>
      </c>
      <c r="K1099" s="5" t="s">
        <v>4159</v>
      </c>
    </row>
    <row r="1100">
      <c r="A1100" s="1" t="s">
        <v>4160</v>
      </c>
      <c r="B1100" s="1" t="s">
        <v>4161</v>
      </c>
      <c r="C1100" s="1" t="s">
        <v>4162</v>
      </c>
      <c r="D1100" s="2">
        <v>2799.0</v>
      </c>
      <c r="E1100" s="2">
        <v>3799.0</v>
      </c>
      <c r="F1100" s="3">
        <f t="shared" si="7"/>
        <v>0.263227165</v>
      </c>
      <c r="G1100" s="4">
        <f>IFERROR(__xludf.DUMMYFUNCTION("GOOGLEFINANCE(""CURRENCY:INRBRL"")*D1100"),167.37324873947998)</f>
        <v>167.3732487</v>
      </c>
      <c r="H1100" s="1">
        <v>4.49</v>
      </c>
      <c r="I1100" s="1">
        <v>32931.0</v>
      </c>
      <c r="J1100" s="1" t="s">
        <v>4163</v>
      </c>
      <c r="K1100" s="5" t="s">
        <v>4164</v>
      </c>
    </row>
    <row r="1101">
      <c r="A1101" s="1" t="s">
        <v>4165</v>
      </c>
      <c r="B1101" s="1" t="s">
        <v>4166</v>
      </c>
      <c r="C1101" s="1" t="s">
        <v>3832</v>
      </c>
      <c r="D1101" s="2">
        <v>899.0</v>
      </c>
      <c r="E1101" s="2">
        <v>1249.0</v>
      </c>
      <c r="F1101" s="3">
        <f t="shared" si="7"/>
        <v>0.2802241793</v>
      </c>
      <c r="G1101" s="4">
        <f>IFERROR(__xludf.DUMMYFUNCTION("GOOGLEFINANCE(""CURRENCY:INRBRL"")*D1101"),53.75796735148)</f>
        <v>53.75796735</v>
      </c>
      <c r="H1101" s="1">
        <v>4.49</v>
      </c>
      <c r="I1101" s="1">
        <v>17424.0</v>
      </c>
      <c r="J1101" s="1" t="s">
        <v>4167</v>
      </c>
      <c r="K1101" s="5" t="s">
        <v>4168</v>
      </c>
    </row>
    <row r="1102">
      <c r="A1102" s="1" t="s">
        <v>4169</v>
      </c>
      <c r="B1102" s="1" t="s">
        <v>4170</v>
      </c>
      <c r="C1102" s="1" t="s">
        <v>3915</v>
      </c>
      <c r="D1102" s="2">
        <v>2.5</v>
      </c>
      <c r="E1102" s="2">
        <v>4999.0</v>
      </c>
      <c r="F1102" s="3">
        <f t="shared" si="7"/>
        <v>0.9994999</v>
      </c>
      <c r="G1102" s="4">
        <f>IFERROR(__xludf.DUMMYFUNCTION("GOOGLEFINANCE(""CURRENCY:INRBRL"")*D1102"),0.14949379129999998)</f>
        <v>0.1494937913</v>
      </c>
      <c r="H1102" s="1">
        <v>4.49</v>
      </c>
      <c r="I1102" s="1">
        <v>1889.0</v>
      </c>
      <c r="J1102" s="1" t="s">
        <v>4171</v>
      </c>
      <c r="K1102" s="5" t="s">
        <v>4172</v>
      </c>
    </row>
    <row r="1103">
      <c r="A1103" s="1" t="s">
        <v>4173</v>
      </c>
      <c r="B1103" s="1" t="s">
        <v>4174</v>
      </c>
      <c r="C1103" s="1" t="s">
        <v>3910</v>
      </c>
      <c r="D1103" s="2">
        <v>3.6</v>
      </c>
      <c r="E1103" s="2">
        <v>7299.0</v>
      </c>
      <c r="F1103" s="3">
        <f t="shared" si="7"/>
        <v>0.9995067818</v>
      </c>
      <c r="G1103" s="4">
        <f>IFERROR(__xludf.DUMMYFUNCTION("GOOGLEFINANCE(""CURRENCY:INRBRL"")*D1103"),0.21527105947199998)</f>
        <v>0.2152710595</v>
      </c>
      <c r="H1103" s="1">
        <v>4.49</v>
      </c>
      <c r="I1103" s="1">
        <v>10324.0</v>
      </c>
      <c r="J1103" s="1" t="s">
        <v>4175</v>
      </c>
      <c r="K1103" s="5" t="s">
        <v>4176</v>
      </c>
    </row>
    <row r="1104">
      <c r="A1104" s="1" t="s">
        <v>4177</v>
      </c>
      <c r="B1104" s="1" t="s">
        <v>4178</v>
      </c>
      <c r="C1104" s="1" t="s">
        <v>3900</v>
      </c>
      <c r="D1104" s="2">
        <v>499.0</v>
      </c>
      <c r="E1104" s="2">
        <v>625.0</v>
      </c>
      <c r="F1104" s="3">
        <f t="shared" si="7"/>
        <v>0.2016</v>
      </c>
      <c r="G1104" s="4">
        <f>IFERROR(__xludf.DUMMYFUNCTION("GOOGLEFINANCE(""CURRENCY:INRBRL"")*D1104"),29.838960743479998)</f>
        <v>29.83896074</v>
      </c>
      <c r="H1104" s="1">
        <v>4.49</v>
      </c>
      <c r="I1104" s="1">
        <v>5355.0</v>
      </c>
      <c r="J1104" s="1" t="s">
        <v>4179</v>
      </c>
      <c r="K1104" s="5" t="s">
        <v>4180</v>
      </c>
    </row>
    <row r="1105">
      <c r="A1105" s="1" t="s">
        <v>4181</v>
      </c>
      <c r="B1105" s="1" t="s">
        <v>4182</v>
      </c>
      <c r="C1105" s="1" t="s">
        <v>3962</v>
      </c>
      <c r="D1105" s="2">
        <v>653.0</v>
      </c>
      <c r="E1105" s="2">
        <v>1099.0</v>
      </c>
      <c r="F1105" s="3">
        <f t="shared" si="7"/>
        <v>0.4058234759</v>
      </c>
      <c r="G1105" s="4">
        <f>IFERROR(__xludf.DUMMYFUNCTION("GOOGLEFINANCE(""CURRENCY:INRBRL"")*D1105"),39.04777828756)</f>
        <v>39.04777829</v>
      </c>
      <c r="H1105" s="1">
        <v>4.49</v>
      </c>
      <c r="I1105" s="1">
        <v>3366.0</v>
      </c>
      <c r="J1105" s="1" t="s">
        <v>4183</v>
      </c>
      <c r="K1105" s="5" t="s">
        <v>4184</v>
      </c>
    </row>
    <row r="1106">
      <c r="A1106" s="1" t="s">
        <v>4185</v>
      </c>
      <c r="B1106" s="1" t="s">
        <v>4186</v>
      </c>
      <c r="C1106" s="1" t="s">
        <v>4187</v>
      </c>
      <c r="D1106" s="2">
        <v>4789.0</v>
      </c>
      <c r="E1106" s="2">
        <v>8999.0</v>
      </c>
      <c r="F1106" s="3">
        <f t="shared" si="7"/>
        <v>0.4678297589</v>
      </c>
      <c r="G1106" s="4">
        <f>IFERROR(__xludf.DUMMYFUNCTION("GOOGLEFINANCE(""CURRENCY:INRBRL"")*D1106"),286.37030661427997)</f>
        <v>286.3703066</v>
      </c>
      <c r="H1106" s="1">
        <v>4.49</v>
      </c>
      <c r="I1106" s="1">
        <v>1017.0</v>
      </c>
      <c r="J1106" s="1" t="s">
        <v>4188</v>
      </c>
      <c r="K1106" s="5" t="s">
        <v>4189</v>
      </c>
    </row>
    <row r="1107">
      <c r="A1107" s="1" t="s">
        <v>4190</v>
      </c>
      <c r="B1107" s="1" t="s">
        <v>4191</v>
      </c>
      <c r="C1107" s="1" t="s">
        <v>4192</v>
      </c>
      <c r="D1107" s="2">
        <v>1409.0</v>
      </c>
      <c r="E1107" s="2">
        <v>1639.0</v>
      </c>
      <c r="F1107" s="3">
        <f t="shared" si="7"/>
        <v>0.1403294692</v>
      </c>
      <c r="G1107" s="4">
        <f>IFERROR(__xludf.DUMMYFUNCTION("GOOGLEFINANCE(""CURRENCY:INRBRL"")*D1107"),84.25470077668)</f>
        <v>84.25470078</v>
      </c>
      <c r="H1107" s="1">
        <v>4.49</v>
      </c>
      <c r="I1107" s="1">
        <v>787.0</v>
      </c>
      <c r="J1107" s="1" t="s">
        <v>4193</v>
      </c>
      <c r="K1107" s="5" t="s">
        <v>4194</v>
      </c>
    </row>
    <row r="1108">
      <c r="A1108" s="1" t="s">
        <v>4195</v>
      </c>
      <c r="B1108" s="1" t="s">
        <v>4196</v>
      </c>
      <c r="C1108" s="1" t="s">
        <v>3895</v>
      </c>
      <c r="D1108" s="2">
        <v>753.0</v>
      </c>
      <c r="E1108" s="2">
        <v>899.0</v>
      </c>
      <c r="F1108" s="3">
        <f t="shared" si="7"/>
        <v>0.1624026696</v>
      </c>
      <c r="G1108" s="4">
        <f>IFERROR(__xludf.DUMMYFUNCTION("GOOGLEFINANCE(""CURRENCY:INRBRL"")*D1108"),45.02752993956)</f>
        <v>45.02752994</v>
      </c>
      <c r="H1108" s="1">
        <v>4.49</v>
      </c>
      <c r="I1108" s="1">
        <v>18462.0</v>
      </c>
      <c r="J1108" s="1" t="s">
        <v>4197</v>
      </c>
      <c r="K1108" s="5" t="s">
        <v>4198</v>
      </c>
    </row>
    <row r="1109">
      <c r="A1109" s="1" t="s">
        <v>4199</v>
      </c>
      <c r="B1109" s="1" t="s">
        <v>4200</v>
      </c>
      <c r="C1109" s="1" t="s">
        <v>4040</v>
      </c>
      <c r="D1109" s="2">
        <v>353.0</v>
      </c>
      <c r="E1109" s="2">
        <v>1199.0</v>
      </c>
      <c r="F1109" s="3">
        <f t="shared" si="7"/>
        <v>0.70558799</v>
      </c>
      <c r="G1109" s="4">
        <f>IFERROR(__xludf.DUMMYFUNCTION("GOOGLEFINANCE(""CURRENCY:INRBRL"")*D1109"),21.108523331559997)</f>
        <v>21.10852333</v>
      </c>
      <c r="H1109" s="1">
        <v>4.49</v>
      </c>
      <c r="I1109" s="1">
        <v>629.0</v>
      </c>
      <c r="J1109" s="1" t="s">
        <v>4201</v>
      </c>
      <c r="K1109" s="5" t="s">
        <v>4202</v>
      </c>
    </row>
    <row r="1110">
      <c r="A1110" s="1" t="s">
        <v>4203</v>
      </c>
      <c r="B1110" s="1" t="s">
        <v>4204</v>
      </c>
      <c r="C1110" s="1" t="s">
        <v>3852</v>
      </c>
      <c r="D1110" s="2">
        <v>1099.0</v>
      </c>
      <c r="E1110" s="2">
        <v>1899.0</v>
      </c>
      <c r="F1110" s="3">
        <f t="shared" si="7"/>
        <v>0.4212743549</v>
      </c>
      <c r="G1110" s="4">
        <f>IFERROR(__xludf.DUMMYFUNCTION("GOOGLEFINANCE(""CURRENCY:INRBRL"")*D1110"),65.71747065548)</f>
        <v>65.71747066</v>
      </c>
      <c r="H1110" s="1">
        <v>4.49</v>
      </c>
      <c r="I1110" s="1">
        <v>15276.0</v>
      </c>
      <c r="J1110" s="1" t="s">
        <v>4205</v>
      </c>
      <c r="K1110" s="5" t="s">
        <v>4206</v>
      </c>
    </row>
    <row r="1111">
      <c r="A1111" s="1" t="s">
        <v>4207</v>
      </c>
      <c r="B1111" s="1" t="s">
        <v>4208</v>
      </c>
      <c r="C1111" s="1" t="s">
        <v>3975</v>
      </c>
      <c r="D1111" s="2">
        <v>8799.0</v>
      </c>
      <c r="E1111" s="2">
        <v>11595.0</v>
      </c>
      <c r="F1111" s="3">
        <f t="shared" si="7"/>
        <v>0.2411384217</v>
      </c>
      <c r="G1111" s="4">
        <f>IFERROR(__xludf.DUMMYFUNCTION("GOOGLEFINANCE(""CURRENCY:INRBRL"")*D1111"),526.1583478594799)</f>
        <v>526.1583479</v>
      </c>
      <c r="H1111" s="1">
        <v>4.49</v>
      </c>
      <c r="I1111" s="1">
        <v>2981.0</v>
      </c>
      <c r="J1111" s="1" t="s">
        <v>4209</v>
      </c>
      <c r="K1111" s="5" t="s">
        <v>4210</v>
      </c>
    </row>
    <row r="1112">
      <c r="A1112" s="1" t="s">
        <v>4211</v>
      </c>
      <c r="B1112" s="1" t="s">
        <v>4212</v>
      </c>
      <c r="C1112" s="1" t="s">
        <v>3832</v>
      </c>
      <c r="D1112" s="2">
        <v>1345.0</v>
      </c>
      <c r="E1112" s="2">
        <v>1749.0</v>
      </c>
      <c r="F1112" s="3">
        <f t="shared" si="7"/>
        <v>0.2309891366</v>
      </c>
      <c r="G1112" s="4">
        <f>IFERROR(__xludf.DUMMYFUNCTION("GOOGLEFINANCE(""CURRENCY:INRBRL"")*D1112"),80.4276597194)</f>
        <v>80.42765972</v>
      </c>
      <c r="H1112" s="1">
        <v>4.49</v>
      </c>
      <c r="I1112" s="1">
        <v>2466.0</v>
      </c>
      <c r="J1112" s="1" t="s">
        <v>4213</v>
      </c>
      <c r="K1112" s="5" t="s">
        <v>4214</v>
      </c>
    </row>
    <row r="1113">
      <c r="A1113" s="1" t="s">
        <v>4215</v>
      </c>
      <c r="B1113" s="1" t="s">
        <v>4216</v>
      </c>
      <c r="C1113" s="1" t="s">
        <v>4217</v>
      </c>
      <c r="D1113" s="2">
        <v>2095.0</v>
      </c>
      <c r="E1113" s="2">
        <v>2095.0</v>
      </c>
      <c r="F1113" s="3">
        <f t="shared" si="7"/>
        <v>0</v>
      </c>
      <c r="G1113" s="4">
        <f>IFERROR(__xludf.DUMMYFUNCTION("GOOGLEFINANCE(""CURRENCY:INRBRL"")*D1113"),125.27579710939999)</f>
        <v>125.2757971</v>
      </c>
      <c r="H1113" s="1">
        <v>4.49</v>
      </c>
      <c r="I1113" s="1">
        <v>7949.0</v>
      </c>
      <c r="J1113" s="1" t="s">
        <v>4218</v>
      </c>
      <c r="K1113" s="5" t="s">
        <v>4219</v>
      </c>
    </row>
    <row r="1114">
      <c r="A1114" s="1" t="s">
        <v>4220</v>
      </c>
      <c r="B1114" s="1" t="s">
        <v>4221</v>
      </c>
      <c r="C1114" s="1" t="s">
        <v>3837</v>
      </c>
      <c r="D1114" s="2">
        <v>1498.0</v>
      </c>
      <c r="E1114" s="2">
        <v>2299.0</v>
      </c>
      <c r="F1114" s="3">
        <f t="shared" si="7"/>
        <v>0.3484123532</v>
      </c>
      <c r="G1114" s="4">
        <f>IFERROR(__xludf.DUMMYFUNCTION("GOOGLEFINANCE(""CURRENCY:INRBRL"")*D1114"),89.57667974696)</f>
        <v>89.57667975</v>
      </c>
      <c r="H1114" s="1">
        <v>4.49</v>
      </c>
      <c r="I1114" s="1">
        <v>95.0</v>
      </c>
      <c r="J1114" s="1" t="s">
        <v>4222</v>
      </c>
      <c r="K1114" s="5" t="s">
        <v>4223</v>
      </c>
    </row>
    <row r="1115">
      <c r="A1115" s="1" t="s">
        <v>4224</v>
      </c>
      <c r="B1115" s="1" t="s">
        <v>4225</v>
      </c>
      <c r="C1115" s="1" t="s">
        <v>4226</v>
      </c>
      <c r="D1115" s="2">
        <v>2199.0</v>
      </c>
      <c r="E1115" s="2">
        <v>2999.0</v>
      </c>
      <c r="F1115" s="3">
        <f t="shared" si="7"/>
        <v>0.2667555852</v>
      </c>
      <c r="G1115" s="4">
        <f>IFERROR(__xludf.DUMMYFUNCTION("GOOGLEFINANCE(""CURRENCY:INRBRL"")*D1115"),131.49473882748)</f>
        <v>131.4947388</v>
      </c>
      <c r="H1115" s="1">
        <v>4.49</v>
      </c>
      <c r="I1115" s="1">
        <v>1558.0</v>
      </c>
      <c r="J1115" s="1" t="s">
        <v>4227</v>
      </c>
      <c r="K1115" s="5" t="s">
        <v>4228</v>
      </c>
    </row>
    <row r="1116">
      <c r="A1116" s="1" t="s">
        <v>4229</v>
      </c>
      <c r="B1116" s="1" t="s">
        <v>4230</v>
      </c>
      <c r="C1116" s="1" t="s">
        <v>3905</v>
      </c>
      <c r="D1116" s="2">
        <v>3699.0</v>
      </c>
      <c r="E1116" s="2">
        <v>4295.0</v>
      </c>
      <c r="F1116" s="3">
        <f t="shared" si="7"/>
        <v>0.138766007</v>
      </c>
      <c r="G1116" s="4">
        <f>IFERROR(__xludf.DUMMYFUNCTION("GOOGLEFINANCE(""CURRENCY:INRBRL"")*D1116"),221.19101360748)</f>
        <v>221.1910136</v>
      </c>
      <c r="H1116" s="1">
        <v>4.49</v>
      </c>
      <c r="I1116" s="1">
        <v>26543.0</v>
      </c>
      <c r="J1116" s="1" t="s">
        <v>4231</v>
      </c>
      <c r="K1116" s="5" t="s">
        <v>4232</v>
      </c>
    </row>
    <row r="1117">
      <c r="A1117" s="1" t="s">
        <v>4233</v>
      </c>
      <c r="B1117" s="1" t="s">
        <v>4234</v>
      </c>
      <c r="C1117" s="1" t="s">
        <v>3980</v>
      </c>
      <c r="D1117" s="2">
        <v>177.0</v>
      </c>
      <c r="E1117" s="2">
        <v>199.0</v>
      </c>
      <c r="F1117" s="3">
        <f t="shared" si="7"/>
        <v>0.1105527638</v>
      </c>
      <c r="G1117" s="4">
        <f>IFERROR(__xludf.DUMMYFUNCTION("GOOGLEFINANCE(""CURRENCY:INRBRL"")*D1117"),10.58416042404)</f>
        <v>10.58416042</v>
      </c>
      <c r="H1117" s="1">
        <v>4.49</v>
      </c>
      <c r="I1117" s="1">
        <v>3688.0</v>
      </c>
      <c r="J1117" s="1" t="s">
        <v>4235</v>
      </c>
      <c r="K1117" s="5" t="s">
        <v>4236</v>
      </c>
    </row>
    <row r="1118">
      <c r="A1118" s="1" t="s">
        <v>4237</v>
      </c>
      <c r="B1118" s="1" t="s">
        <v>4238</v>
      </c>
      <c r="C1118" s="1" t="s">
        <v>3905</v>
      </c>
      <c r="D1118" s="2">
        <v>1149.0</v>
      </c>
      <c r="E1118" s="2">
        <v>2499.0</v>
      </c>
      <c r="F1118" s="3">
        <f t="shared" si="7"/>
        <v>0.5402160864</v>
      </c>
      <c r="G1118" s="4">
        <f>IFERROR(__xludf.DUMMYFUNCTION("GOOGLEFINANCE(""CURRENCY:INRBRL"")*D1118"),68.70734648148)</f>
        <v>68.70734648</v>
      </c>
      <c r="H1118" s="1">
        <v>4.49</v>
      </c>
      <c r="I1118" s="1">
        <v>4383.0</v>
      </c>
      <c r="J1118" s="1" t="s">
        <v>4239</v>
      </c>
      <c r="K1118" s="5" t="s">
        <v>4240</v>
      </c>
    </row>
    <row r="1119">
      <c r="A1119" s="1" t="s">
        <v>4241</v>
      </c>
      <c r="B1119" s="1" t="s">
        <v>4242</v>
      </c>
      <c r="C1119" s="1" t="s">
        <v>4243</v>
      </c>
      <c r="D1119" s="2">
        <v>244.0</v>
      </c>
      <c r="E1119" s="2">
        <v>499.0</v>
      </c>
      <c r="F1119" s="3">
        <f t="shared" si="7"/>
        <v>0.5110220441</v>
      </c>
      <c r="G1119" s="4">
        <f>IFERROR(__xludf.DUMMYFUNCTION("GOOGLEFINANCE(""CURRENCY:INRBRL"")*D1119"),14.590594030879998)</f>
        <v>14.59059403</v>
      </c>
      <c r="H1119" s="1">
        <v>4.49</v>
      </c>
      <c r="I1119" s="1">
        <v>478.0</v>
      </c>
      <c r="J1119" s="1" t="s">
        <v>4244</v>
      </c>
      <c r="K1119" s="5" t="s">
        <v>4245</v>
      </c>
    </row>
    <row r="1120">
      <c r="A1120" s="1" t="s">
        <v>4246</v>
      </c>
      <c r="B1120" s="1" t="s">
        <v>4247</v>
      </c>
      <c r="C1120" s="1" t="s">
        <v>3837</v>
      </c>
      <c r="D1120" s="2">
        <v>1959.0</v>
      </c>
      <c r="E1120" s="2">
        <v>2399.0</v>
      </c>
      <c r="F1120" s="3">
        <f t="shared" si="7"/>
        <v>0.1834097541</v>
      </c>
      <c r="G1120" s="4">
        <f>IFERROR(__xludf.DUMMYFUNCTION("GOOGLEFINANCE(""CURRENCY:INRBRL"")*D1120"),117.14333486267999)</f>
        <v>117.1433349</v>
      </c>
      <c r="H1120" s="1">
        <v>4.49</v>
      </c>
      <c r="I1120" s="1">
        <v>237.0</v>
      </c>
      <c r="J1120" s="1" t="s">
        <v>4248</v>
      </c>
      <c r="K1120" s="5" t="s">
        <v>4249</v>
      </c>
    </row>
    <row r="1121">
      <c r="A1121" s="1" t="s">
        <v>4250</v>
      </c>
      <c r="B1121" s="1" t="s">
        <v>4251</v>
      </c>
      <c r="C1121" s="1" t="s">
        <v>3847</v>
      </c>
      <c r="D1121" s="2">
        <v>319.0</v>
      </c>
      <c r="E1121" s="2">
        <v>749.0</v>
      </c>
      <c r="F1121" s="3">
        <f t="shared" si="7"/>
        <v>0.5740987984</v>
      </c>
      <c r="G1121" s="4">
        <f>IFERROR(__xludf.DUMMYFUNCTION("GOOGLEFINANCE(""CURRENCY:INRBRL"")*D1121"),19.075407769879998)</f>
        <v>19.07540777</v>
      </c>
      <c r="H1121" s="1">
        <v>4.49</v>
      </c>
      <c r="I1121" s="1">
        <v>124.0</v>
      </c>
      <c r="J1121" s="1" t="s">
        <v>4252</v>
      </c>
      <c r="K1121" s="5" t="s">
        <v>4253</v>
      </c>
    </row>
    <row r="1122">
      <c r="A1122" s="1" t="s">
        <v>4254</v>
      </c>
      <c r="B1122" s="1" t="s">
        <v>4255</v>
      </c>
      <c r="C1122" s="1" t="s">
        <v>3832</v>
      </c>
      <c r="D1122" s="2">
        <v>1499.0</v>
      </c>
      <c r="E1122" s="2">
        <v>1775.0</v>
      </c>
      <c r="F1122" s="3">
        <f t="shared" si="7"/>
        <v>0.1554929577</v>
      </c>
      <c r="G1122" s="4">
        <f>IFERROR(__xludf.DUMMYFUNCTION("GOOGLEFINANCE(""CURRENCY:INRBRL"")*D1122"),89.63647726347999)</f>
        <v>89.63647726</v>
      </c>
      <c r="H1122" s="1">
        <v>4.49</v>
      </c>
      <c r="I1122" s="1">
        <v>14667.0</v>
      </c>
      <c r="J1122" s="1" t="s">
        <v>4256</v>
      </c>
      <c r="K1122" s="5" t="s">
        <v>4257</v>
      </c>
    </row>
    <row r="1123">
      <c r="A1123" s="1" t="s">
        <v>4258</v>
      </c>
      <c r="B1123" s="1" t="s">
        <v>4259</v>
      </c>
      <c r="C1123" s="1" t="s">
        <v>3847</v>
      </c>
      <c r="D1123" s="2">
        <v>469.0</v>
      </c>
      <c r="E1123" s="2">
        <v>1599.0</v>
      </c>
      <c r="F1123" s="3">
        <f t="shared" si="7"/>
        <v>0.7066916823</v>
      </c>
      <c r="G1123" s="4">
        <f>IFERROR(__xludf.DUMMYFUNCTION("GOOGLEFINANCE(""CURRENCY:INRBRL"")*D1123"),28.045035247879998)</f>
        <v>28.04503525</v>
      </c>
      <c r="H1123" s="1">
        <v>4.49</v>
      </c>
      <c r="I1123" s="1">
        <v>6.0</v>
      </c>
      <c r="J1123" s="1" t="s">
        <v>4260</v>
      </c>
      <c r="K1123" s="5" t="s">
        <v>4261</v>
      </c>
    </row>
    <row r="1124">
      <c r="A1124" s="1" t="s">
        <v>4262</v>
      </c>
      <c r="B1124" s="1" t="s">
        <v>4263</v>
      </c>
      <c r="C1124" s="1" t="s">
        <v>4217</v>
      </c>
      <c r="D1124" s="2">
        <v>1099.0</v>
      </c>
      <c r="E1124" s="2">
        <v>1795.0</v>
      </c>
      <c r="F1124" s="3">
        <f t="shared" si="7"/>
        <v>0.3877437326</v>
      </c>
      <c r="G1124" s="4">
        <f>IFERROR(__xludf.DUMMYFUNCTION("GOOGLEFINANCE(""CURRENCY:INRBRL"")*D1124"),65.71747065548)</f>
        <v>65.71747066</v>
      </c>
      <c r="H1124" s="1">
        <v>4.49</v>
      </c>
      <c r="I1124" s="1">
        <v>4244.0</v>
      </c>
      <c r="J1124" s="1" t="s">
        <v>4264</v>
      </c>
      <c r="K1124" s="5" t="s">
        <v>4265</v>
      </c>
    </row>
    <row r="1125">
      <c r="A1125" s="1" t="s">
        <v>4266</v>
      </c>
      <c r="B1125" s="1" t="s">
        <v>4267</v>
      </c>
      <c r="C1125" s="1" t="s">
        <v>3842</v>
      </c>
      <c r="D1125" s="2">
        <v>9599.0</v>
      </c>
      <c r="E1125" s="2">
        <v>15999.0</v>
      </c>
      <c r="F1125" s="3">
        <f>((D1125-E1125)/E1125)*-1</f>
        <v>0.4000250016</v>
      </c>
      <c r="G1125" s="4">
        <f>IFERROR(__xludf.DUMMYFUNCTION("GOOGLEFINANCE(""CURRENCY:INRBRL"")*D1125"),573.99636107548)</f>
        <v>573.9963611</v>
      </c>
      <c r="H1125" s="1">
        <v>4.49</v>
      </c>
      <c r="I1125" s="1">
        <v>1017.0</v>
      </c>
      <c r="J1125" s="1" t="s">
        <v>4268</v>
      </c>
      <c r="K1125" s="5" t="s">
        <v>4269</v>
      </c>
    </row>
    <row r="1126">
      <c r="A1126" s="1" t="s">
        <v>4270</v>
      </c>
      <c r="B1126" s="1" t="s">
        <v>4271</v>
      </c>
      <c r="C1126" s="1" t="s">
        <v>4272</v>
      </c>
      <c r="D1126" s="2">
        <v>999.0</v>
      </c>
      <c r="E1126" s="2">
        <v>1499.0</v>
      </c>
      <c r="F1126" s="3">
        <f t="shared" ref="F1126:F1282" si="8">((D1126-E1126)/-E1126)</f>
        <v>0.3335557038</v>
      </c>
      <c r="G1126" s="4">
        <f>IFERROR(__xludf.DUMMYFUNCTION("GOOGLEFINANCE(""CURRENCY:INRBRL"")*D1126"),59.737719003479995)</f>
        <v>59.737719</v>
      </c>
      <c r="H1126" s="1">
        <v>4.49</v>
      </c>
      <c r="I1126" s="1">
        <v>12999.0</v>
      </c>
      <c r="J1126" s="1" t="s">
        <v>4273</v>
      </c>
      <c r="K1126" s="5" t="s">
        <v>4274</v>
      </c>
    </row>
    <row r="1127">
      <c r="A1127" s="1" t="s">
        <v>4275</v>
      </c>
      <c r="B1127" s="1" t="s">
        <v>4276</v>
      </c>
      <c r="C1127" s="1" t="s">
        <v>3928</v>
      </c>
      <c r="D1127" s="2">
        <v>1299.0</v>
      </c>
      <c r="E1127" s="2">
        <v>1999.0</v>
      </c>
      <c r="F1127" s="3">
        <f t="shared" si="8"/>
        <v>0.3501750875</v>
      </c>
      <c r="G1127" s="4">
        <f>IFERROR(__xludf.DUMMYFUNCTION("GOOGLEFINANCE(""CURRENCY:INRBRL"")*D1127"),77.67697395948)</f>
        <v>77.67697396</v>
      </c>
      <c r="H1127" s="1">
        <v>4.49</v>
      </c>
      <c r="I1127" s="1">
        <v>311.0</v>
      </c>
      <c r="J1127" s="1" t="s">
        <v>4277</v>
      </c>
      <c r="K1127" s="5" t="s">
        <v>4278</v>
      </c>
    </row>
    <row r="1128">
      <c r="A1128" s="1" t="s">
        <v>4279</v>
      </c>
      <c r="B1128" s="1" t="s">
        <v>4280</v>
      </c>
      <c r="C1128" s="1" t="s">
        <v>4281</v>
      </c>
      <c r="D1128" s="2">
        <v>292.0</v>
      </c>
      <c r="E1128" s="2">
        <v>499.0</v>
      </c>
      <c r="F1128" s="3">
        <f t="shared" si="8"/>
        <v>0.4148296593</v>
      </c>
      <c r="G1128" s="4">
        <f>IFERROR(__xludf.DUMMYFUNCTION("GOOGLEFINANCE(""CURRENCY:INRBRL"")*D1128"),17.460874823839998)</f>
        <v>17.46087482</v>
      </c>
      <c r="H1128" s="1">
        <v>4.49</v>
      </c>
      <c r="I1128" s="1">
        <v>4238.0</v>
      </c>
      <c r="J1128" s="1" t="s">
        <v>4282</v>
      </c>
      <c r="K1128" s="5" t="s">
        <v>4283</v>
      </c>
    </row>
    <row r="1129">
      <c r="A1129" s="1" t="s">
        <v>4284</v>
      </c>
      <c r="B1129" s="1" t="s">
        <v>4285</v>
      </c>
      <c r="C1129" s="1" t="s">
        <v>4144</v>
      </c>
      <c r="D1129" s="2">
        <v>160.0</v>
      </c>
      <c r="E1129" s="2">
        <v>299.0</v>
      </c>
      <c r="F1129" s="3">
        <f t="shared" si="8"/>
        <v>0.4648829431</v>
      </c>
      <c r="G1129" s="4">
        <f>IFERROR(__xludf.DUMMYFUNCTION("GOOGLEFINANCE(""CURRENCY:INRBRL"")*D1129"),9.567602643199999)</f>
        <v>9.567602643</v>
      </c>
      <c r="H1129" s="1">
        <v>4.49</v>
      </c>
      <c r="I1129" s="1">
        <v>2781.0</v>
      </c>
      <c r="J1129" s="1" t="s">
        <v>4286</v>
      </c>
      <c r="K1129" s="5" t="s">
        <v>4287</v>
      </c>
    </row>
    <row r="1130">
      <c r="A1130" s="1" t="s">
        <v>4288</v>
      </c>
      <c r="B1130" s="1" t="s">
        <v>4289</v>
      </c>
      <c r="C1130" s="1" t="s">
        <v>4290</v>
      </c>
      <c r="D1130" s="2">
        <v>600.0</v>
      </c>
      <c r="E1130" s="2">
        <v>600.0</v>
      </c>
      <c r="F1130" s="3">
        <f t="shared" si="8"/>
        <v>0</v>
      </c>
      <c r="G1130" s="4">
        <f>IFERROR(__xludf.DUMMYFUNCTION("GOOGLEFINANCE(""CURRENCY:INRBRL"")*D1130"),35.878509912)</f>
        <v>35.87850991</v>
      </c>
      <c r="H1130" s="1">
        <v>4.49</v>
      </c>
      <c r="I1130" s="1">
        <v>10907.0</v>
      </c>
      <c r="J1130" s="1" t="s">
        <v>4291</v>
      </c>
      <c r="K1130" s="5" t="s">
        <v>4292</v>
      </c>
    </row>
    <row r="1131">
      <c r="A1131" s="1" t="s">
        <v>4293</v>
      </c>
      <c r="B1131" s="1" t="s">
        <v>4294</v>
      </c>
      <c r="C1131" s="1" t="s">
        <v>4295</v>
      </c>
      <c r="D1131" s="2">
        <v>1299.0</v>
      </c>
      <c r="E1131" s="2">
        <v>1299.0</v>
      </c>
      <c r="F1131" s="3">
        <f t="shared" si="8"/>
        <v>0</v>
      </c>
      <c r="G1131" s="4">
        <f>IFERROR(__xludf.DUMMYFUNCTION("GOOGLEFINANCE(""CURRENCY:INRBRL"")*D1131"),77.67697395948)</f>
        <v>77.67697396</v>
      </c>
      <c r="H1131" s="1">
        <v>4.49</v>
      </c>
      <c r="I1131" s="1">
        <v>1325.0</v>
      </c>
      <c r="J1131" s="1" t="s">
        <v>4296</v>
      </c>
      <c r="K1131" s="5" t="s">
        <v>4297</v>
      </c>
    </row>
    <row r="1132">
      <c r="A1132" s="1" t="s">
        <v>4298</v>
      </c>
      <c r="B1132" s="1" t="s">
        <v>4299</v>
      </c>
      <c r="C1132" s="1" t="s">
        <v>3905</v>
      </c>
      <c r="D1132" s="2">
        <v>3249.0</v>
      </c>
      <c r="E1132" s="2">
        <v>6295.0</v>
      </c>
      <c r="F1132" s="3">
        <f t="shared" si="8"/>
        <v>0.4838760921</v>
      </c>
      <c r="G1132" s="4">
        <f>IFERROR(__xludf.DUMMYFUNCTION("GOOGLEFINANCE(""CURRENCY:INRBRL"")*D1132"),194.28213117348)</f>
        <v>194.2821312</v>
      </c>
      <c r="H1132" s="1">
        <v>4.49</v>
      </c>
      <c r="I1132" s="1">
        <v>4307.0</v>
      </c>
      <c r="J1132" s="1" t="s">
        <v>4300</v>
      </c>
      <c r="K1132" s="5" t="s">
        <v>4301</v>
      </c>
    </row>
    <row r="1133">
      <c r="A1133" s="1" t="s">
        <v>4302</v>
      </c>
      <c r="B1133" s="1" t="s">
        <v>4303</v>
      </c>
      <c r="C1133" s="1" t="s">
        <v>3905</v>
      </c>
      <c r="D1133" s="2">
        <v>3599.0</v>
      </c>
      <c r="E1133" s="2">
        <v>9455.0</v>
      </c>
      <c r="F1133" s="3">
        <f t="shared" si="8"/>
        <v>0.6193548387</v>
      </c>
      <c r="G1133" s="4">
        <f>IFERROR(__xludf.DUMMYFUNCTION("GOOGLEFINANCE(""CURRENCY:INRBRL"")*D1133"),215.21126195547998)</f>
        <v>215.211262</v>
      </c>
      <c r="H1133" s="1">
        <v>4.49</v>
      </c>
      <c r="I1133" s="1">
        <v>11828.0</v>
      </c>
      <c r="J1133" s="1" t="s">
        <v>4304</v>
      </c>
      <c r="K1133" s="5" t="s">
        <v>4305</v>
      </c>
    </row>
    <row r="1134">
      <c r="A1134" s="1" t="s">
        <v>4306</v>
      </c>
      <c r="B1134" s="1" t="s">
        <v>4307</v>
      </c>
      <c r="C1134" s="1" t="s">
        <v>4040</v>
      </c>
      <c r="D1134" s="2">
        <v>368.0</v>
      </c>
      <c r="E1134" s="2">
        <v>699.0</v>
      </c>
      <c r="F1134" s="3">
        <f t="shared" si="8"/>
        <v>0.4735336195</v>
      </c>
      <c r="G1134" s="4">
        <f>IFERROR(__xludf.DUMMYFUNCTION("GOOGLEFINANCE(""CURRENCY:INRBRL"")*D1134"),22.005486079359997)</f>
        <v>22.00548608</v>
      </c>
      <c r="H1134" s="1">
        <v>4.49</v>
      </c>
      <c r="I1134" s="1">
        <v>124.0</v>
      </c>
      <c r="J1134" s="1" t="s">
        <v>4308</v>
      </c>
      <c r="K1134" s="5" t="s">
        <v>4309</v>
      </c>
    </row>
    <row r="1135">
      <c r="A1135" s="1" t="s">
        <v>4310</v>
      </c>
      <c r="B1135" s="1" t="s">
        <v>4311</v>
      </c>
      <c r="C1135" s="1" t="s">
        <v>3905</v>
      </c>
      <c r="D1135" s="2">
        <v>3199.0</v>
      </c>
      <c r="E1135" s="2">
        <v>4999.0</v>
      </c>
      <c r="F1135" s="3">
        <f t="shared" si="8"/>
        <v>0.3600720144</v>
      </c>
      <c r="G1135" s="4">
        <f>IFERROR(__xludf.DUMMYFUNCTION("GOOGLEFINANCE(""CURRENCY:INRBRL"")*D1135"),191.29225534748)</f>
        <v>191.2922553</v>
      </c>
      <c r="H1135" s="1">
        <v>4.49</v>
      </c>
      <c r="I1135" s="1">
        <v>20869.0</v>
      </c>
      <c r="J1135" s="1" t="s">
        <v>4312</v>
      </c>
      <c r="K1135" s="5" t="s">
        <v>4313</v>
      </c>
    </row>
    <row r="1136">
      <c r="A1136" s="1" t="s">
        <v>4314</v>
      </c>
      <c r="B1136" s="1" t="s">
        <v>4315</v>
      </c>
      <c r="C1136" s="1" t="s">
        <v>4316</v>
      </c>
      <c r="D1136" s="2">
        <v>1599.0</v>
      </c>
      <c r="E1136" s="2">
        <v>2999.0</v>
      </c>
      <c r="F1136" s="3">
        <f t="shared" si="8"/>
        <v>0.4668222741</v>
      </c>
      <c r="G1136" s="4">
        <f>IFERROR(__xludf.DUMMYFUNCTION("GOOGLEFINANCE(""CURRENCY:INRBRL"")*D1136"),95.61622891548)</f>
        <v>95.61622892</v>
      </c>
      <c r="H1136" s="1">
        <v>4.49</v>
      </c>
      <c r="I1136" s="1">
        <v>441.0</v>
      </c>
      <c r="J1136" s="1" t="s">
        <v>4317</v>
      </c>
      <c r="K1136" s="5" t="s">
        <v>4318</v>
      </c>
    </row>
    <row r="1137">
      <c r="A1137" s="1" t="s">
        <v>4319</v>
      </c>
      <c r="B1137" s="1" t="s">
        <v>4320</v>
      </c>
      <c r="C1137" s="1" t="s">
        <v>3895</v>
      </c>
      <c r="D1137" s="2">
        <v>1999.0</v>
      </c>
      <c r="E1137" s="2">
        <v>2499.0</v>
      </c>
      <c r="F1137" s="3">
        <f t="shared" si="8"/>
        <v>0.200080032</v>
      </c>
      <c r="G1137" s="4">
        <f>IFERROR(__xludf.DUMMYFUNCTION("GOOGLEFINANCE(""CURRENCY:INRBRL"")*D1137"),119.53523552348)</f>
        <v>119.5352355</v>
      </c>
      <c r="H1137" s="1">
        <v>4.49</v>
      </c>
      <c r="I1137" s="1">
        <v>1034.0</v>
      </c>
      <c r="J1137" s="1" t="s">
        <v>4321</v>
      </c>
      <c r="K1137" s="5" t="s">
        <v>4322</v>
      </c>
    </row>
    <row r="1138">
      <c r="A1138" s="1" t="s">
        <v>4323</v>
      </c>
      <c r="B1138" s="1" t="s">
        <v>4324</v>
      </c>
      <c r="C1138" s="1" t="s">
        <v>3900</v>
      </c>
      <c r="D1138" s="2">
        <v>616.0</v>
      </c>
      <c r="E1138" s="2">
        <v>1199.0</v>
      </c>
      <c r="F1138" s="3">
        <f t="shared" si="8"/>
        <v>0.4862385321</v>
      </c>
      <c r="G1138" s="4">
        <f>IFERROR(__xludf.DUMMYFUNCTION("GOOGLEFINANCE(""CURRENCY:INRBRL"")*D1138"),36.835270176319995)</f>
        <v>36.83527018</v>
      </c>
      <c r="H1138" s="1">
        <v>4.49</v>
      </c>
      <c r="I1138" s="1">
        <v>37126.0</v>
      </c>
      <c r="J1138" s="1" t="s">
        <v>4325</v>
      </c>
      <c r="K1138" s="5" t="s">
        <v>4326</v>
      </c>
    </row>
    <row r="1139">
      <c r="A1139" s="1" t="s">
        <v>4327</v>
      </c>
      <c r="B1139" s="1" t="s">
        <v>4328</v>
      </c>
      <c r="C1139" s="1" t="s">
        <v>3895</v>
      </c>
      <c r="D1139" s="2">
        <v>1499.0</v>
      </c>
      <c r="E1139" s="2">
        <v>2099.0</v>
      </c>
      <c r="F1139" s="3">
        <f t="shared" si="8"/>
        <v>0.285850405</v>
      </c>
      <c r="G1139" s="4">
        <f>IFERROR(__xludf.DUMMYFUNCTION("GOOGLEFINANCE(""CURRENCY:INRBRL"")*D1139"),89.63647726347999)</f>
        <v>89.63647726</v>
      </c>
      <c r="H1139" s="1">
        <v>4.49</v>
      </c>
      <c r="I1139" s="1">
        <v>6355.0</v>
      </c>
      <c r="J1139" s="1" t="s">
        <v>4329</v>
      </c>
      <c r="K1139" s="5" t="s">
        <v>4330</v>
      </c>
    </row>
    <row r="1140">
      <c r="A1140" s="1" t="s">
        <v>4331</v>
      </c>
      <c r="B1140" s="1" t="s">
        <v>4332</v>
      </c>
      <c r="C1140" s="1" t="s">
        <v>4144</v>
      </c>
      <c r="D1140" s="2">
        <v>199.0</v>
      </c>
      <c r="E1140" s="2">
        <v>499.0</v>
      </c>
      <c r="F1140" s="3">
        <f t="shared" si="8"/>
        <v>0.6012024048</v>
      </c>
      <c r="G1140" s="4">
        <f>IFERROR(__xludf.DUMMYFUNCTION("GOOGLEFINANCE(""CURRENCY:INRBRL"")*D1140"),11.899705787479999)</f>
        <v>11.89970579</v>
      </c>
      <c r="H1140" s="1">
        <v>4.49</v>
      </c>
      <c r="I1140" s="1">
        <v>12.0</v>
      </c>
      <c r="J1140" s="1" t="s">
        <v>4333</v>
      </c>
      <c r="K1140" s="5" t="s">
        <v>4334</v>
      </c>
    </row>
    <row r="1141">
      <c r="A1141" s="1" t="s">
        <v>4335</v>
      </c>
      <c r="B1141" s="1" t="s">
        <v>4336</v>
      </c>
      <c r="C1141" s="1" t="s">
        <v>3962</v>
      </c>
      <c r="D1141" s="2">
        <v>610.0</v>
      </c>
      <c r="E1141" s="2">
        <v>825.0</v>
      </c>
      <c r="F1141" s="3">
        <f t="shared" si="8"/>
        <v>0.2606060606</v>
      </c>
      <c r="G1141" s="4">
        <f>IFERROR(__xludf.DUMMYFUNCTION("GOOGLEFINANCE(""CURRENCY:INRBRL"")*D1141"),36.476485077199996)</f>
        <v>36.47648508</v>
      </c>
      <c r="H1141" s="1">
        <v>4.49</v>
      </c>
      <c r="I1141" s="1">
        <v>13165.0</v>
      </c>
      <c r="J1141" s="1" t="s">
        <v>4337</v>
      </c>
      <c r="K1141" s="5" t="s">
        <v>4338</v>
      </c>
    </row>
    <row r="1142">
      <c r="A1142" s="1" t="s">
        <v>4339</v>
      </c>
      <c r="B1142" s="1" t="s">
        <v>4340</v>
      </c>
      <c r="C1142" s="1" t="s">
        <v>4106</v>
      </c>
      <c r="D1142" s="2">
        <v>999.0</v>
      </c>
      <c r="E1142" s="2">
        <v>1499.0</v>
      </c>
      <c r="F1142" s="3">
        <f t="shared" si="8"/>
        <v>0.3335557038</v>
      </c>
      <c r="G1142" s="4">
        <f>IFERROR(__xludf.DUMMYFUNCTION("GOOGLEFINANCE(""CURRENCY:INRBRL"")*D1142"),59.737719003479995)</f>
        <v>59.737719</v>
      </c>
      <c r="H1142" s="1">
        <v>4.49</v>
      </c>
      <c r="I1142" s="1">
        <v>1646.0</v>
      </c>
      <c r="J1142" s="1" t="s">
        <v>4341</v>
      </c>
      <c r="K1142" s="5" t="s">
        <v>4342</v>
      </c>
    </row>
    <row r="1143">
      <c r="A1143" s="1" t="s">
        <v>4343</v>
      </c>
      <c r="B1143" s="1" t="s">
        <v>4344</v>
      </c>
      <c r="C1143" s="1" t="s">
        <v>4162</v>
      </c>
      <c r="D1143" s="2">
        <v>8999.0</v>
      </c>
      <c r="E1143" s="2">
        <v>9995.0</v>
      </c>
      <c r="F1143" s="3">
        <f t="shared" si="8"/>
        <v>0.09964982491</v>
      </c>
      <c r="G1143" s="4">
        <f>IFERROR(__xludf.DUMMYFUNCTION("GOOGLEFINANCE(""CURRENCY:INRBRL"")*D1143"),538.1178511634799)</f>
        <v>538.1178512</v>
      </c>
      <c r="H1143" s="1">
        <v>4.49</v>
      </c>
      <c r="I1143" s="1">
        <v>17994.0</v>
      </c>
      <c r="J1143" s="1" t="s">
        <v>4345</v>
      </c>
      <c r="K1143" s="5" t="s">
        <v>4346</v>
      </c>
    </row>
    <row r="1144">
      <c r="A1144" s="1" t="s">
        <v>4347</v>
      </c>
      <c r="B1144" s="1" t="s">
        <v>4348</v>
      </c>
      <c r="C1144" s="1" t="s">
        <v>3847</v>
      </c>
      <c r="D1144" s="2">
        <v>453.0</v>
      </c>
      <c r="E1144" s="2">
        <v>999.0</v>
      </c>
      <c r="F1144" s="3">
        <f t="shared" si="8"/>
        <v>0.5465465465</v>
      </c>
      <c r="G1144" s="4">
        <f>IFERROR(__xludf.DUMMYFUNCTION("GOOGLEFINANCE(""CURRENCY:INRBRL"")*D1144"),27.088274983559998)</f>
        <v>27.08827498</v>
      </c>
      <c r="H1144" s="1">
        <v>4.49</v>
      </c>
      <c r="I1144" s="1">
        <v>610.0</v>
      </c>
      <c r="J1144" s="1" t="s">
        <v>4349</v>
      </c>
      <c r="K1144" s="5" t="s">
        <v>4350</v>
      </c>
    </row>
    <row r="1145">
      <c r="A1145" s="1" t="s">
        <v>4351</v>
      </c>
      <c r="B1145" s="1" t="s">
        <v>4352</v>
      </c>
      <c r="C1145" s="1" t="s">
        <v>3905</v>
      </c>
      <c r="D1145" s="2">
        <v>2464.0</v>
      </c>
      <c r="E1145" s="2">
        <v>5999.0</v>
      </c>
      <c r="F1145" s="3">
        <f t="shared" si="8"/>
        <v>0.5892648775</v>
      </c>
      <c r="G1145" s="4">
        <f>IFERROR(__xludf.DUMMYFUNCTION("GOOGLEFINANCE(""CURRENCY:INRBRL"")*D1145"),147.34108070527998)</f>
        <v>147.3410807</v>
      </c>
      <c r="H1145" s="1">
        <v>4.49</v>
      </c>
      <c r="I1145" s="1">
        <v>8866.0</v>
      </c>
      <c r="J1145" s="1" t="s">
        <v>4353</v>
      </c>
      <c r="K1145" s="5" t="s">
        <v>4354</v>
      </c>
    </row>
    <row r="1146">
      <c r="A1146" s="1" t="s">
        <v>4355</v>
      </c>
      <c r="B1146" s="1" t="s">
        <v>4356</v>
      </c>
      <c r="C1146" s="1" t="s">
        <v>4316</v>
      </c>
      <c r="D1146" s="2">
        <v>2719.0</v>
      </c>
      <c r="E1146" s="2">
        <v>3945.0</v>
      </c>
      <c r="F1146" s="3">
        <f t="shared" si="8"/>
        <v>0.3107731305</v>
      </c>
      <c r="G1146" s="4">
        <f>IFERROR(__xludf.DUMMYFUNCTION("GOOGLEFINANCE(""CURRENCY:INRBRL"")*D1146"),162.58944741788)</f>
        <v>162.5894474</v>
      </c>
      <c r="H1146" s="1">
        <v>4.49</v>
      </c>
      <c r="I1146" s="1">
        <v>13406.0</v>
      </c>
      <c r="J1146" s="1" t="s">
        <v>4357</v>
      </c>
      <c r="K1146" s="5" t="s">
        <v>4358</v>
      </c>
    </row>
    <row r="1147">
      <c r="A1147" s="1" t="s">
        <v>4359</v>
      </c>
      <c r="B1147" s="1" t="s">
        <v>4360</v>
      </c>
      <c r="C1147" s="1" t="s">
        <v>3910</v>
      </c>
      <c r="D1147" s="2">
        <v>1439.0</v>
      </c>
      <c r="E1147" s="2">
        <v>1999.0</v>
      </c>
      <c r="F1147" s="3">
        <f t="shared" si="8"/>
        <v>0.28014007</v>
      </c>
      <c r="G1147" s="4">
        <f>IFERROR(__xludf.DUMMYFUNCTION("GOOGLEFINANCE(""CURRENCY:INRBRL"")*D1147"),86.04862627227999)</f>
        <v>86.04862627</v>
      </c>
      <c r="H1147" s="1">
        <v>4.49</v>
      </c>
      <c r="I1147" s="1">
        <v>53803.0</v>
      </c>
      <c r="J1147" s="1" t="s">
        <v>4361</v>
      </c>
      <c r="K1147" s="5" t="s">
        <v>4362</v>
      </c>
    </row>
    <row r="1148">
      <c r="A1148" s="1" t="s">
        <v>4363</v>
      </c>
      <c r="B1148" s="1" t="s">
        <v>4364</v>
      </c>
      <c r="C1148" s="1" t="s">
        <v>3895</v>
      </c>
      <c r="D1148" s="2">
        <v>2799.0</v>
      </c>
      <c r="E1148" s="2">
        <v>3499.0</v>
      </c>
      <c r="F1148" s="3">
        <f t="shared" si="8"/>
        <v>0.2000571592</v>
      </c>
      <c r="G1148" s="4">
        <f>IFERROR(__xludf.DUMMYFUNCTION("GOOGLEFINANCE(""CURRENCY:INRBRL"")*D1148"),167.37324873947998)</f>
        <v>167.3732487</v>
      </c>
      <c r="H1148" s="1">
        <v>4.49</v>
      </c>
      <c r="I1148" s="1">
        <v>546.0</v>
      </c>
      <c r="J1148" s="1" t="s">
        <v>4365</v>
      </c>
      <c r="K1148" s="5" t="s">
        <v>4366</v>
      </c>
    </row>
    <row r="1149">
      <c r="A1149" s="1" t="s">
        <v>4367</v>
      </c>
      <c r="B1149" s="1" t="s">
        <v>4368</v>
      </c>
      <c r="C1149" s="1" t="s">
        <v>3910</v>
      </c>
      <c r="D1149" s="2">
        <v>2088.0</v>
      </c>
      <c r="E1149" s="2">
        <v>5559.0</v>
      </c>
      <c r="F1149" s="3">
        <f t="shared" si="8"/>
        <v>0.6243928764</v>
      </c>
      <c r="G1149" s="4">
        <f>IFERROR(__xludf.DUMMYFUNCTION("GOOGLEFINANCE(""CURRENCY:INRBRL"")*D1149"),124.85721449376)</f>
        <v>124.8572145</v>
      </c>
      <c r="H1149" s="1">
        <v>4.49</v>
      </c>
      <c r="I1149" s="1">
        <v>5292.0</v>
      </c>
      <c r="J1149" s="1" t="s">
        <v>4369</v>
      </c>
      <c r="K1149" s="5" t="s">
        <v>4370</v>
      </c>
    </row>
    <row r="1150">
      <c r="A1150" s="1" t="s">
        <v>4371</v>
      </c>
      <c r="B1150" s="1" t="s">
        <v>4372</v>
      </c>
      <c r="C1150" s="1" t="s">
        <v>3910</v>
      </c>
      <c r="D1150" s="2">
        <v>2399.0</v>
      </c>
      <c r="E1150" s="2">
        <v>4599.0</v>
      </c>
      <c r="F1150" s="3">
        <f t="shared" si="8"/>
        <v>0.4783648619</v>
      </c>
      <c r="G1150" s="4">
        <f>IFERROR(__xludf.DUMMYFUNCTION("GOOGLEFINANCE(""CURRENCY:INRBRL"")*D1150"),143.45424213148)</f>
        <v>143.4542421</v>
      </c>
      <c r="H1150" s="1">
        <v>4.49</v>
      </c>
      <c r="I1150" s="1">
        <v>444.0</v>
      </c>
      <c r="J1150" s="1" t="s">
        <v>4373</v>
      </c>
      <c r="K1150" s="5" t="s">
        <v>4374</v>
      </c>
    </row>
    <row r="1151">
      <c r="A1151" s="1" t="s">
        <v>4375</v>
      </c>
      <c r="B1151" s="1" t="s">
        <v>4376</v>
      </c>
      <c r="C1151" s="1" t="s">
        <v>3852</v>
      </c>
      <c r="D1151" s="2">
        <v>308.0</v>
      </c>
      <c r="E1151" s="2">
        <v>499.0</v>
      </c>
      <c r="F1151" s="3">
        <f t="shared" si="8"/>
        <v>0.3827655311</v>
      </c>
      <c r="G1151" s="4">
        <f>IFERROR(__xludf.DUMMYFUNCTION("GOOGLEFINANCE(""CURRENCY:INRBRL"")*D1151"),18.417635088159997)</f>
        <v>18.41763509</v>
      </c>
      <c r="H1151" s="1">
        <v>4.49</v>
      </c>
      <c r="I1151" s="1">
        <v>4584.0</v>
      </c>
      <c r="J1151" s="1" t="s">
        <v>4377</v>
      </c>
      <c r="K1151" s="5" t="s">
        <v>4378</v>
      </c>
    </row>
    <row r="1152">
      <c r="A1152" s="1" t="s">
        <v>4379</v>
      </c>
      <c r="B1152" s="1" t="s">
        <v>4380</v>
      </c>
      <c r="C1152" s="1" t="s">
        <v>3910</v>
      </c>
      <c r="D1152" s="2">
        <v>2599.0</v>
      </c>
      <c r="E1152" s="2">
        <v>4399.0</v>
      </c>
      <c r="F1152" s="3">
        <f t="shared" si="8"/>
        <v>0.4091839054</v>
      </c>
      <c r="G1152" s="4">
        <f>IFERROR(__xludf.DUMMYFUNCTION("GOOGLEFINANCE(""CURRENCY:INRBRL"")*D1152"),155.41374543548)</f>
        <v>155.4137454</v>
      </c>
      <c r="H1152" s="1">
        <v>4.49</v>
      </c>
      <c r="I1152" s="1">
        <v>14947.0</v>
      </c>
      <c r="J1152" s="1" t="s">
        <v>4381</v>
      </c>
      <c r="K1152" s="5" t="s">
        <v>4382</v>
      </c>
    </row>
    <row r="1153">
      <c r="A1153" s="1" t="s">
        <v>4383</v>
      </c>
      <c r="B1153" s="1" t="s">
        <v>4384</v>
      </c>
      <c r="C1153" s="1" t="s">
        <v>3900</v>
      </c>
      <c r="D1153" s="2">
        <v>479.0</v>
      </c>
      <c r="E1153" s="2">
        <v>999.0</v>
      </c>
      <c r="F1153" s="3">
        <f t="shared" si="8"/>
        <v>0.5205205205</v>
      </c>
      <c r="G1153" s="4">
        <f>IFERROR(__xludf.DUMMYFUNCTION("GOOGLEFINANCE(""CURRENCY:INRBRL"")*D1153"),28.64301041308)</f>
        <v>28.64301041</v>
      </c>
      <c r="H1153" s="1">
        <v>4.49</v>
      </c>
      <c r="I1153" s="1">
        <v>1559.0</v>
      </c>
      <c r="J1153" s="1" t="s">
        <v>4385</v>
      </c>
      <c r="K1153" s="5" t="s">
        <v>4386</v>
      </c>
    </row>
    <row r="1154">
      <c r="A1154" s="1" t="s">
        <v>4387</v>
      </c>
      <c r="B1154" s="1" t="s">
        <v>4388</v>
      </c>
      <c r="C1154" s="1" t="s">
        <v>3847</v>
      </c>
      <c r="D1154" s="2">
        <v>245.0</v>
      </c>
      <c r="E1154" s="2">
        <v>299.0</v>
      </c>
      <c r="F1154" s="3">
        <f t="shared" si="8"/>
        <v>0.1806020067</v>
      </c>
      <c r="G1154" s="4">
        <f>IFERROR(__xludf.DUMMYFUNCTION("GOOGLEFINANCE(""CURRENCY:INRBRL"")*D1154"),14.6503915474)</f>
        <v>14.65039155</v>
      </c>
      <c r="H1154" s="1">
        <v>4.49</v>
      </c>
      <c r="I1154" s="1">
        <v>166.0</v>
      </c>
      <c r="J1154" s="1" t="s">
        <v>4389</v>
      </c>
      <c r="K1154" s="5" t="s">
        <v>4390</v>
      </c>
    </row>
    <row r="1155">
      <c r="A1155" s="1" t="s">
        <v>4391</v>
      </c>
      <c r="B1155" s="1" t="s">
        <v>4392</v>
      </c>
      <c r="C1155" s="1" t="s">
        <v>3847</v>
      </c>
      <c r="D1155" s="2">
        <v>179.0</v>
      </c>
      <c r="E1155" s="2">
        <v>799.0</v>
      </c>
      <c r="F1155" s="3">
        <f t="shared" si="8"/>
        <v>0.7759699625</v>
      </c>
      <c r="G1155" s="4">
        <f>IFERROR(__xludf.DUMMYFUNCTION("GOOGLEFINANCE(""CURRENCY:INRBRL"")*D1155"),10.70375545708)</f>
        <v>10.70375546</v>
      </c>
      <c r="H1155" s="1">
        <v>4.49</v>
      </c>
      <c r="I1155" s="1">
        <v>132.0</v>
      </c>
      <c r="J1155" s="1" t="s">
        <v>4393</v>
      </c>
      <c r="K1155" s="5" t="s">
        <v>4394</v>
      </c>
    </row>
    <row r="1156">
      <c r="A1156" s="1" t="s">
        <v>4395</v>
      </c>
      <c r="B1156" s="1" t="s">
        <v>4396</v>
      </c>
      <c r="C1156" s="1" t="s">
        <v>4149</v>
      </c>
      <c r="D1156" s="2">
        <v>3569.0</v>
      </c>
      <c r="E1156" s="2">
        <v>5199.0</v>
      </c>
      <c r="F1156" s="3">
        <f t="shared" si="8"/>
        <v>0.3135218311</v>
      </c>
      <c r="G1156" s="4">
        <f>IFERROR(__xludf.DUMMYFUNCTION("GOOGLEFINANCE(""CURRENCY:INRBRL"")*D1156"),213.41733645987998)</f>
        <v>213.4173365</v>
      </c>
      <c r="H1156" s="1">
        <v>4.49</v>
      </c>
      <c r="I1156" s="1">
        <v>28629.0</v>
      </c>
      <c r="J1156" s="1" t="s">
        <v>4397</v>
      </c>
      <c r="K1156" s="5" t="s">
        <v>4398</v>
      </c>
    </row>
    <row r="1157">
      <c r="A1157" s="1" t="s">
        <v>4399</v>
      </c>
      <c r="B1157" s="1" t="s">
        <v>4400</v>
      </c>
      <c r="C1157" s="1" t="s">
        <v>3832</v>
      </c>
      <c r="D1157" s="2">
        <v>699.0</v>
      </c>
      <c r="E1157" s="2">
        <v>1345.0</v>
      </c>
      <c r="F1157" s="3">
        <f t="shared" si="8"/>
        <v>0.4802973978</v>
      </c>
      <c r="G1157" s="4">
        <f>IFERROR(__xludf.DUMMYFUNCTION("GOOGLEFINANCE(""CURRENCY:INRBRL"")*D1157"),41.798464047479996)</f>
        <v>41.79846405</v>
      </c>
      <c r="H1157" s="1">
        <v>4.49</v>
      </c>
      <c r="I1157" s="1">
        <v>8446.0</v>
      </c>
      <c r="J1157" s="1" t="s">
        <v>4401</v>
      </c>
      <c r="K1157" s="5" t="s">
        <v>4402</v>
      </c>
    </row>
    <row r="1158">
      <c r="A1158" s="1" t="s">
        <v>4403</v>
      </c>
      <c r="B1158" s="1" t="s">
        <v>4404</v>
      </c>
      <c r="C1158" s="1" t="s">
        <v>3878</v>
      </c>
      <c r="D1158" s="2">
        <v>2089.0</v>
      </c>
      <c r="E1158" s="2">
        <v>3999.0</v>
      </c>
      <c r="F1158" s="3">
        <f t="shared" si="8"/>
        <v>0.4776194049</v>
      </c>
      <c r="G1158" s="4">
        <f>IFERROR(__xludf.DUMMYFUNCTION("GOOGLEFINANCE(""CURRENCY:INRBRL"")*D1158"),124.91701201027999)</f>
        <v>124.917012</v>
      </c>
      <c r="H1158" s="1">
        <v>4.49</v>
      </c>
      <c r="I1158" s="1">
        <v>11199.0</v>
      </c>
      <c r="J1158" s="1" t="s">
        <v>4405</v>
      </c>
      <c r="K1158" s="5" t="s">
        <v>4406</v>
      </c>
    </row>
    <row r="1159">
      <c r="A1159" s="1" t="s">
        <v>4407</v>
      </c>
      <c r="B1159" s="1" t="s">
        <v>4408</v>
      </c>
      <c r="C1159" s="1" t="s">
        <v>4409</v>
      </c>
      <c r="D1159" s="2">
        <v>2339.0</v>
      </c>
      <c r="E1159" s="2">
        <v>3999.0</v>
      </c>
      <c r="F1159" s="3">
        <f t="shared" si="8"/>
        <v>0.4151037759</v>
      </c>
      <c r="G1159" s="4">
        <f>IFERROR(__xludf.DUMMYFUNCTION("GOOGLEFINANCE(""CURRENCY:INRBRL"")*D1159"),139.86639114028)</f>
        <v>139.8663911</v>
      </c>
      <c r="H1159" s="1">
        <v>4.49</v>
      </c>
      <c r="I1159" s="1">
        <v>1118.0</v>
      </c>
      <c r="J1159" s="1" t="s">
        <v>4410</v>
      </c>
      <c r="K1159" s="5" t="s">
        <v>4411</v>
      </c>
    </row>
    <row r="1160">
      <c r="A1160" s="1" t="s">
        <v>4412</v>
      </c>
      <c r="B1160" s="1" t="s">
        <v>4413</v>
      </c>
      <c r="C1160" s="1" t="s">
        <v>3842</v>
      </c>
      <c r="D1160" s="2">
        <v>784.0</v>
      </c>
      <c r="E1160" s="2">
        <v>1599.0</v>
      </c>
      <c r="F1160" s="3">
        <f t="shared" si="8"/>
        <v>0.5096935585</v>
      </c>
      <c r="G1160" s="4">
        <f>IFERROR(__xludf.DUMMYFUNCTION("GOOGLEFINANCE(""CURRENCY:INRBRL"")*D1160"),46.88125295168)</f>
        <v>46.88125295</v>
      </c>
      <c r="H1160" s="1">
        <v>4.49</v>
      </c>
      <c r="I1160" s="1">
        <v>11.0</v>
      </c>
      <c r="J1160" s="1" t="s">
        <v>4414</v>
      </c>
      <c r="K1160" s="5" t="s">
        <v>4415</v>
      </c>
    </row>
    <row r="1161">
      <c r="A1161" s="1" t="s">
        <v>4416</v>
      </c>
      <c r="B1161" s="1" t="s">
        <v>4417</v>
      </c>
      <c r="C1161" s="1" t="s">
        <v>4418</v>
      </c>
      <c r="D1161" s="2">
        <v>5499.0</v>
      </c>
      <c r="E1161" s="2">
        <v>9999.0</v>
      </c>
      <c r="F1161" s="3">
        <f t="shared" si="8"/>
        <v>0.4500450045</v>
      </c>
      <c r="G1161" s="4">
        <f>IFERROR(__xludf.DUMMYFUNCTION("GOOGLEFINANCE(""CURRENCY:INRBRL"")*D1161"),328.82654334347995)</f>
        <v>328.8265433</v>
      </c>
      <c r="H1161" s="1">
        <v>4.49</v>
      </c>
      <c r="I1161" s="1">
        <v>4353.0</v>
      </c>
      <c r="J1161" s="1" t="s">
        <v>4419</v>
      </c>
      <c r="K1161" s="5" t="s">
        <v>4420</v>
      </c>
    </row>
    <row r="1162">
      <c r="A1162" s="1" t="s">
        <v>4421</v>
      </c>
      <c r="B1162" s="1" t="s">
        <v>4422</v>
      </c>
      <c r="C1162" s="1" t="s">
        <v>3842</v>
      </c>
      <c r="D1162" s="2">
        <v>899.0</v>
      </c>
      <c r="E1162" s="2">
        <v>1999.0</v>
      </c>
      <c r="F1162" s="3">
        <f t="shared" si="8"/>
        <v>0.5502751376</v>
      </c>
      <c r="G1162" s="4">
        <f>IFERROR(__xludf.DUMMYFUNCTION("GOOGLEFINANCE(""CURRENCY:INRBRL"")*D1162"),53.75796735148)</f>
        <v>53.75796735</v>
      </c>
      <c r="H1162" s="1">
        <v>4.49</v>
      </c>
      <c r="I1162" s="1">
        <v>185.0</v>
      </c>
      <c r="J1162" s="1" t="s">
        <v>4423</v>
      </c>
      <c r="K1162" s="5" t="s">
        <v>4424</v>
      </c>
    </row>
    <row r="1163">
      <c r="A1163" s="1" t="s">
        <v>4425</v>
      </c>
      <c r="B1163" s="1" t="s">
        <v>4426</v>
      </c>
      <c r="C1163" s="1" t="s">
        <v>3895</v>
      </c>
      <c r="D1163" s="2">
        <v>1695.0</v>
      </c>
      <c r="E1163" s="2">
        <v>1695.0</v>
      </c>
      <c r="F1163" s="3">
        <f t="shared" si="8"/>
        <v>0</v>
      </c>
      <c r="G1163" s="4">
        <f>IFERROR(__xludf.DUMMYFUNCTION("GOOGLEFINANCE(""CURRENCY:INRBRL"")*D1163"),101.3567905014)</f>
        <v>101.3567905</v>
      </c>
      <c r="H1163" s="1">
        <v>4.49</v>
      </c>
      <c r="I1163" s="1">
        <v>1429.0</v>
      </c>
      <c r="J1163" s="1" t="s">
        <v>4427</v>
      </c>
      <c r="K1163" s="5" t="s">
        <v>4428</v>
      </c>
    </row>
    <row r="1164">
      <c r="A1164" s="1" t="s">
        <v>4429</v>
      </c>
      <c r="B1164" s="1" t="s">
        <v>4430</v>
      </c>
      <c r="C1164" s="1" t="s">
        <v>3900</v>
      </c>
      <c r="D1164" s="2">
        <v>499.0</v>
      </c>
      <c r="E1164" s="2">
        <v>940.0</v>
      </c>
      <c r="F1164" s="3">
        <f t="shared" si="8"/>
        <v>0.4691489362</v>
      </c>
      <c r="G1164" s="4">
        <f>IFERROR(__xludf.DUMMYFUNCTION("GOOGLEFINANCE(""CURRENCY:INRBRL"")*D1164"),29.838960743479998)</f>
        <v>29.83896074</v>
      </c>
      <c r="H1164" s="1">
        <v>4.49</v>
      </c>
      <c r="I1164" s="1">
        <v>3036.0</v>
      </c>
      <c r="J1164" s="1" t="s">
        <v>4179</v>
      </c>
      <c r="K1164" s="5" t="s">
        <v>4431</v>
      </c>
    </row>
    <row r="1165">
      <c r="A1165" s="1" t="s">
        <v>4432</v>
      </c>
      <c r="B1165" s="1" t="s">
        <v>4433</v>
      </c>
      <c r="C1165" s="1" t="s">
        <v>3910</v>
      </c>
      <c r="D1165" s="2">
        <v>2699.0</v>
      </c>
      <c r="E1165" s="2">
        <v>4699.0</v>
      </c>
      <c r="F1165" s="3">
        <f t="shared" si="8"/>
        <v>0.4256224729</v>
      </c>
      <c r="G1165" s="4">
        <f>IFERROR(__xludf.DUMMYFUNCTION("GOOGLEFINANCE(""CURRENCY:INRBRL"")*D1165"),161.39349708748)</f>
        <v>161.3934971</v>
      </c>
      <c r="H1165" s="1">
        <v>4.49</v>
      </c>
      <c r="I1165" s="1">
        <v>1296.0</v>
      </c>
      <c r="J1165" s="1" t="s">
        <v>4434</v>
      </c>
      <c r="K1165" s="5" t="s">
        <v>4435</v>
      </c>
    </row>
    <row r="1166">
      <c r="A1166" s="1" t="s">
        <v>4436</v>
      </c>
      <c r="B1166" s="1" t="s">
        <v>4437</v>
      </c>
      <c r="C1166" s="1" t="s">
        <v>3910</v>
      </c>
      <c r="D1166" s="2">
        <v>1448.0</v>
      </c>
      <c r="E1166" s="2">
        <v>2999.0</v>
      </c>
      <c r="F1166" s="3">
        <f t="shared" si="8"/>
        <v>0.5171723908</v>
      </c>
      <c r="G1166" s="4">
        <f>IFERROR(__xludf.DUMMYFUNCTION("GOOGLEFINANCE(""CURRENCY:INRBRL"")*D1166"),86.58680392096)</f>
        <v>86.58680392</v>
      </c>
      <c r="H1166" s="1">
        <v>4.49</v>
      </c>
      <c r="I1166" s="1">
        <v>19.0</v>
      </c>
      <c r="J1166" s="1" t="s">
        <v>4438</v>
      </c>
      <c r="K1166" s="5" t="s">
        <v>4439</v>
      </c>
    </row>
    <row r="1167">
      <c r="A1167" s="1" t="s">
        <v>4440</v>
      </c>
      <c r="B1167" s="1" t="s">
        <v>4441</v>
      </c>
      <c r="C1167" s="1" t="s">
        <v>4144</v>
      </c>
      <c r="D1167" s="2">
        <v>79.0</v>
      </c>
      <c r="E1167" s="2">
        <v>79.0</v>
      </c>
      <c r="F1167" s="3">
        <f t="shared" si="8"/>
        <v>0</v>
      </c>
      <c r="G1167" s="4">
        <f>IFERROR(__xludf.DUMMYFUNCTION("GOOGLEFINANCE(""CURRENCY:INRBRL"")*D1167"),4.72400380508)</f>
        <v>4.724003805</v>
      </c>
      <c r="H1167" s="1">
        <v>4.49</v>
      </c>
      <c r="I1167" s="1">
        <v>97.0</v>
      </c>
      <c r="J1167" s="1" t="s">
        <v>4442</v>
      </c>
      <c r="K1167" s="5" t="s">
        <v>4443</v>
      </c>
    </row>
    <row r="1168">
      <c r="A1168" s="1" t="s">
        <v>4444</v>
      </c>
      <c r="B1168" s="1" t="s">
        <v>4445</v>
      </c>
      <c r="C1168" s="1" t="s">
        <v>3933</v>
      </c>
      <c r="D1168" s="2">
        <v>6999.0</v>
      </c>
      <c r="E1168" s="2">
        <v>14299.0</v>
      </c>
      <c r="F1168" s="3">
        <f t="shared" si="8"/>
        <v>0.5105252116</v>
      </c>
      <c r="G1168" s="4">
        <f>IFERROR(__xludf.DUMMYFUNCTION("GOOGLEFINANCE(""CURRENCY:INRBRL"")*D1168"),418.52281812347996)</f>
        <v>418.5228181</v>
      </c>
      <c r="H1168" s="1">
        <v>4.49</v>
      </c>
      <c r="I1168" s="1">
        <v>1771.0</v>
      </c>
      <c r="J1168" s="1" t="s">
        <v>4446</v>
      </c>
      <c r="K1168" s="5" t="s">
        <v>4447</v>
      </c>
    </row>
    <row r="1169">
      <c r="A1169" s="1" t="s">
        <v>4448</v>
      </c>
      <c r="B1169" s="1" t="s">
        <v>4449</v>
      </c>
      <c r="C1169" s="1" t="s">
        <v>3878</v>
      </c>
      <c r="D1169" s="2">
        <v>2698.0</v>
      </c>
      <c r="E1169" s="2">
        <v>3945.0</v>
      </c>
      <c r="F1169" s="3">
        <f t="shared" si="8"/>
        <v>0.3160963245</v>
      </c>
      <c r="G1169" s="4">
        <f>IFERROR(__xludf.DUMMYFUNCTION("GOOGLEFINANCE(""CURRENCY:INRBRL"")*D1169"),161.33369957096)</f>
        <v>161.3336996</v>
      </c>
      <c r="H1169" s="1">
        <v>4.49</v>
      </c>
      <c r="I1169" s="1">
        <v>15034.0</v>
      </c>
      <c r="J1169" s="1" t="s">
        <v>4450</v>
      </c>
      <c r="K1169" s="5" t="s">
        <v>4451</v>
      </c>
    </row>
    <row r="1170">
      <c r="A1170" s="1" t="s">
        <v>4452</v>
      </c>
      <c r="B1170" s="1" t="s">
        <v>4453</v>
      </c>
      <c r="C1170" s="1" t="s">
        <v>4418</v>
      </c>
      <c r="D1170" s="2">
        <v>3199.0</v>
      </c>
      <c r="E1170" s="2">
        <v>5999.0</v>
      </c>
      <c r="F1170" s="3">
        <f t="shared" si="8"/>
        <v>0.4667444574</v>
      </c>
      <c r="G1170" s="4">
        <f>IFERROR(__xludf.DUMMYFUNCTION("GOOGLEFINANCE(""CURRENCY:INRBRL"")*D1170"),191.29225534748)</f>
        <v>191.2922553</v>
      </c>
      <c r="H1170" s="1">
        <v>4.49</v>
      </c>
      <c r="I1170" s="1">
        <v>3242.0</v>
      </c>
      <c r="J1170" s="1" t="s">
        <v>4454</v>
      </c>
      <c r="K1170" s="5" t="s">
        <v>4455</v>
      </c>
    </row>
    <row r="1171">
      <c r="A1171" s="1" t="s">
        <v>4456</v>
      </c>
      <c r="B1171" s="1" t="s">
        <v>4457</v>
      </c>
      <c r="C1171" s="1" t="s">
        <v>3928</v>
      </c>
      <c r="D1171" s="2">
        <v>1199.0</v>
      </c>
      <c r="E1171" s="2">
        <v>1949.0</v>
      </c>
      <c r="F1171" s="3">
        <f t="shared" si="8"/>
        <v>0.3848127245</v>
      </c>
      <c r="G1171" s="4">
        <f>IFERROR(__xludf.DUMMYFUNCTION("GOOGLEFINANCE(""CURRENCY:INRBRL"")*D1171"),71.69722230747999)</f>
        <v>71.69722231</v>
      </c>
      <c r="H1171" s="1">
        <v>4.49</v>
      </c>
      <c r="I1171" s="1">
        <v>2832.0</v>
      </c>
      <c r="J1171" s="1" t="s">
        <v>4458</v>
      </c>
      <c r="K1171" s="5" t="s">
        <v>4459</v>
      </c>
    </row>
    <row r="1172">
      <c r="A1172" s="1" t="s">
        <v>4460</v>
      </c>
      <c r="B1172" s="1" t="s">
        <v>4461</v>
      </c>
      <c r="C1172" s="1" t="s">
        <v>4106</v>
      </c>
      <c r="D1172" s="2">
        <v>1414.0</v>
      </c>
      <c r="E1172" s="2">
        <v>2799.0</v>
      </c>
      <c r="F1172" s="3">
        <f t="shared" si="8"/>
        <v>0.4948195784</v>
      </c>
      <c r="G1172" s="4">
        <f>IFERROR(__xludf.DUMMYFUNCTION("GOOGLEFINANCE(""CURRENCY:INRBRL"")*D1172"),84.55368835927999)</f>
        <v>84.55368836</v>
      </c>
      <c r="H1172" s="1">
        <v>4.49</v>
      </c>
      <c r="I1172" s="1">
        <v>1498.0</v>
      </c>
      <c r="J1172" s="1" t="s">
        <v>4462</v>
      </c>
      <c r="K1172" s="5" t="s">
        <v>4463</v>
      </c>
    </row>
    <row r="1173">
      <c r="A1173" s="1" t="s">
        <v>4464</v>
      </c>
      <c r="B1173" s="1" t="s">
        <v>4465</v>
      </c>
      <c r="C1173" s="1" t="s">
        <v>3832</v>
      </c>
      <c r="D1173" s="2">
        <v>999.0</v>
      </c>
      <c r="E1173" s="2">
        <v>1949.0</v>
      </c>
      <c r="F1173" s="3">
        <f t="shared" si="8"/>
        <v>0.487429451</v>
      </c>
      <c r="G1173" s="4">
        <f>IFERROR(__xludf.DUMMYFUNCTION("GOOGLEFINANCE(""CURRENCY:INRBRL"")*D1173"),59.737719003479995)</f>
        <v>59.737719</v>
      </c>
      <c r="H1173" s="1">
        <v>4.49</v>
      </c>
      <c r="I1173" s="1">
        <v>305.0</v>
      </c>
      <c r="J1173" s="1" t="s">
        <v>4466</v>
      </c>
      <c r="K1173" s="5" t="s">
        <v>4467</v>
      </c>
    </row>
    <row r="1174">
      <c r="A1174" s="1" t="s">
        <v>4468</v>
      </c>
      <c r="B1174" s="1" t="s">
        <v>4469</v>
      </c>
      <c r="C1174" s="1" t="s">
        <v>4162</v>
      </c>
      <c r="D1174" s="2">
        <v>5999.0</v>
      </c>
      <c r="E1174" s="2">
        <v>9999.0</v>
      </c>
      <c r="F1174" s="3">
        <f t="shared" si="8"/>
        <v>0.400040004</v>
      </c>
      <c r="G1174" s="4">
        <f>IFERROR(__xludf.DUMMYFUNCTION("GOOGLEFINANCE(""CURRENCY:INRBRL"")*D1174"),358.72530160348)</f>
        <v>358.7253016</v>
      </c>
      <c r="H1174" s="1">
        <v>4.49</v>
      </c>
      <c r="I1174" s="1">
        <v>1191.0</v>
      </c>
      <c r="J1174" s="1" t="s">
        <v>4470</v>
      </c>
      <c r="K1174" s="5" t="s">
        <v>4471</v>
      </c>
    </row>
    <row r="1175">
      <c r="A1175" s="1" t="s">
        <v>4472</v>
      </c>
      <c r="B1175" s="1" t="s">
        <v>4473</v>
      </c>
      <c r="C1175" s="1" t="s">
        <v>4474</v>
      </c>
      <c r="D1175" s="2">
        <v>9979.0</v>
      </c>
      <c r="E1175" s="2">
        <v>12999.0</v>
      </c>
      <c r="F1175" s="3">
        <f t="shared" si="8"/>
        <v>0.2323255635</v>
      </c>
      <c r="G1175" s="4">
        <f>IFERROR(__xludf.DUMMYFUNCTION("GOOGLEFINANCE(""CURRENCY:INRBRL"")*D1175"),596.71941735308)</f>
        <v>596.7194174</v>
      </c>
      <c r="H1175" s="1">
        <v>4.49</v>
      </c>
      <c r="I1175" s="1">
        <v>4049.0</v>
      </c>
      <c r="J1175" s="1" t="s">
        <v>4475</v>
      </c>
      <c r="K1175" s="5" t="s">
        <v>4476</v>
      </c>
    </row>
    <row r="1176">
      <c r="A1176" s="1" t="s">
        <v>4477</v>
      </c>
      <c r="B1176" s="1" t="s">
        <v>4478</v>
      </c>
      <c r="C1176" s="1" t="s">
        <v>4479</v>
      </c>
      <c r="D1176" s="2">
        <v>698.0</v>
      </c>
      <c r="E1176" s="2">
        <v>699.0</v>
      </c>
      <c r="F1176" s="3">
        <f t="shared" si="8"/>
        <v>0.001430615165</v>
      </c>
      <c r="G1176" s="4">
        <f>IFERROR(__xludf.DUMMYFUNCTION("GOOGLEFINANCE(""CURRENCY:INRBRL"")*D1176"),41.738666530959996)</f>
        <v>41.73866653</v>
      </c>
      <c r="H1176" s="1">
        <v>4.49</v>
      </c>
      <c r="I1176" s="1">
        <v>316.0</v>
      </c>
      <c r="J1176" s="1" t="s">
        <v>4480</v>
      </c>
      <c r="K1176" s="5" t="s">
        <v>4481</v>
      </c>
    </row>
    <row r="1177">
      <c r="A1177" s="1" t="s">
        <v>4482</v>
      </c>
      <c r="B1177" s="1" t="s">
        <v>4483</v>
      </c>
      <c r="C1177" s="1" t="s">
        <v>4149</v>
      </c>
      <c r="D1177" s="2">
        <v>2199.0</v>
      </c>
      <c r="E1177" s="2">
        <v>3199.0</v>
      </c>
      <c r="F1177" s="3">
        <f t="shared" si="8"/>
        <v>0.3125976868</v>
      </c>
      <c r="G1177" s="4">
        <f>IFERROR(__xludf.DUMMYFUNCTION("GOOGLEFINANCE(""CURRENCY:INRBRL"")*D1177"),131.49473882748)</f>
        <v>131.4947388</v>
      </c>
      <c r="H1177" s="1">
        <v>4.49</v>
      </c>
      <c r="I1177" s="1">
        <v>965.0</v>
      </c>
      <c r="J1177" s="1" t="s">
        <v>4484</v>
      </c>
      <c r="K1177" s="5" t="s">
        <v>4485</v>
      </c>
    </row>
    <row r="1178">
      <c r="A1178" s="1" t="s">
        <v>4486</v>
      </c>
      <c r="B1178" s="1" t="s">
        <v>4487</v>
      </c>
      <c r="C1178" s="1" t="s">
        <v>4488</v>
      </c>
      <c r="D1178" s="2">
        <v>320.0</v>
      </c>
      <c r="E1178" s="2">
        <v>799.0</v>
      </c>
      <c r="F1178" s="3">
        <f t="shared" si="8"/>
        <v>0.5994993742</v>
      </c>
      <c r="G1178" s="4">
        <f>IFERROR(__xludf.DUMMYFUNCTION("GOOGLEFINANCE(""CURRENCY:INRBRL"")*D1178"),19.135205286399998)</f>
        <v>19.13520529</v>
      </c>
      <c r="H1178" s="1">
        <v>4.49</v>
      </c>
      <c r="I1178" s="1">
        <v>3846.0</v>
      </c>
      <c r="J1178" s="1" t="s">
        <v>4489</v>
      </c>
      <c r="K1178" s="5" t="s">
        <v>4490</v>
      </c>
    </row>
    <row r="1179">
      <c r="A1179" s="1" t="s">
        <v>4491</v>
      </c>
      <c r="B1179" s="1" t="s">
        <v>4492</v>
      </c>
      <c r="C1179" s="1" t="s">
        <v>3847</v>
      </c>
      <c r="D1179" s="2">
        <v>298.0</v>
      </c>
      <c r="E1179" s="2">
        <v>499.0</v>
      </c>
      <c r="F1179" s="3">
        <f t="shared" si="8"/>
        <v>0.4028056112</v>
      </c>
      <c r="G1179" s="4">
        <f>IFERROR(__xludf.DUMMYFUNCTION("GOOGLEFINANCE(""CURRENCY:INRBRL"")*D1179"),17.81965992296)</f>
        <v>17.81965992</v>
      </c>
      <c r="H1179" s="1">
        <v>4.49</v>
      </c>
      <c r="I1179" s="1">
        <v>290.0</v>
      </c>
      <c r="J1179" s="1" t="s">
        <v>4493</v>
      </c>
      <c r="K1179" s="5" t="s">
        <v>4494</v>
      </c>
    </row>
    <row r="1180">
      <c r="A1180" s="1" t="s">
        <v>4495</v>
      </c>
      <c r="B1180" s="1" t="s">
        <v>4496</v>
      </c>
      <c r="C1180" s="1" t="s">
        <v>4002</v>
      </c>
      <c r="D1180" s="2">
        <v>1199.0</v>
      </c>
      <c r="E1180" s="2">
        <v>1499.0</v>
      </c>
      <c r="F1180" s="3">
        <f t="shared" si="8"/>
        <v>0.2001334223</v>
      </c>
      <c r="G1180" s="4">
        <f>IFERROR(__xludf.DUMMYFUNCTION("GOOGLEFINANCE(""CURRENCY:INRBRL"")*D1180"),71.69722230747999)</f>
        <v>71.69722231</v>
      </c>
      <c r="H1180" s="1">
        <v>4.49</v>
      </c>
      <c r="I1180" s="1">
        <v>2206.0</v>
      </c>
      <c r="J1180" s="1" t="s">
        <v>4497</v>
      </c>
      <c r="K1180" s="5" t="s">
        <v>4498</v>
      </c>
    </row>
    <row r="1181">
      <c r="A1181" s="1" t="s">
        <v>4499</v>
      </c>
      <c r="B1181" s="1" t="s">
        <v>4500</v>
      </c>
      <c r="C1181" s="1" t="s">
        <v>4149</v>
      </c>
      <c r="D1181" s="2">
        <v>1399.0</v>
      </c>
      <c r="E1181" s="2">
        <v>2669.0</v>
      </c>
      <c r="F1181" s="3">
        <f t="shared" si="8"/>
        <v>0.4758336456</v>
      </c>
      <c r="G1181" s="4">
        <f>IFERROR(__xludf.DUMMYFUNCTION("GOOGLEFINANCE(""CURRENCY:INRBRL"")*D1181"),83.65672561148)</f>
        <v>83.65672561</v>
      </c>
      <c r="H1181" s="1">
        <v>4.49</v>
      </c>
      <c r="I1181" s="1">
        <v>9349.0</v>
      </c>
      <c r="J1181" s="1" t="s">
        <v>4501</v>
      </c>
      <c r="K1181" s="5" t="s">
        <v>4502</v>
      </c>
    </row>
    <row r="1182">
      <c r="A1182" s="1" t="s">
        <v>4503</v>
      </c>
      <c r="B1182" s="1" t="s">
        <v>4504</v>
      </c>
      <c r="C1182" s="1" t="s">
        <v>3852</v>
      </c>
      <c r="D1182" s="2">
        <v>599.0</v>
      </c>
      <c r="E1182" s="2">
        <v>2799.0</v>
      </c>
      <c r="F1182" s="3">
        <f t="shared" si="8"/>
        <v>0.7859949982</v>
      </c>
      <c r="G1182" s="4">
        <f>IFERROR(__xludf.DUMMYFUNCTION("GOOGLEFINANCE(""CURRENCY:INRBRL"")*D1182"),35.81871239548)</f>
        <v>35.8187124</v>
      </c>
      <c r="H1182" s="1">
        <v>4.49</v>
      </c>
      <c r="I1182" s="1">
        <v>578.0</v>
      </c>
      <c r="J1182" s="1" t="s">
        <v>4505</v>
      </c>
      <c r="K1182" s="5" t="s">
        <v>4506</v>
      </c>
    </row>
    <row r="1183">
      <c r="A1183" s="1" t="s">
        <v>4507</v>
      </c>
      <c r="B1183" s="1" t="s">
        <v>4508</v>
      </c>
      <c r="C1183" s="1" t="s">
        <v>4217</v>
      </c>
      <c r="D1183" s="2">
        <v>1499.0</v>
      </c>
      <c r="E1183" s="2">
        <v>1499.0</v>
      </c>
      <c r="F1183" s="3">
        <f t="shared" si="8"/>
        <v>0</v>
      </c>
      <c r="G1183" s="4">
        <f>IFERROR(__xludf.DUMMYFUNCTION("GOOGLEFINANCE(""CURRENCY:INRBRL"")*D1183"),89.63647726347999)</f>
        <v>89.63647726</v>
      </c>
      <c r="H1183" s="1">
        <v>4.49</v>
      </c>
      <c r="I1183" s="1">
        <v>9331.0</v>
      </c>
      <c r="J1183" s="1" t="s">
        <v>4509</v>
      </c>
      <c r="K1183" s="5" t="s">
        <v>4510</v>
      </c>
    </row>
    <row r="1184">
      <c r="A1184" s="1" t="s">
        <v>4511</v>
      </c>
      <c r="B1184" s="1" t="s">
        <v>4512</v>
      </c>
      <c r="C1184" s="1" t="s">
        <v>4474</v>
      </c>
      <c r="D1184" s="2">
        <v>14499.0</v>
      </c>
      <c r="E1184" s="2">
        <v>59999.0</v>
      </c>
      <c r="F1184" s="3">
        <f t="shared" si="8"/>
        <v>0.7583459724</v>
      </c>
      <c r="G1184" s="4">
        <f>IFERROR(__xludf.DUMMYFUNCTION("GOOGLEFINANCE(""CURRENCY:INRBRL"")*D1184"),867.00419202348)</f>
        <v>867.004192</v>
      </c>
      <c r="H1184" s="1">
        <v>4.49</v>
      </c>
      <c r="I1184" s="1">
        <v>3837.0</v>
      </c>
      <c r="J1184" s="1" t="s">
        <v>4513</v>
      </c>
      <c r="K1184" s="5" t="s">
        <v>4514</v>
      </c>
    </row>
    <row r="1185">
      <c r="A1185" s="1" t="s">
        <v>4515</v>
      </c>
      <c r="B1185" s="1" t="s">
        <v>4516</v>
      </c>
      <c r="C1185" s="1" t="s">
        <v>4479</v>
      </c>
      <c r="D1185" s="2">
        <v>1699.0</v>
      </c>
      <c r="E1185" s="2">
        <v>1899.0</v>
      </c>
      <c r="F1185" s="3">
        <f t="shared" si="8"/>
        <v>0.1053185887</v>
      </c>
      <c r="G1185" s="4">
        <f>IFERROR(__xludf.DUMMYFUNCTION("GOOGLEFINANCE(""CURRENCY:INRBRL"")*D1185"),101.59598056748)</f>
        <v>101.5959806</v>
      </c>
      <c r="H1185" s="1">
        <v>4.49</v>
      </c>
      <c r="I1185" s="1">
        <v>11456.0</v>
      </c>
      <c r="J1185" s="1" t="s">
        <v>4517</v>
      </c>
      <c r="K1185" s="5" t="s">
        <v>4518</v>
      </c>
    </row>
    <row r="1186">
      <c r="A1186" s="1" t="s">
        <v>4519</v>
      </c>
      <c r="B1186" s="1" t="s">
        <v>4520</v>
      </c>
      <c r="C1186" s="1" t="s">
        <v>3837</v>
      </c>
      <c r="D1186" s="2">
        <v>649.0</v>
      </c>
      <c r="E1186" s="2">
        <v>999.0</v>
      </c>
      <c r="F1186" s="3">
        <f t="shared" si="8"/>
        <v>0.3503503504</v>
      </c>
      <c r="G1186" s="4">
        <f>IFERROR(__xludf.DUMMYFUNCTION("GOOGLEFINANCE(""CURRENCY:INRBRL"")*D1186"),38.80858822148)</f>
        <v>38.80858822</v>
      </c>
      <c r="H1186" s="1">
        <v>4.49</v>
      </c>
      <c r="I1186" s="1">
        <v>49.0</v>
      </c>
      <c r="J1186" s="1" t="s">
        <v>4521</v>
      </c>
      <c r="K1186" s="5" t="s">
        <v>4522</v>
      </c>
    </row>
    <row r="1187">
      <c r="A1187" s="1" t="s">
        <v>4523</v>
      </c>
      <c r="B1187" s="1" t="s">
        <v>4524</v>
      </c>
      <c r="C1187" s="1" t="s">
        <v>3905</v>
      </c>
      <c r="D1187" s="2">
        <v>3249.0</v>
      </c>
      <c r="E1187" s="2">
        <v>6375.0</v>
      </c>
      <c r="F1187" s="3">
        <f t="shared" si="8"/>
        <v>0.4903529412</v>
      </c>
      <c r="G1187" s="4">
        <f>IFERROR(__xludf.DUMMYFUNCTION("GOOGLEFINANCE(""CURRENCY:INRBRL"")*D1187"),194.28213117348)</f>
        <v>194.2821312</v>
      </c>
      <c r="H1187" s="1">
        <v>4.49</v>
      </c>
      <c r="I1187" s="1">
        <v>4978.0</v>
      </c>
      <c r="J1187" s="1" t="s">
        <v>4525</v>
      </c>
      <c r="K1187" s="5" t="s">
        <v>4526</v>
      </c>
    </row>
    <row r="1188">
      <c r="A1188" s="1" t="s">
        <v>4527</v>
      </c>
      <c r="B1188" s="1" t="s">
        <v>4528</v>
      </c>
      <c r="C1188" s="1" t="s">
        <v>3980</v>
      </c>
      <c r="D1188" s="2">
        <v>199.0</v>
      </c>
      <c r="E1188" s="2">
        <v>499.0</v>
      </c>
      <c r="F1188" s="3">
        <f t="shared" si="8"/>
        <v>0.6012024048</v>
      </c>
      <c r="G1188" s="4">
        <f>IFERROR(__xludf.DUMMYFUNCTION("GOOGLEFINANCE(""CURRENCY:INRBRL"")*D1188"),11.899705787479999)</f>
        <v>11.89970579</v>
      </c>
      <c r="H1188" s="1">
        <v>4.49</v>
      </c>
      <c r="I1188" s="1">
        <v>1996.0</v>
      </c>
      <c r="J1188" s="1" t="s">
        <v>4529</v>
      </c>
      <c r="K1188" s="5" t="s">
        <v>4530</v>
      </c>
    </row>
    <row r="1189">
      <c r="A1189" s="1" t="s">
        <v>4531</v>
      </c>
      <c r="B1189" s="1" t="s">
        <v>4532</v>
      </c>
      <c r="C1189" s="1" t="s">
        <v>4040</v>
      </c>
      <c r="D1189" s="2">
        <v>1099.0</v>
      </c>
      <c r="E1189" s="2">
        <v>1899.0</v>
      </c>
      <c r="F1189" s="3">
        <f t="shared" si="8"/>
        <v>0.4212743549</v>
      </c>
      <c r="G1189" s="4">
        <f>IFERROR(__xludf.DUMMYFUNCTION("GOOGLEFINANCE(""CURRENCY:INRBRL"")*D1189"),65.71747065548)</f>
        <v>65.71747066</v>
      </c>
      <c r="H1189" s="1">
        <v>4.49</v>
      </c>
      <c r="I1189" s="1">
        <v>1811.0</v>
      </c>
      <c r="J1189" s="1" t="s">
        <v>4533</v>
      </c>
      <c r="K1189" s="5" t="s">
        <v>4534</v>
      </c>
    </row>
    <row r="1190">
      <c r="A1190" s="1" t="s">
        <v>4535</v>
      </c>
      <c r="B1190" s="1" t="s">
        <v>4536</v>
      </c>
      <c r="C1190" s="1" t="s">
        <v>3832</v>
      </c>
      <c r="D1190" s="2">
        <v>664.0</v>
      </c>
      <c r="E1190" s="2">
        <v>1499.0</v>
      </c>
      <c r="F1190" s="3">
        <f t="shared" si="8"/>
        <v>0.5570380254</v>
      </c>
      <c r="G1190" s="4">
        <f>IFERROR(__xludf.DUMMYFUNCTION("GOOGLEFINANCE(""CURRENCY:INRBRL"")*D1190"),39.70555096928)</f>
        <v>39.70555097</v>
      </c>
      <c r="H1190" s="1">
        <v>4.49</v>
      </c>
      <c r="I1190" s="1">
        <v>2198.0</v>
      </c>
      <c r="J1190" s="1" t="s">
        <v>4537</v>
      </c>
      <c r="K1190" s="5" t="s">
        <v>4538</v>
      </c>
    </row>
    <row r="1191">
      <c r="A1191" s="1" t="s">
        <v>4539</v>
      </c>
      <c r="B1191" s="1" t="s">
        <v>4540</v>
      </c>
      <c r="C1191" s="1" t="s">
        <v>4053</v>
      </c>
      <c r="D1191" s="2">
        <v>260.0</v>
      </c>
      <c r="E1191" s="2">
        <v>350.0</v>
      </c>
      <c r="F1191" s="3">
        <f t="shared" si="8"/>
        <v>0.2571428571</v>
      </c>
      <c r="G1191" s="4">
        <f>IFERROR(__xludf.DUMMYFUNCTION("GOOGLEFINANCE(""CURRENCY:INRBRL"")*D1191"),15.5473542952)</f>
        <v>15.5473543</v>
      </c>
      <c r="H1191" s="1">
        <v>4.49</v>
      </c>
      <c r="I1191" s="1">
        <v>13127.0</v>
      </c>
      <c r="J1191" s="1" t="s">
        <v>4541</v>
      </c>
      <c r="K1191" s="5" t="s">
        <v>4542</v>
      </c>
    </row>
    <row r="1192">
      <c r="A1192" s="1" t="s">
        <v>4543</v>
      </c>
      <c r="B1192" s="1" t="s">
        <v>4544</v>
      </c>
      <c r="C1192" s="1" t="s">
        <v>3933</v>
      </c>
      <c r="D1192" s="2">
        <v>6499.0</v>
      </c>
      <c r="E1192" s="2">
        <v>8499.0</v>
      </c>
      <c r="F1192" s="3">
        <f t="shared" si="8"/>
        <v>0.2353218026</v>
      </c>
      <c r="G1192" s="4">
        <f>IFERROR(__xludf.DUMMYFUNCTION("GOOGLEFINANCE(""CURRENCY:INRBRL"")*D1192"),388.62405986348)</f>
        <v>388.6240599</v>
      </c>
      <c r="H1192" s="1">
        <v>4.49</v>
      </c>
      <c r="I1192" s="1">
        <v>5865.0</v>
      </c>
      <c r="J1192" s="1" t="s">
        <v>4545</v>
      </c>
      <c r="K1192" s="5" t="s">
        <v>4546</v>
      </c>
    </row>
    <row r="1193">
      <c r="A1193" s="1" t="s">
        <v>4547</v>
      </c>
      <c r="B1193" s="1" t="s">
        <v>4548</v>
      </c>
      <c r="C1193" s="1" t="s">
        <v>4549</v>
      </c>
      <c r="D1193" s="2">
        <v>1484.0</v>
      </c>
      <c r="E1193" s="2">
        <v>2499.0</v>
      </c>
      <c r="F1193" s="3">
        <f t="shared" si="8"/>
        <v>0.406162465</v>
      </c>
      <c r="G1193" s="4">
        <f>IFERROR(__xludf.DUMMYFUNCTION("GOOGLEFINANCE(""CURRENCY:INRBRL"")*D1193"),88.73951451568)</f>
        <v>88.73951452</v>
      </c>
      <c r="H1193" s="1">
        <v>4.49</v>
      </c>
      <c r="I1193" s="1">
        <v>1067.0</v>
      </c>
      <c r="J1193" s="1" t="s">
        <v>4550</v>
      </c>
      <c r="K1193" s="5" t="s">
        <v>4551</v>
      </c>
    </row>
    <row r="1194">
      <c r="A1194" s="1" t="s">
        <v>4552</v>
      </c>
      <c r="B1194" s="1" t="s">
        <v>4553</v>
      </c>
      <c r="C1194" s="1" t="s">
        <v>3985</v>
      </c>
      <c r="D1194" s="2">
        <v>999.0</v>
      </c>
      <c r="E1194" s="2">
        <v>1599.0</v>
      </c>
      <c r="F1194" s="3">
        <f t="shared" si="8"/>
        <v>0.3752345216</v>
      </c>
      <c r="G1194" s="4">
        <f>IFERROR(__xludf.DUMMYFUNCTION("GOOGLEFINANCE(""CURRENCY:INRBRL"")*D1194"),59.737719003479995)</f>
        <v>59.737719</v>
      </c>
      <c r="H1194" s="1">
        <v>4.49</v>
      </c>
      <c r="I1194" s="1">
        <v>4881.0</v>
      </c>
      <c r="J1194" s="1" t="s">
        <v>4554</v>
      </c>
      <c r="K1194" s="5" t="s">
        <v>4555</v>
      </c>
    </row>
    <row r="1195">
      <c r="A1195" s="1" t="s">
        <v>4556</v>
      </c>
      <c r="B1195" s="1" t="s">
        <v>4557</v>
      </c>
      <c r="C1195" s="1" t="s">
        <v>4002</v>
      </c>
      <c r="D1195" s="2">
        <v>3299.0</v>
      </c>
      <c r="E1195" s="2">
        <v>6499.0</v>
      </c>
      <c r="F1195" s="3">
        <f t="shared" si="8"/>
        <v>0.4923834436</v>
      </c>
      <c r="G1195" s="4">
        <f>IFERROR(__xludf.DUMMYFUNCTION("GOOGLEFINANCE(""CURRENCY:INRBRL"")*D1195"),197.27200699948)</f>
        <v>197.272007</v>
      </c>
      <c r="H1195" s="1">
        <v>4.49</v>
      </c>
      <c r="I1195" s="1">
        <v>11217.0</v>
      </c>
      <c r="J1195" s="1" t="s">
        <v>4558</v>
      </c>
      <c r="K1195" s="5" t="s">
        <v>4559</v>
      </c>
    </row>
    <row r="1196">
      <c r="A1196" s="1" t="s">
        <v>4560</v>
      </c>
      <c r="B1196" s="1" t="s">
        <v>4561</v>
      </c>
      <c r="C1196" s="1" t="s">
        <v>3895</v>
      </c>
      <c r="D1196" s="2">
        <v>259.0</v>
      </c>
      <c r="E1196" s="2">
        <v>999.0</v>
      </c>
      <c r="F1196" s="3">
        <f t="shared" si="8"/>
        <v>0.7407407407</v>
      </c>
      <c r="G1196" s="4">
        <f>IFERROR(__xludf.DUMMYFUNCTION("GOOGLEFINANCE(""CURRENCY:INRBRL"")*D1196"),15.487556778679998)</f>
        <v>15.48755678</v>
      </c>
      <c r="H1196" s="1">
        <v>4.49</v>
      </c>
      <c r="I1196" s="1">
        <v>43.0</v>
      </c>
      <c r="J1196" s="1" t="s">
        <v>4562</v>
      </c>
      <c r="K1196" s="5" t="s">
        <v>4563</v>
      </c>
    </row>
    <row r="1197">
      <c r="A1197" s="1" t="s">
        <v>4564</v>
      </c>
      <c r="B1197" s="1" t="s">
        <v>4565</v>
      </c>
      <c r="C1197" s="1" t="s">
        <v>3905</v>
      </c>
      <c r="D1197" s="2">
        <v>3249.0</v>
      </c>
      <c r="E1197" s="2">
        <v>7795.0</v>
      </c>
      <c r="F1197" s="3">
        <f t="shared" si="8"/>
        <v>0.5831943554</v>
      </c>
      <c r="G1197" s="4">
        <f>IFERROR(__xludf.DUMMYFUNCTION("GOOGLEFINANCE(""CURRENCY:INRBRL"")*D1197"),194.28213117348)</f>
        <v>194.2821312</v>
      </c>
      <c r="H1197" s="1">
        <v>4.49</v>
      </c>
      <c r="I1197" s="1">
        <v>4664.0</v>
      </c>
      <c r="J1197" s="1" t="s">
        <v>4566</v>
      </c>
      <c r="K1197" s="5" t="s">
        <v>4567</v>
      </c>
    </row>
    <row r="1198">
      <c r="A1198" s="1" t="s">
        <v>4568</v>
      </c>
      <c r="B1198" s="1" t="s">
        <v>4569</v>
      </c>
      <c r="C1198" s="1" t="s">
        <v>3985</v>
      </c>
      <c r="D1198" s="2">
        <v>4299.0</v>
      </c>
      <c r="E1198" s="2">
        <v>5995.0</v>
      </c>
      <c r="F1198" s="3">
        <f t="shared" si="8"/>
        <v>0.2829024187</v>
      </c>
      <c r="G1198" s="4">
        <f>IFERROR(__xludf.DUMMYFUNCTION("GOOGLEFINANCE(""CURRENCY:INRBRL"")*D1198"),257.06952351947996)</f>
        <v>257.0695235</v>
      </c>
      <c r="H1198" s="1">
        <v>4.49</v>
      </c>
      <c r="I1198" s="1">
        <v>2112.0</v>
      </c>
      <c r="J1198" s="1" t="s">
        <v>4570</v>
      </c>
      <c r="K1198" s="5" t="s">
        <v>4571</v>
      </c>
    </row>
    <row r="1199">
      <c r="A1199" s="1" t="s">
        <v>4572</v>
      </c>
      <c r="B1199" s="1" t="s">
        <v>4573</v>
      </c>
      <c r="C1199" s="1" t="s">
        <v>4574</v>
      </c>
      <c r="D1199" s="2">
        <v>189.0</v>
      </c>
      <c r="E1199" s="2">
        <v>299.0</v>
      </c>
      <c r="F1199" s="3">
        <f t="shared" si="8"/>
        <v>0.3678929766</v>
      </c>
      <c r="G1199" s="4">
        <f>IFERROR(__xludf.DUMMYFUNCTION("GOOGLEFINANCE(""CURRENCY:INRBRL"")*D1199"),11.30173062228)</f>
        <v>11.30173062</v>
      </c>
      <c r="H1199" s="1">
        <v>4.49</v>
      </c>
      <c r="I1199" s="1">
        <v>2737.0</v>
      </c>
      <c r="J1199" s="1" t="s">
        <v>4575</v>
      </c>
      <c r="K1199" s="5" t="s">
        <v>4576</v>
      </c>
    </row>
    <row r="1200">
      <c r="A1200" s="1" t="s">
        <v>4577</v>
      </c>
      <c r="B1200" s="1" t="s">
        <v>4578</v>
      </c>
      <c r="C1200" s="1" t="s">
        <v>4149</v>
      </c>
      <c r="D1200" s="2">
        <v>1449.0</v>
      </c>
      <c r="E1200" s="2">
        <v>2349.0</v>
      </c>
      <c r="F1200" s="3">
        <f t="shared" si="8"/>
        <v>0.3831417625</v>
      </c>
      <c r="G1200" s="4">
        <f>IFERROR(__xludf.DUMMYFUNCTION("GOOGLEFINANCE(""CURRENCY:INRBRL"")*D1200"),86.64660143748)</f>
        <v>86.64660144</v>
      </c>
      <c r="H1200" s="1">
        <v>4.49</v>
      </c>
      <c r="I1200" s="1">
        <v>9019.0</v>
      </c>
      <c r="J1200" s="1" t="s">
        <v>4579</v>
      </c>
      <c r="K1200" s="5" t="s">
        <v>4580</v>
      </c>
    </row>
    <row r="1201">
      <c r="A1201" s="1" t="s">
        <v>4581</v>
      </c>
      <c r="B1201" s="1" t="s">
        <v>4582</v>
      </c>
      <c r="C1201" s="1" t="s">
        <v>3980</v>
      </c>
      <c r="D1201" s="2">
        <v>199.0</v>
      </c>
      <c r="E1201" s="2">
        <v>499.0</v>
      </c>
      <c r="F1201" s="3">
        <f t="shared" si="8"/>
        <v>0.6012024048</v>
      </c>
      <c r="G1201" s="4">
        <f>IFERROR(__xludf.DUMMYFUNCTION("GOOGLEFINANCE(""CURRENCY:INRBRL"")*D1201"),11.899705787479999)</f>
        <v>11.89970579</v>
      </c>
      <c r="H1201" s="1">
        <v>4.49</v>
      </c>
      <c r="I1201" s="1">
        <v>10234.0</v>
      </c>
      <c r="J1201" s="1" t="s">
        <v>4583</v>
      </c>
      <c r="K1201" s="5" t="s">
        <v>4584</v>
      </c>
    </row>
    <row r="1202">
      <c r="A1202" s="1" t="s">
        <v>4585</v>
      </c>
      <c r="B1202" s="1" t="s">
        <v>4586</v>
      </c>
      <c r="C1202" s="1" t="s">
        <v>4587</v>
      </c>
      <c r="D1202" s="2">
        <v>474.0</v>
      </c>
      <c r="E1202" s="2">
        <v>1299.0</v>
      </c>
      <c r="F1202" s="3">
        <f t="shared" si="8"/>
        <v>0.6351039261</v>
      </c>
      <c r="G1202" s="4">
        <f>IFERROR(__xludf.DUMMYFUNCTION("GOOGLEFINANCE(""CURRENCY:INRBRL"")*D1202"),28.344022830479997)</f>
        <v>28.34402283</v>
      </c>
      <c r="H1202" s="1">
        <v>4.49</v>
      </c>
      <c r="I1202" s="1">
        <v>550.0</v>
      </c>
      <c r="J1202" s="1" t="s">
        <v>4588</v>
      </c>
      <c r="K1202" s="5" t="s">
        <v>4589</v>
      </c>
    </row>
    <row r="1203">
      <c r="A1203" s="1" t="s">
        <v>4590</v>
      </c>
      <c r="B1203" s="1" t="s">
        <v>4591</v>
      </c>
      <c r="C1203" s="1" t="s">
        <v>3895</v>
      </c>
      <c r="D1203" s="2">
        <v>279.0</v>
      </c>
      <c r="E1203" s="2">
        <v>499.0</v>
      </c>
      <c r="F1203" s="3">
        <f t="shared" si="8"/>
        <v>0.4408817635</v>
      </c>
      <c r="G1203" s="4">
        <f>IFERROR(__xludf.DUMMYFUNCTION("GOOGLEFINANCE(""CURRENCY:INRBRL"")*D1203"),16.68350710908)</f>
        <v>16.68350711</v>
      </c>
      <c r="H1203" s="1">
        <v>4.49</v>
      </c>
      <c r="I1203" s="1">
        <v>28.0</v>
      </c>
      <c r="J1203" s="1" t="s">
        <v>4592</v>
      </c>
      <c r="K1203" s="5" t="s">
        <v>4593</v>
      </c>
    </row>
    <row r="1204">
      <c r="A1204" s="1" t="s">
        <v>4594</v>
      </c>
      <c r="B1204" s="1" t="s">
        <v>4595</v>
      </c>
      <c r="C1204" s="1" t="s">
        <v>4149</v>
      </c>
      <c r="D1204" s="2">
        <v>1999.0</v>
      </c>
      <c r="E1204" s="2">
        <v>4775.0</v>
      </c>
      <c r="F1204" s="3">
        <f t="shared" si="8"/>
        <v>0.5813612565</v>
      </c>
      <c r="G1204" s="4">
        <f>IFERROR(__xludf.DUMMYFUNCTION("GOOGLEFINANCE(""CURRENCY:INRBRL"")*D1204"),119.53523552348)</f>
        <v>119.5352355</v>
      </c>
      <c r="H1204" s="1">
        <v>4.49</v>
      </c>
      <c r="I1204" s="1">
        <v>1353.0</v>
      </c>
      <c r="J1204" s="1" t="s">
        <v>4596</v>
      </c>
      <c r="K1204" s="5" t="s">
        <v>4597</v>
      </c>
    </row>
    <row r="1205">
      <c r="A1205" s="1" t="s">
        <v>4598</v>
      </c>
      <c r="B1205" s="1" t="s">
        <v>4599</v>
      </c>
      <c r="C1205" s="1" t="s">
        <v>3847</v>
      </c>
      <c r="D1205" s="2">
        <v>799.0</v>
      </c>
      <c r="E1205" s="2">
        <v>1239.0</v>
      </c>
      <c r="F1205" s="3">
        <f t="shared" si="8"/>
        <v>0.3551251009</v>
      </c>
      <c r="G1205" s="4">
        <f>IFERROR(__xludf.DUMMYFUNCTION("GOOGLEFINANCE(""CURRENCY:INRBRL"")*D1205"),47.77821569948)</f>
        <v>47.7782157</v>
      </c>
      <c r="H1205" s="1">
        <v>4.49</v>
      </c>
      <c r="I1205" s="1">
        <v>2138.0</v>
      </c>
      <c r="J1205" s="1" t="s">
        <v>4600</v>
      </c>
      <c r="K1205" s="5" t="s">
        <v>4601</v>
      </c>
    </row>
    <row r="1206">
      <c r="A1206" s="1" t="s">
        <v>4602</v>
      </c>
      <c r="B1206" s="1" t="s">
        <v>4603</v>
      </c>
      <c r="C1206" s="1" t="s">
        <v>4106</v>
      </c>
      <c r="D1206" s="2">
        <v>949.0</v>
      </c>
      <c r="E1206" s="2">
        <v>1999.0</v>
      </c>
      <c r="F1206" s="3">
        <f t="shared" si="8"/>
        <v>0.5252626313</v>
      </c>
      <c r="G1206" s="4">
        <f>IFERROR(__xludf.DUMMYFUNCTION("GOOGLEFINANCE(""CURRENCY:INRBRL"")*D1206"),56.74784317748)</f>
        <v>56.74784318</v>
      </c>
      <c r="H1206" s="1">
        <v>4.49</v>
      </c>
      <c r="I1206" s="1">
        <v>1679.0</v>
      </c>
      <c r="J1206" s="1" t="s">
        <v>4604</v>
      </c>
      <c r="K1206" s="5" t="s">
        <v>4605</v>
      </c>
    </row>
    <row r="1207">
      <c r="A1207" s="1" t="s">
        <v>4606</v>
      </c>
      <c r="B1207" s="1" t="s">
        <v>4607</v>
      </c>
      <c r="C1207" s="1" t="s">
        <v>4608</v>
      </c>
      <c r="D1207" s="2">
        <v>3657.66</v>
      </c>
      <c r="E1207" s="2">
        <v>5156.0</v>
      </c>
      <c r="F1207" s="3">
        <f t="shared" si="8"/>
        <v>0.2906012413</v>
      </c>
      <c r="G1207" s="4">
        <f>IFERROR(__xludf.DUMMYFUNCTION("GOOGLEFINANCE(""CURRENCY:INRBRL"")*D1207"),218.71898427454317)</f>
        <v>218.7189843</v>
      </c>
      <c r="H1207" s="1">
        <v>4.49</v>
      </c>
      <c r="I1207" s="1">
        <v>12837.0</v>
      </c>
      <c r="J1207" s="1" t="s">
        <v>4609</v>
      </c>
      <c r="K1207" s="5" t="s">
        <v>4610</v>
      </c>
    </row>
    <row r="1208">
      <c r="A1208" s="1" t="s">
        <v>4611</v>
      </c>
      <c r="B1208" s="1" t="s">
        <v>4612</v>
      </c>
      <c r="C1208" s="1" t="s">
        <v>4613</v>
      </c>
      <c r="D1208" s="2">
        <v>1699.0</v>
      </c>
      <c r="E1208" s="2">
        <v>1999.0</v>
      </c>
      <c r="F1208" s="3">
        <f t="shared" si="8"/>
        <v>0.1500750375</v>
      </c>
      <c r="G1208" s="4">
        <f>IFERROR(__xludf.DUMMYFUNCTION("GOOGLEFINANCE(""CURRENCY:INRBRL"")*D1208"),101.59598056748)</f>
        <v>101.5959806</v>
      </c>
      <c r="H1208" s="1">
        <v>4.49</v>
      </c>
      <c r="I1208" s="1">
        <v>8873.0</v>
      </c>
      <c r="J1208" s="1" t="s">
        <v>4614</v>
      </c>
      <c r="K1208" s="5" t="s">
        <v>4615</v>
      </c>
    </row>
    <row r="1209">
      <c r="A1209" s="1" t="s">
        <v>4616</v>
      </c>
      <c r="B1209" s="1" t="s">
        <v>4617</v>
      </c>
      <c r="C1209" s="1" t="s">
        <v>3985</v>
      </c>
      <c r="D1209" s="2">
        <v>1849.0</v>
      </c>
      <c r="E1209" s="2">
        <v>2095.0</v>
      </c>
      <c r="F1209" s="3">
        <f t="shared" si="8"/>
        <v>0.1174224344</v>
      </c>
      <c r="G1209" s="4">
        <f>IFERROR(__xludf.DUMMYFUNCTION("GOOGLEFINANCE(""CURRENCY:INRBRL"")*D1209"),110.56560804547999)</f>
        <v>110.565608</v>
      </c>
      <c r="H1209" s="1">
        <v>4.49</v>
      </c>
      <c r="I1209" s="1">
        <v>7681.0</v>
      </c>
      <c r="J1209" s="1" t="s">
        <v>4618</v>
      </c>
      <c r="K1209" s="5" t="s">
        <v>4619</v>
      </c>
    </row>
    <row r="1210">
      <c r="A1210" s="1" t="s">
        <v>4620</v>
      </c>
      <c r="B1210" s="1" t="s">
        <v>4621</v>
      </c>
      <c r="C1210" s="1" t="s">
        <v>3842</v>
      </c>
      <c r="D1210" s="2">
        <v>12499.0</v>
      </c>
      <c r="E1210" s="2">
        <v>19825.0</v>
      </c>
      <c r="F1210" s="3">
        <f t="shared" si="8"/>
        <v>0.3695334174</v>
      </c>
      <c r="G1210" s="4">
        <f>IFERROR(__xludf.DUMMYFUNCTION("GOOGLEFINANCE(""CURRENCY:INRBRL"")*D1210"),747.40915898348)</f>
        <v>747.409159</v>
      </c>
      <c r="H1210" s="1">
        <v>4.49</v>
      </c>
      <c r="I1210" s="1">
        <v>322.0</v>
      </c>
      <c r="J1210" s="1" t="s">
        <v>4622</v>
      </c>
      <c r="K1210" s="5" t="s">
        <v>4623</v>
      </c>
    </row>
    <row r="1211">
      <c r="A1211" s="1" t="s">
        <v>4624</v>
      </c>
      <c r="B1211" s="1" t="s">
        <v>4625</v>
      </c>
      <c r="C1211" s="1" t="s">
        <v>3900</v>
      </c>
      <c r="D1211" s="2">
        <v>1099.0</v>
      </c>
      <c r="E1211" s="2">
        <v>1929.0</v>
      </c>
      <c r="F1211" s="3">
        <f t="shared" si="8"/>
        <v>0.4302747538</v>
      </c>
      <c r="G1211" s="4">
        <f>IFERROR(__xludf.DUMMYFUNCTION("GOOGLEFINANCE(""CURRENCY:INRBRL"")*D1211"),65.71747065548)</f>
        <v>65.71747066</v>
      </c>
      <c r="H1211" s="1">
        <v>4.49</v>
      </c>
      <c r="I1211" s="1">
        <v>9772.0</v>
      </c>
      <c r="J1211" s="1" t="s">
        <v>4626</v>
      </c>
      <c r="K1211" s="5" t="s">
        <v>4627</v>
      </c>
    </row>
    <row r="1212">
      <c r="A1212" s="1" t="s">
        <v>4628</v>
      </c>
      <c r="B1212" s="1" t="s">
        <v>4629</v>
      </c>
      <c r="C1212" s="1" t="s">
        <v>4479</v>
      </c>
      <c r="D1212" s="2">
        <v>8199.0</v>
      </c>
      <c r="E1212" s="2">
        <v>15999.0</v>
      </c>
      <c r="F1212" s="3">
        <f t="shared" si="8"/>
        <v>0.4875304707</v>
      </c>
      <c r="G1212" s="4">
        <f>IFERROR(__xludf.DUMMYFUNCTION("GOOGLEFINANCE(""CURRENCY:INRBRL"")*D1212"),490.27983794747996)</f>
        <v>490.2798379</v>
      </c>
      <c r="H1212" s="1">
        <v>4.49</v>
      </c>
      <c r="I1212" s="1">
        <v>18497.0</v>
      </c>
      <c r="J1212" s="1" t="s">
        <v>4630</v>
      </c>
      <c r="K1212" s="5" t="s">
        <v>4631</v>
      </c>
    </row>
    <row r="1213">
      <c r="A1213" s="1" t="s">
        <v>4632</v>
      </c>
      <c r="B1213" s="1" t="s">
        <v>4633</v>
      </c>
      <c r="C1213" s="1" t="s">
        <v>4002</v>
      </c>
      <c r="D1213" s="2">
        <v>499.0</v>
      </c>
      <c r="E1213" s="2">
        <v>2199.0</v>
      </c>
      <c r="F1213" s="3">
        <f t="shared" si="8"/>
        <v>0.7730786721</v>
      </c>
      <c r="G1213" s="4">
        <f>IFERROR(__xludf.DUMMYFUNCTION("GOOGLEFINANCE(""CURRENCY:INRBRL"")*D1213"),29.838960743479998)</f>
        <v>29.83896074</v>
      </c>
      <c r="H1213" s="1">
        <v>4.49</v>
      </c>
      <c r="I1213" s="1">
        <v>53.0</v>
      </c>
      <c r="J1213" s="1" t="s">
        <v>4634</v>
      </c>
      <c r="K1213" s="5" t="s">
        <v>4635</v>
      </c>
    </row>
    <row r="1214">
      <c r="A1214" s="1" t="s">
        <v>4636</v>
      </c>
      <c r="B1214" s="1" t="s">
        <v>4637</v>
      </c>
      <c r="C1214" s="1" t="s">
        <v>4015</v>
      </c>
      <c r="D1214" s="2">
        <v>6999.0</v>
      </c>
      <c r="E1214" s="2">
        <v>14999.0</v>
      </c>
      <c r="F1214" s="3">
        <f t="shared" si="8"/>
        <v>0.5333688913</v>
      </c>
      <c r="G1214" s="4">
        <f>IFERROR(__xludf.DUMMYFUNCTION("GOOGLEFINANCE(""CURRENCY:INRBRL"")*D1214"),418.52281812347996)</f>
        <v>418.5228181</v>
      </c>
      <c r="H1214" s="1">
        <v>4.49</v>
      </c>
      <c r="I1214" s="1">
        <v>1728.0</v>
      </c>
      <c r="J1214" s="1" t="s">
        <v>4638</v>
      </c>
      <c r="K1214" s="5" t="s">
        <v>4639</v>
      </c>
    </row>
    <row r="1215">
      <c r="A1215" s="1" t="s">
        <v>4640</v>
      </c>
      <c r="B1215" s="1" t="s">
        <v>4641</v>
      </c>
      <c r="C1215" s="1" t="s">
        <v>4144</v>
      </c>
      <c r="D1215" s="2">
        <v>1595.0</v>
      </c>
      <c r="E1215" s="2">
        <v>1799.0</v>
      </c>
      <c r="F1215" s="3">
        <f t="shared" si="8"/>
        <v>0.1133963313</v>
      </c>
      <c r="G1215" s="4">
        <f>IFERROR(__xludf.DUMMYFUNCTION("GOOGLEFINANCE(""CURRENCY:INRBRL"")*D1215"),95.3770388494)</f>
        <v>95.37703885</v>
      </c>
      <c r="H1215" s="1">
        <v>4.49</v>
      </c>
      <c r="I1215" s="1">
        <v>2877.0</v>
      </c>
      <c r="J1215" s="1" t="s">
        <v>4642</v>
      </c>
      <c r="K1215" s="5" t="s">
        <v>4643</v>
      </c>
    </row>
    <row r="1216">
      <c r="A1216" s="1" t="s">
        <v>4644</v>
      </c>
      <c r="B1216" s="1" t="s">
        <v>4645</v>
      </c>
      <c r="C1216" s="1" t="s">
        <v>3900</v>
      </c>
      <c r="D1216" s="2">
        <v>1049.0</v>
      </c>
      <c r="E1216" s="2">
        <v>1949.0</v>
      </c>
      <c r="F1216" s="3">
        <f t="shared" si="8"/>
        <v>0.4617752694</v>
      </c>
      <c r="G1216" s="4">
        <f>IFERROR(__xludf.DUMMYFUNCTION("GOOGLEFINANCE(""CURRENCY:INRBRL"")*D1216"),62.72759482948)</f>
        <v>62.72759483</v>
      </c>
      <c r="H1216" s="1">
        <v>4.49</v>
      </c>
      <c r="I1216" s="1">
        <v>250.0</v>
      </c>
      <c r="J1216" s="1" t="s">
        <v>4646</v>
      </c>
      <c r="K1216" s="5" t="s">
        <v>4647</v>
      </c>
    </row>
    <row r="1217">
      <c r="A1217" s="1" t="s">
        <v>4648</v>
      </c>
      <c r="B1217" s="1" t="s">
        <v>4649</v>
      </c>
      <c r="C1217" s="1" t="s">
        <v>3928</v>
      </c>
      <c r="D1217" s="2">
        <v>1182.0</v>
      </c>
      <c r="E1217" s="2">
        <v>2995.0</v>
      </c>
      <c r="F1217" s="3">
        <f t="shared" si="8"/>
        <v>0.6053422371</v>
      </c>
      <c r="G1217" s="4">
        <f>IFERROR(__xludf.DUMMYFUNCTION("GOOGLEFINANCE(""CURRENCY:INRBRL"")*D1217"),70.68066452664)</f>
        <v>70.68066453</v>
      </c>
      <c r="H1217" s="1">
        <v>4.49</v>
      </c>
      <c r="I1217" s="1">
        <v>5178.0</v>
      </c>
      <c r="J1217" s="1" t="s">
        <v>4650</v>
      </c>
      <c r="K1217" s="5" t="s">
        <v>4651</v>
      </c>
    </row>
    <row r="1218">
      <c r="A1218" s="1" t="s">
        <v>4652</v>
      </c>
      <c r="B1218" s="1" t="s">
        <v>4653</v>
      </c>
      <c r="C1218" s="1" t="s">
        <v>3847</v>
      </c>
      <c r="D1218" s="2">
        <v>499.0</v>
      </c>
      <c r="E1218" s="2">
        <v>999.0</v>
      </c>
      <c r="F1218" s="3">
        <f t="shared" si="8"/>
        <v>0.5005005005</v>
      </c>
      <c r="G1218" s="4">
        <f>IFERROR(__xludf.DUMMYFUNCTION("GOOGLEFINANCE(""CURRENCY:INRBRL"")*D1218"),29.838960743479998)</f>
        <v>29.83896074</v>
      </c>
      <c r="H1218" s="1">
        <v>4.49</v>
      </c>
      <c r="I1218" s="1">
        <v>79.0</v>
      </c>
      <c r="J1218" s="1" t="s">
        <v>4654</v>
      </c>
      <c r="K1218" s="5" t="s">
        <v>4655</v>
      </c>
    </row>
    <row r="1219">
      <c r="A1219" s="1" t="s">
        <v>4656</v>
      </c>
      <c r="B1219" s="1" t="s">
        <v>4657</v>
      </c>
      <c r="C1219" s="1" t="s">
        <v>4474</v>
      </c>
      <c r="D1219" s="2">
        <v>8799.0</v>
      </c>
      <c r="E1219" s="2">
        <v>11995.0</v>
      </c>
      <c r="F1219" s="3">
        <f t="shared" si="8"/>
        <v>0.2664443518</v>
      </c>
      <c r="G1219" s="4">
        <f>IFERROR(__xludf.DUMMYFUNCTION("GOOGLEFINANCE(""CURRENCY:INRBRL"")*D1219"),526.1583478594799)</f>
        <v>526.1583479</v>
      </c>
      <c r="H1219" s="1">
        <v>4.49</v>
      </c>
      <c r="I1219" s="1">
        <v>4157.0</v>
      </c>
      <c r="J1219" s="1" t="s">
        <v>4658</v>
      </c>
      <c r="K1219" s="5" t="s">
        <v>4659</v>
      </c>
    </row>
    <row r="1220">
      <c r="A1220" s="1" t="s">
        <v>4660</v>
      </c>
      <c r="B1220" s="1" t="s">
        <v>4661</v>
      </c>
      <c r="C1220" s="1" t="s">
        <v>3837</v>
      </c>
      <c r="D1220" s="2">
        <v>1529.0</v>
      </c>
      <c r="E1220" s="2">
        <v>2999.0</v>
      </c>
      <c r="F1220" s="3">
        <f t="shared" si="8"/>
        <v>0.4901633878</v>
      </c>
      <c r="G1220" s="4">
        <f>IFERROR(__xludf.DUMMYFUNCTION("GOOGLEFINANCE(""CURRENCY:INRBRL"")*D1220"),91.43040275908)</f>
        <v>91.43040276</v>
      </c>
      <c r="H1220" s="1">
        <v>4.49</v>
      </c>
      <c r="I1220" s="1">
        <v>29.0</v>
      </c>
      <c r="J1220" s="1" t="s">
        <v>4662</v>
      </c>
      <c r="K1220" s="5" t="s">
        <v>4663</v>
      </c>
    </row>
    <row r="1221">
      <c r="A1221" s="1" t="s">
        <v>4664</v>
      </c>
      <c r="B1221" s="1" t="s">
        <v>4665</v>
      </c>
      <c r="C1221" s="1" t="s">
        <v>3900</v>
      </c>
      <c r="D1221" s="2">
        <v>1199.0</v>
      </c>
      <c r="E1221" s="2">
        <v>1699.0</v>
      </c>
      <c r="F1221" s="3">
        <f t="shared" si="8"/>
        <v>0.2942907593</v>
      </c>
      <c r="G1221" s="4">
        <f>IFERROR(__xludf.DUMMYFUNCTION("GOOGLEFINANCE(""CURRENCY:INRBRL"")*D1221"),71.69722230747999)</f>
        <v>71.69722231</v>
      </c>
      <c r="H1221" s="1">
        <v>4.49</v>
      </c>
      <c r="I1221" s="1">
        <v>458.0</v>
      </c>
      <c r="J1221" s="1" t="s">
        <v>4666</v>
      </c>
      <c r="K1221" s="5" t="s">
        <v>4667</v>
      </c>
    </row>
    <row r="1222">
      <c r="A1222" s="1" t="s">
        <v>4668</v>
      </c>
      <c r="B1222" s="1" t="s">
        <v>4669</v>
      </c>
      <c r="C1222" s="1" t="s">
        <v>4040</v>
      </c>
      <c r="D1222" s="2">
        <v>1052.0</v>
      </c>
      <c r="E1222" s="2">
        <v>1799.0</v>
      </c>
      <c r="F1222" s="3">
        <f t="shared" si="8"/>
        <v>0.4152306837</v>
      </c>
      <c r="G1222" s="4">
        <f>IFERROR(__xludf.DUMMYFUNCTION("GOOGLEFINANCE(""CURRENCY:INRBRL"")*D1222"),62.90698737904)</f>
        <v>62.90698738</v>
      </c>
      <c r="H1222" s="1">
        <v>4.49</v>
      </c>
      <c r="I1222" s="1">
        <v>1404.0</v>
      </c>
      <c r="J1222" s="1" t="s">
        <v>4670</v>
      </c>
      <c r="K1222" s="5" t="s">
        <v>4671</v>
      </c>
    </row>
    <row r="1223">
      <c r="A1223" s="1" t="s">
        <v>4672</v>
      </c>
      <c r="B1223" s="1" t="s">
        <v>4673</v>
      </c>
      <c r="C1223" s="1" t="s">
        <v>4674</v>
      </c>
      <c r="D1223" s="2">
        <v>6499.0</v>
      </c>
      <c r="E1223" s="2">
        <v>8995.0</v>
      </c>
      <c r="F1223" s="3">
        <f t="shared" si="8"/>
        <v>0.2774874931</v>
      </c>
      <c r="G1223" s="4">
        <f>IFERROR(__xludf.DUMMYFUNCTION("GOOGLEFINANCE(""CURRENCY:INRBRL"")*D1223"),388.62405986348)</f>
        <v>388.6240599</v>
      </c>
      <c r="H1223" s="1">
        <v>4.49</v>
      </c>
      <c r="I1223" s="1">
        <v>281.0</v>
      </c>
      <c r="J1223" s="1" t="s">
        <v>4675</v>
      </c>
      <c r="K1223" s="5" t="s">
        <v>4676</v>
      </c>
    </row>
    <row r="1224">
      <c r="A1224" s="1" t="s">
        <v>4677</v>
      </c>
      <c r="B1224" s="1" t="s">
        <v>4678</v>
      </c>
      <c r="C1224" s="1" t="s">
        <v>4127</v>
      </c>
      <c r="D1224" s="2">
        <v>239.0</v>
      </c>
      <c r="E1224" s="2">
        <v>239.0</v>
      </c>
      <c r="F1224" s="3">
        <f t="shared" si="8"/>
        <v>0</v>
      </c>
      <c r="G1224" s="4">
        <f>IFERROR(__xludf.DUMMYFUNCTION("GOOGLEFINANCE(""CURRENCY:INRBRL"")*D1224"),14.29160644828)</f>
        <v>14.29160645</v>
      </c>
      <c r="H1224" s="1">
        <v>4.49</v>
      </c>
      <c r="I1224" s="1">
        <v>7.0</v>
      </c>
      <c r="J1224" s="1" t="s">
        <v>4679</v>
      </c>
      <c r="K1224" s="5" t="s">
        <v>4680</v>
      </c>
    </row>
    <row r="1225">
      <c r="A1225" s="1" t="s">
        <v>4681</v>
      </c>
      <c r="B1225" s="1" t="s">
        <v>4682</v>
      </c>
      <c r="C1225" s="1" t="s">
        <v>3895</v>
      </c>
      <c r="D1225" s="2">
        <v>699.0</v>
      </c>
      <c r="E1225" s="2">
        <v>1599.0</v>
      </c>
      <c r="F1225" s="3">
        <f t="shared" si="8"/>
        <v>0.5628517824</v>
      </c>
      <c r="G1225" s="4">
        <f>IFERROR(__xludf.DUMMYFUNCTION("GOOGLEFINANCE(""CURRENCY:INRBRL"")*D1225"),41.798464047479996)</f>
        <v>41.79846405</v>
      </c>
      <c r="H1225" s="1">
        <v>4.49</v>
      </c>
      <c r="I1225" s="1">
        <v>1729.0</v>
      </c>
      <c r="J1225" s="1" t="s">
        <v>4683</v>
      </c>
      <c r="K1225" s="5" t="s">
        <v>4684</v>
      </c>
    </row>
    <row r="1226">
      <c r="A1226" s="1" t="s">
        <v>4685</v>
      </c>
      <c r="B1226" s="1" t="s">
        <v>4686</v>
      </c>
      <c r="C1226" s="1" t="s">
        <v>4687</v>
      </c>
      <c r="D1226" s="2">
        <v>2599.0</v>
      </c>
      <c r="E1226" s="2">
        <v>4299.0</v>
      </c>
      <c r="F1226" s="3">
        <f t="shared" si="8"/>
        <v>0.3954408002</v>
      </c>
      <c r="G1226" s="4">
        <f>IFERROR(__xludf.DUMMYFUNCTION("GOOGLEFINANCE(""CURRENCY:INRBRL"")*D1226"),155.41374543548)</f>
        <v>155.4137454</v>
      </c>
      <c r="H1226" s="1">
        <v>4.49</v>
      </c>
      <c r="I1226" s="1">
        <v>2116.0</v>
      </c>
      <c r="J1226" s="1" t="s">
        <v>4688</v>
      </c>
      <c r="K1226" s="5" t="s">
        <v>4689</v>
      </c>
    </row>
    <row r="1227">
      <c r="A1227" s="1" t="s">
        <v>4690</v>
      </c>
      <c r="B1227" s="1" t="s">
        <v>4691</v>
      </c>
      <c r="C1227" s="1" t="s">
        <v>4015</v>
      </c>
      <c r="D1227" s="2">
        <v>1547.0</v>
      </c>
      <c r="E1227" s="2">
        <v>2899.0</v>
      </c>
      <c r="F1227" s="3">
        <f t="shared" si="8"/>
        <v>0.466367713</v>
      </c>
      <c r="G1227" s="4">
        <f>IFERROR(__xludf.DUMMYFUNCTION("GOOGLEFINANCE(""CURRENCY:INRBRL"")*D1227"),92.50675805643999)</f>
        <v>92.50675806</v>
      </c>
      <c r="H1227" s="1">
        <v>4.49</v>
      </c>
      <c r="I1227" s="1">
        <v>463.0</v>
      </c>
      <c r="J1227" s="1" t="s">
        <v>4692</v>
      </c>
      <c r="K1227" s="5" t="s">
        <v>4693</v>
      </c>
    </row>
    <row r="1228">
      <c r="A1228" s="1" t="s">
        <v>4694</v>
      </c>
      <c r="B1228" s="1" t="s">
        <v>4695</v>
      </c>
      <c r="C1228" s="1" t="s">
        <v>3895</v>
      </c>
      <c r="D1228" s="2">
        <v>499.0</v>
      </c>
      <c r="E1228" s="2">
        <v>1299.0</v>
      </c>
      <c r="F1228" s="3">
        <f t="shared" si="8"/>
        <v>0.6158583526</v>
      </c>
      <c r="G1228" s="4">
        <f>IFERROR(__xludf.DUMMYFUNCTION("GOOGLEFINANCE(""CURRENCY:INRBRL"")*D1228"),29.838960743479998)</f>
        <v>29.83896074</v>
      </c>
      <c r="H1228" s="1">
        <v>4.49</v>
      </c>
      <c r="I1228" s="1">
        <v>54.0</v>
      </c>
      <c r="J1228" s="1" t="s">
        <v>4696</v>
      </c>
      <c r="K1228" s="5" t="s">
        <v>4697</v>
      </c>
    </row>
    <row r="1229">
      <c r="A1229" s="1" t="s">
        <v>4698</v>
      </c>
      <c r="B1229" s="1" t="s">
        <v>4699</v>
      </c>
      <c r="C1229" s="1" t="s">
        <v>3962</v>
      </c>
      <c r="D1229" s="2">
        <v>510.0</v>
      </c>
      <c r="E1229" s="2">
        <v>640.0</v>
      </c>
      <c r="F1229" s="3">
        <f t="shared" si="8"/>
        <v>0.203125</v>
      </c>
      <c r="G1229" s="4">
        <f>IFERROR(__xludf.DUMMYFUNCTION("GOOGLEFINANCE(""CURRENCY:INRBRL"")*D1229"),30.4967334252)</f>
        <v>30.49673343</v>
      </c>
      <c r="H1229" s="1">
        <v>4.49</v>
      </c>
      <c r="I1229" s="1">
        <v>7229.0</v>
      </c>
      <c r="J1229" s="1" t="s">
        <v>4700</v>
      </c>
      <c r="K1229" s="5" t="s">
        <v>4701</v>
      </c>
    </row>
    <row r="1230">
      <c r="A1230" s="1" t="s">
        <v>4702</v>
      </c>
      <c r="B1230" s="1" t="s">
        <v>4703</v>
      </c>
      <c r="C1230" s="1" t="s">
        <v>3910</v>
      </c>
      <c r="D1230" s="2">
        <v>1899.0</v>
      </c>
      <c r="E1230" s="2">
        <v>3799.0</v>
      </c>
      <c r="F1230" s="3">
        <f t="shared" si="8"/>
        <v>0.5001316136</v>
      </c>
      <c r="G1230" s="4">
        <f>IFERROR(__xludf.DUMMYFUNCTION("GOOGLEFINANCE(""CURRENCY:INRBRL"")*D1230"),113.55548387147999)</f>
        <v>113.5554839</v>
      </c>
      <c r="H1230" s="1">
        <v>4.49</v>
      </c>
      <c r="I1230" s="1">
        <v>3842.0</v>
      </c>
      <c r="J1230" s="1" t="s">
        <v>4704</v>
      </c>
      <c r="K1230" s="5" t="s">
        <v>4705</v>
      </c>
    </row>
    <row r="1231">
      <c r="A1231" s="1" t="s">
        <v>4706</v>
      </c>
      <c r="B1231" s="1" t="s">
        <v>4707</v>
      </c>
      <c r="C1231" s="1" t="s">
        <v>3910</v>
      </c>
      <c r="D1231" s="2">
        <v>2599.0</v>
      </c>
      <c r="E1231" s="2">
        <v>4569.0</v>
      </c>
      <c r="F1231" s="3">
        <f t="shared" si="8"/>
        <v>0.4311665572</v>
      </c>
      <c r="G1231" s="4">
        <f>IFERROR(__xludf.DUMMYFUNCTION("GOOGLEFINANCE(""CURRENCY:INRBRL"")*D1231"),155.41374543548)</f>
        <v>155.4137454</v>
      </c>
      <c r="H1231" s="1">
        <v>4.49</v>
      </c>
      <c r="I1231" s="1">
        <v>646.0</v>
      </c>
      <c r="J1231" s="1" t="s">
        <v>4708</v>
      </c>
      <c r="K1231" s="5" t="s">
        <v>4709</v>
      </c>
    </row>
    <row r="1232">
      <c r="A1232" s="1" t="s">
        <v>4710</v>
      </c>
      <c r="B1232" s="1" t="s">
        <v>4711</v>
      </c>
      <c r="C1232" s="1" t="s">
        <v>4040</v>
      </c>
      <c r="D1232" s="2">
        <v>1199.0</v>
      </c>
      <c r="E1232" s="2">
        <v>3499.0</v>
      </c>
      <c r="F1232" s="3">
        <f t="shared" si="8"/>
        <v>0.6573306659</v>
      </c>
      <c r="G1232" s="4">
        <f>IFERROR(__xludf.DUMMYFUNCTION("GOOGLEFINANCE(""CURRENCY:INRBRL"")*D1232"),71.69722230747999)</f>
        <v>71.69722231</v>
      </c>
      <c r="H1232" s="1">
        <v>4.49</v>
      </c>
      <c r="I1232" s="1">
        <v>1802.0</v>
      </c>
      <c r="J1232" s="1" t="s">
        <v>4712</v>
      </c>
      <c r="K1232" s="5" t="s">
        <v>4713</v>
      </c>
    </row>
    <row r="1233">
      <c r="A1233" s="1" t="s">
        <v>4714</v>
      </c>
      <c r="B1233" s="1" t="s">
        <v>4715</v>
      </c>
      <c r="C1233" s="1" t="s">
        <v>3910</v>
      </c>
      <c r="D1233" s="2">
        <v>999.0</v>
      </c>
      <c r="E1233" s="2">
        <v>2599.0</v>
      </c>
      <c r="F1233" s="3">
        <f t="shared" si="8"/>
        <v>0.6156213928</v>
      </c>
      <c r="G1233" s="4">
        <f>IFERROR(__xludf.DUMMYFUNCTION("GOOGLEFINANCE(""CURRENCY:INRBRL"")*D1233"),59.737719003479995)</f>
        <v>59.737719</v>
      </c>
      <c r="H1233" s="1">
        <v>4.49</v>
      </c>
      <c r="I1233" s="1">
        <v>252.0</v>
      </c>
      <c r="J1233" s="1" t="s">
        <v>4716</v>
      </c>
      <c r="K1233" s="5" t="s">
        <v>4717</v>
      </c>
    </row>
    <row r="1234">
      <c r="A1234" s="1" t="s">
        <v>4718</v>
      </c>
      <c r="B1234" s="1" t="s">
        <v>4719</v>
      </c>
      <c r="C1234" s="1" t="s">
        <v>3878</v>
      </c>
      <c r="D1234" s="2">
        <v>1999.0</v>
      </c>
      <c r="E1234" s="2">
        <v>3299.0</v>
      </c>
      <c r="F1234" s="3">
        <f t="shared" si="8"/>
        <v>0.3940588057</v>
      </c>
      <c r="G1234" s="4">
        <f>IFERROR(__xludf.DUMMYFUNCTION("GOOGLEFINANCE(""CURRENCY:INRBRL"")*D1234"),119.53523552348)</f>
        <v>119.5352355</v>
      </c>
      <c r="H1234" s="1">
        <v>4.49</v>
      </c>
      <c r="I1234" s="1">
        <v>780.0</v>
      </c>
      <c r="J1234" s="1" t="s">
        <v>4720</v>
      </c>
      <c r="K1234" s="5" t="s">
        <v>4721</v>
      </c>
    </row>
    <row r="1235">
      <c r="A1235" s="1" t="s">
        <v>4722</v>
      </c>
      <c r="B1235" s="1" t="s">
        <v>4723</v>
      </c>
      <c r="C1235" s="1" t="s">
        <v>3895</v>
      </c>
      <c r="D1235" s="2">
        <v>210.0</v>
      </c>
      <c r="E1235" s="2">
        <v>699.0</v>
      </c>
      <c r="F1235" s="3">
        <f t="shared" si="8"/>
        <v>0.6995708155</v>
      </c>
      <c r="G1235" s="4">
        <f>IFERROR(__xludf.DUMMYFUNCTION("GOOGLEFINANCE(""CURRENCY:INRBRL"")*D1235"),12.5574784692)</f>
        <v>12.55747847</v>
      </c>
      <c r="H1235" s="1">
        <v>4.49</v>
      </c>
      <c r="I1235" s="1">
        <v>74.0</v>
      </c>
      <c r="J1235" s="1" t="s">
        <v>4724</v>
      </c>
      <c r="K1235" s="5" t="s">
        <v>4725</v>
      </c>
    </row>
    <row r="1236">
      <c r="A1236" s="1" t="s">
        <v>4726</v>
      </c>
      <c r="B1236" s="1" t="s">
        <v>4727</v>
      </c>
      <c r="C1236" s="1" t="s">
        <v>4474</v>
      </c>
      <c r="D1236" s="2">
        <v>14499.0</v>
      </c>
      <c r="E1236" s="2">
        <v>23559.0</v>
      </c>
      <c r="F1236" s="3">
        <f t="shared" si="8"/>
        <v>0.3845664077</v>
      </c>
      <c r="G1236" s="4">
        <f>IFERROR(__xludf.DUMMYFUNCTION("GOOGLEFINANCE(""CURRENCY:INRBRL"")*D1236"),867.00419202348)</f>
        <v>867.004192</v>
      </c>
      <c r="H1236" s="1">
        <v>4.49</v>
      </c>
      <c r="I1236" s="1">
        <v>2026.0</v>
      </c>
      <c r="J1236" s="1" t="s">
        <v>4728</v>
      </c>
      <c r="K1236" s="5" t="s">
        <v>4729</v>
      </c>
    </row>
    <row r="1237">
      <c r="A1237" s="1" t="s">
        <v>4730</v>
      </c>
      <c r="B1237" s="1" t="s">
        <v>4731</v>
      </c>
      <c r="C1237" s="1" t="s">
        <v>3980</v>
      </c>
      <c r="D1237" s="2">
        <v>950.0</v>
      </c>
      <c r="E1237" s="2">
        <v>1599.0</v>
      </c>
      <c r="F1237" s="3">
        <f t="shared" si="8"/>
        <v>0.4058786742</v>
      </c>
      <c r="G1237" s="4">
        <f>IFERROR(__xludf.DUMMYFUNCTION("GOOGLEFINANCE(""CURRENCY:INRBRL"")*D1237"),56.807640694)</f>
        <v>56.80764069</v>
      </c>
      <c r="H1237" s="1">
        <v>4.49</v>
      </c>
      <c r="I1237" s="1">
        <v>5911.0</v>
      </c>
      <c r="J1237" s="1" t="s">
        <v>4732</v>
      </c>
      <c r="K1237" s="5" t="s">
        <v>4733</v>
      </c>
    </row>
    <row r="1238">
      <c r="A1238" s="1" t="s">
        <v>4734</v>
      </c>
      <c r="B1238" s="1" t="s">
        <v>4735</v>
      </c>
      <c r="C1238" s="1" t="s">
        <v>3975</v>
      </c>
      <c r="D1238" s="2">
        <v>7199.0</v>
      </c>
      <c r="E1238" s="2">
        <v>9995.0</v>
      </c>
      <c r="F1238" s="3">
        <f t="shared" si="8"/>
        <v>0.2797398699</v>
      </c>
      <c r="G1238" s="4">
        <f>IFERROR(__xludf.DUMMYFUNCTION("GOOGLEFINANCE(""CURRENCY:INRBRL"")*D1238"),430.48232142748)</f>
        <v>430.4823214</v>
      </c>
      <c r="H1238" s="1">
        <v>4.49</v>
      </c>
      <c r="I1238" s="1">
        <v>1964.0</v>
      </c>
      <c r="J1238" s="1" t="s">
        <v>4736</v>
      </c>
      <c r="K1238" s="5" t="s">
        <v>4737</v>
      </c>
    </row>
    <row r="1239">
      <c r="A1239" s="1" t="s">
        <v>4738</v>
      </c>
      <c r="B1239" s="1" t="s">
        <v>4739</v>
      </c>
      <c r="C1239" s="1" t="s">
        <v>3837</v>
      </c>
      <c r="D1239" s="2">
        <v>2439.0</v>
      </c>
      <c r="E1239" s="2">
        <v>2545.0</v>
      </c>
      <c r="F1239" s="3">
        <f t="shared" si="8"/>
        <v>0.0416502947</v>
      </c>
      <c r="G1239" s="4">
        <f>IFERROR(__xludf.DUMMYFUNCTION("GOOGLEFINANCE(""CURRENCY:INRBRL"")*D1239"),145.84614279227998)</f>
        <v>145.8461428</v>
      </c>
      <c r="H1239" s="1">
        <v>4.49</v>
      </c>
      <c r="I1239" s="1">
        <v>25.0</v>
      </c>
      <c r="J1239" s="1" t="s">
        <v>4740</v>
      </c>
      <c r="K1239" s="5" t="s">
        <v>4741</v>
      </c>
    </row>
    <row r="1240">
      <c r="A1240" s="1" t="s">
        <v>4742</v>
      </c>
      <c r="B1240" s="1" t="s">
        <v>4743</v>
      </c>
      <c r="C1240" s="1" t="s">
        <v>3985</v>
      </c>
      <c r="D1240" s="2">
        <v>7799.0</v>
      </c>
      <c r="E1240" s="2">
        <v>8995.0</v>
      </c>
      <c r="F1240" s="3">
        <f t="shared" si="8"/>
        <v>0.1329627571</v>
      </c>
      <c r="G1240" s="4">
        <f>IFERROR(__xludf.DUMMYFUNCTION("GOOGLEFINANCE(""CURRENCY:INRBRL"")*D1240"),466.36083133947994)</f>
        <v>466.3608313</v>
      </c>
      <c r="H1240" s="1">
        <v>4.49</v>
      </c>
      <c r="I1240" s="1">
        <v>316.0</v>
      </c>
      <c r="J1240" s="1" t="s">
        <v>4744</v>
      </c>
      <c r="K1240" s="5" t="s">
        <v>4745</v>
      </c>
    </row>
    <row r="1241">
      <c r="A1241" s="1" t="s">
        <v>4746</v>
      </c>
      <c r="B1241" s="1" t="s">
        <v>4747</v>
      </c>
      <c r="C1241" s="1" t="s">
        <v>4106</v>
      </c>
      <c r="D1241" s="2">
        <v>1599.0</v>
      </c>
      <c r="E1241" s="2">
        <v>1999.0</v>
      </c>
      <c r="F1241" s="3">
        <f t="shared" si="8"/>
        <v>0.20010005</v>
      </c>
      <c r="G1241" s="4">
        <f>IFERROR(__xludf.DUMMYFUNCTION("GOOGLEFINANCE(""CURRENCY:INRBRL"")*D1241"),95.61622891548)</f>
        <v>95.61622892</v>
      </c>
      <c r="H1241" s="1">
        <v>4.49</v>
      </c>
      <c r="I1241" s="1">
        <v>1558.0</v>
      </c>
      <c r="J1241" s="1" t="s">
        <v>4748</v>
      </c>
      <c r="K1241" s="5" t="s">
        <v>4749</v>
      </c>
    </row>
    <row r="1242">
      <c r="A1242" s="1" t="s">
        <v>4750</v>
      </c>
      <c r="B1242" s="1" t="s">
        <v>4751</v>
      </c>
      <c r="C1242" s="1" t="s">
        <v>3905</v>
      </c>
      <c r="D1242" s="2">
        <v>2899.0</v>
      </c>
      <c r="E1242" s="2">
        <v>5499.0</v>
      </c>
      <c r="F1242" s="3">
        <f t="shared" si="8"/>
        <v>0.4728132388</v>
      </c>
      <c r="G1242" s="4">
        <f>IFERROR(__xludf.DUMMYFUNCTION("GOOGLEFINANCE(""CURRENCY:INRBRL"")*D1242"),173.35300039147998)</f>
        <v>173.3530004</v>
      </c>
      <c r="H1242" s="1">
        <v>4.49</v>
      </c>
      <c r="I1242" s="1">
        <v>8958.0</v>
      </c>
      <c r="J1242" s="1" t="s">
        <v>4752</v>
      </c>
      <c r="K1242" s="5" t="s">
        <v>4753</v>
      </c>
    </row>
    <row r="1243">
      <c r="A1243" s="1" t="s">
        <v>4754</v>
      </c>
      <c r="B1243" s="1" t="s">
        <v>4755</v>
      </c>
      <c r="C1243" s="1" t="s">
        <v>4549</v>
      </c>
      <c r="D1243" s="2">
        <v>9799.0</v>
      </c>
      <c r="E1243" s="2">
        <v>12159.0</v>
      </c>
      <c r="F1243" s="3">
        <f t="shared" si="8"/>
        <v>0.1940949091</v>
      </c>
      <c r="G1243" s="4">
        <f>IFERROR(__xludf.DUMMYFUNCTION("GOOGLEFINANCE(""CURRENCY:INRBRL"")*D1243"),585.95586437948)</f>
        <v>585.9558644</v>
      </c>
      <c r="H1243" s="1">
        <v>4.49</v>
      </c>
      <c r="I1243" s="1">
        <v>13251.0</v>
      </c>
      <c r="J1243" s="1" t="s">
        <v>4756</v>
      </c>
      <c r="K1243" s="5" t="s">
        <v>4757</v>
      </c>
    </row>
    <row r="1244">
      <c r="A1244" s="1" t="s">
        <v>4758</v>
      </c>
      <c r="B1244" s="1" t="s">
        <v>4759</v>
      </c>
      <c r="C1244" s="1" t="s">
        <v>3985</v>
      </c>
      <c r="D1244" s="2">
        <v>3299.0</v>
      </c>
      <c r="E1244" s="2">
        <v>4995.0</v>
      </c>
      <c r="F1244" s="3">
        <f t="shared" si="8"/>
        <v>0.3395395395</v>
      </c>
      <c r="G1244" s="4">
        <f>IFERROR(__xludf.DUMMYFUNCTION("GOOGLEFINANCE(""CURRENCY:INRBRL"")*D1244"),197.27200699948)</f>
        <v>197.272007</v>
      </c>
      <c r="H1244" s="1">
        <v>4.49</v>
      </c>
      <c r="I1244" s="1">
        <v>1393.0</v>
      </c>
      <c r="J1244" s="1" t="s">
        <v>4760</v>
      </c>
      <c r="K1244" s="5" t="s">
        <v>4761</v>
      </c>
    </row>
    <row r="1245">
      <c r="A1245" s="1" t="s">
        <v>4762</v>
      </c>
      <c r="B1245" s="1" t="s">
        <v>4763</v>
      </c>
      <c r="C1245" s="1" t="s">
        <v>3895</v>
      </c>
      <c r="D1245" s="2">
        <v>669.0</v>
      </c>
      <c r="E1245" s="2">
        <v>1499.0</v>
      </c>
      <c r="F1245" s="3">
        <f t="shared" si="8"/>
        <v>0.5537024683</v>
      </c>
      <c r="G1245" s="4">
        <f>IFERROR(__xludf.DUMMYFUNCTION("GOOGLEFINANCE(""CURRENCY:INRBRL"")*D1245"),40.004538551879996)</f>
        <v>40.00453855</v>
      </c>
      <c r="H1245" s="1">
        <v>4.49</v>
      </c>
      <c r="I1245" s="1">
        <v>13.0</v>
      </c>
      <c r="J1245" s="1" t="s">
        <v>4764</v>
      </c>
      <c r="K1245" s="5" t="s">
        <v>4765</v>
      </c>
    </row>
    <row r="1246">
      <c r="A1246" s="1" t="s">
        <v>4766</v>
      </c>
      <c r="B1246" s="1" t="s">
        <v>4767</v>
      </c>
      <c r="C1246" s="1" t="s">
        <v>4002</v>
      </c>
      <c r="D1246" s="2">
        <v>5899.0</v>
      </c>
      <c r="E1246" s="2">
        <v>7506.0</v>
      </c>
      <c r="F1246" s="3">
        <f t="shared" si="8"/>
        <v>0.2140953904</v>
      </c>
      <c r="G1246" s="4">
        <f>IFERROR(__xludf.DUMMYFUNCTION("GOOGLEFINANCE(""CURRENCY:INRBRL"")*D1246"),352.74554995148)</f>
        <v>352.74555</v>
      </c>
      <c r="H1246" s="1">
        <v>4.49</v>
      </c>
      <c r="I1246" s="1">
        <v>7241.0</v>
      </c>
      <c r="J1246" s="1" t="s">
        <v>4768</v>
      </c>
      <c r="K1246" s="5" t="s">
        <v>4769</v>
      </c>
    </row>
    <row r="1247">
      <c r="A1247" s="1" t="s">
        <v>4770</v>
      </c>
      <c r="B1247" s="1" t="s">
        <v>4771</v>
      </c>
      <c r="C1247" s="1" t="s">
        <v>4479</v>
      </c>
      <c r="D1247" s="2">
        <v>9199.0</v>
      </c>
      <c r="E1247" s="2">
        <v>17999.0</v>
      </c>
      <c r="F1247" s="3">
        <f t="shared" si="8"/>
        <v>0.4889160509</v>
      </c>
      <c r="G1247" s="4">
        <f>IFERROR(__xludf.DUMMYFUNCTION("GOOGLEFINANCE(""CURRENCY:INRBRL"")*D1247"),550.07735446748)</f>
        <v>550.0773545</v>
      </c>
      <c r="H1247" s="1">
        <v>4.49</v>
      </c>
      <c r="I1247" s="1">
        <v>1602.0</v>
      </c>
      <c r="J1247" s="1" t="s">
        <v>4772</v>
      </c>
      <c r="K1247" s="5" t="s">
        <v>4773</v>
      </c>
    </row>
    <row r="1248">
      <c r="A1248" s="1" t="s">
        <v>4774</v>
      </c>
      <c r="B1248" s="1" t="s">
        <v>4775</v>
      </c>
      <c r="C1248" s="1" t="s">
        <v>3980</v>
      </c>
      <c r="D1248" s="2">
        <v>351.0</v>
      </c>
      <c r="E1248" s="2">
        <v>1099.0</v>
      </c>
      <c r="F1248" s="3">
        <f t="shared" si="8"/>
        <v>0.6806187443</v>
      </c>
      <c r="G1248" s="4">
        <f>IFERROR(__xludf.DUMMYFUNCTION("GOOGLEFINANCE(""CURRENCY:INRBRL"")*D1248"),20.988928298519998)</f>
        <v>20.9889283</v>
      </c>
      <c r="H1248" s="1">
        <v>4.49</v>
      </c>
      <c r="I1248" s="1">
        <v>147.0</v>
      </c>
      <c r="J1248" s="1" t="s">
        <v>4776</v>
      </c>
      <c r="K1248" s="5" t="s">
        <v>4777</v>
      </c>
    </row>
    <row r="1249">
      <c r="A1249" s="1" t="s">
        <v>4778</v>
      </c>
      <c r="B1249" s="1" t="s">
        <v>4779</v>
      </c>
      <c r="C1249" s="1" t="s">
        <v>4780</v>
      </c>
      <c r="D1249" s="2">
        <v>899.0</v>
      </c>
      <c r="E1249" s="2">
        <v>1899.0</v>
      </c>
      <c r="F1249" s="3">
        <f t="shared" si="8"/>
        <v>0.5265929437</v>
      </c>
      <c r="G1249" s="4">
        <f>IFERROR(__xludf.DUMMYFUNCTION("GOOGLEFINANCE(""CURRENCY:INRBRL"")*D1249"),53.75796735148)</f>
        <v>53.75796735</v>
      </c>
      <c r="H1249" s="1">
        <v>4.49</v>
      </c>
      <c r="I1249" s="1">
        <v>3663.0</v>
      </c>
      <c r="J1249" s="1" t="s">
        <v>4781</v>
      </c>
      <c r="K1249" s="5" t="s">
        <v>4782</v>
      </c>
    </row>
    <row r="1250">
      <c r="A1250" s="1" t="s">
        <v>4783</v>
      </c>
      <c r="B1250" s="1" t="s">
        <v>4784</v>
      </c>
      <c r="C1250" s="1" t="s">
        <v>3928</v>
      </c>
      <c r="D1250" s="2">
        <v>1349.0</v>
      </c>
      <c r="E1250" s="2">
        <v>1859.0</v>
      </c>
      <c r="F1250" s="3">
        <f t="shared" si="8"/>
        <v>0.2743410436</v>
      </c>
      <c r="G1250" s="4">
        <f>IFERROR(__xludf.DUMMYFUNCTION("GOOGLEFINANCE(""CURRENCY:INRBRL"")*D1250"),80.66684978548)</f>
        <v>80.66684979</v>
      </c>
      <c r="H1250" s="1">
        <v>4.49</v>
      </c>
      <c r="I1250" s="1">
        <v>638.0</v>
      </c>
      <c r="J1250" s="1" t="s">
        <v>4785</v>
      </c>
      <c r="K1250" s="5" t="s">
        <v>4786</v>
      </c>
    </row>
    <row r="1251">
      <c r="A1251" s="1" t="s">
        <v>4787</v>
      </c>
      <c r="B1251" s="1" t="s">
        <v>4788</v>
      </c>
      <c r="C1251" s="1" t="s">
        <v>4418</v>
      </c>
      <c r="D1251" s="2">
        <v>6236.0</v>
      </c>
      <c r="E1251" s="2">
        <v>9999.0</v>
      </c>
      <c r="F1251" s="3">
        <f t="shared" si="8"/>
        <v>0.3763376338</v>
      </c>
      <c r="G1251" s="4">
        <f>IFERROR(__xludf.DUMMYFUNCTION("GOOGLEFINANCE(""CURRENCY:INRBRL"")*D1251"),372.89731301871996)</f>
        <v>372.897313</v>
      </c>
      <c r="H1251" s="1">
        <v>4.49</v>
      </c>
      <c r="I1251" s="1">
        <v>3552.0</v>
      </c>
      <c r="J1251" s="1" t="s">
        <v>4789</v>
      </c>
      <c r="K1251" s="5" t="s">
        <v>4790</v>
      </c>
    </row>
    <row r="1252">
      <c r="A1252" s="1" t="s">
        <v>4791</v>
      </c>
      <c r="B1252" s="1" t="s">
        <v>4792</v>
      </c>
      <c r="C1252" s="1" t="s">
        <v>3895</v>
      </c>
      <c r="D1252" s="2">
        <v>2742.0</v>
      </c>
      <c r="E1252" s="2">
        <v>3995.0</v>
      </c>
      <c r="F1252" s="3">
        <f t="shared" si="8"/>
        <v>0.3136420526</v>
      </c>
      <c r="G1252" s="4">
        <f>IFERROR(__xludf.DUMMYFUNCTION("GOOGLEFINANCE(""CURRENCY:INRBRL"")*D1252"),163.96479029783998)</f>
        <v>163.9647903</v>
      </c>
      <c r="H1252" s="1">
        <v>4.49</v>
      </c>
      <c r="I1252" s="1">
        <v>11148.0</v>
      </c>
      <c r="J1252" s="1" t="s">
        <v>4793</v>
      </c>
      <c r="K1252" s="5" t="s">
        <v>4794</v>
      </c>
    </row>
    <row r="1253">
      <c r="A1253" s="1" t="s">
        <v>4795</v>
      </c>
      <c r="B1253" s="1" t="s">
        <v>4796</v>
      </c>
      <c r="C1253" s="1" t="s">
        <v>4549</v>
      </c>
      <c r="D1253" s="2">
        <v>721.0</v>
      </c>
      <c r="E1253" s="2">
        <v>1499.0</v>
      </c>
      <c r="F1253" s="3">
        <f t="shared" si="8"/>
        <v>0.5190126751</v>
      </c>
      <c r="G1253" s="4">
        <f>IFERROR(__xludf.DUMMYFUNCTION("GOOGLEFINANCE(""CURRENCY:INRBRL"")*D1253"),43.11400941092)</f>
        <v>43.11400941</v>
      </c>
      <c r="H1253" s="1">
        <v>4.49</v>
      </c>
      <c r="I1253" s="1">
        <v>2449.0</v>
      </c>
      <c r="J1253" s="1" t="s">
        <v>4797</v>
      </c>
      <c r="K1253" s="5" t="s">
        <v>4798</v>
      </c>
    </row>
    <row r="1254">
      <c r="A1254" s="1" t="s">
        <v>4799</v>
      </c>
      <c r="B1254" s="1" t="s">
        <v>4800</v>
      </c>
      <c r="C1254" s="1" t="s">
        <v>3985</v>
      </c>
      <c r="D1254" s="2">
        <v>2903.0</v>
      </c>
      <c r="E1254" s="2">
        <v>3295.0</v>
      </c>
      <c r="F1254" s="3">
        <f t="shared" si="8"/>
        <v>0.1189681335</v>
      </c>
      <c r="G1254" s="4">
        <f>IFERROR(__xludf.DUMMYFUNCTION("GOOGLEFINANCE(""CURRENCY:INRBRL"")*D1254"),173.59219045755998)</f>
        <v>173.5921905</v>
      </c>
      <c r="H1254" s="1">
        <v>4.49</v>
      </c>
      <c r="I1254" s="1">
        <v>2299.0</v>
      </c>
      <c r="J1254" s="1" t="s">
        <v>4801</v>
      </c>
      <c r="K1254" s="5" t="s">
        <v>4802</v>
      </c>
    </row>
    <row r="1255">
      <c r="A1255" s="1" t="s">
        <v>4803</v>
      </c>
      <c r="B1255" s="1" t="s">
        <v>4804</v>
      </c>
      <c r="C1255" s="1" t="s">
        <v>4106</v>
      </c>
      <c r="D1255" s="2">
        <v>1656.0</v>
      </c>
      <c r="E1255" s="2">
        <v>2695.0</v>
      </c>
      <c r="F1255" s="3">
        <f t="shared" si="8"/>
        <v>0.385528757</v>
      </c>
      <c r="G1255" s="4">
        <f>IFERROR(__xludf.DUMMYFUNCTION("GOOGLEFINANCE(""CURRENCY:INRBRL"")*D1255"),99.02468735711999)</f>
        <v>99.02468736</v>
      </c>
      <c r="H1255" s="1">
        <v>4.49</v>
      </c>
      <c r="I1255" s="1">
        <v>6027.0</v>
      </c>
      <c r="J1255" s="1" t="s">
        <v>4805</v>
      </c>
      <c r="K1255" s="5" t="s">
        <v>4806</v>
      </c>
    </row>
    <row r="1256">
      <c r="A1256" s="1" t="s">
        <v>4807</v>
      </c>
      <c r="B1256" s="1" t="s">
        <v>4808</v>
      </c>
      <c r="C1256" s="1" t="s">
        <v>4040</v>
      </c>
      <c r="D1256" s="2">
        <v>1399.0</v>
      </c>
      <c r="E1256" s="2">
        <v>2299.0</v>
      </c>
      <c r="F1256" s="3">
        <f t="shared" si="8"/>
        <v>0.3914745542</v>
      </c>
      <c r="G1256" s="4">
        <f>IFERROR(__xludf.DUMMYFUNCTION("GOOGLEFINANCE(""CURRENCY:INRBRL"")*D1256"),83.65672561148)</f>
        <v>83.65672561</v>
      </c>
      <c r="H1256" s="1">
        <v>4.49</v>
      </c>
      <c r="I1256" s="1">
        <v>461.0</v>
      </c>
      <c r="J1256" s="1" t="s">
        <v>4809</v>
      </c>
      <c r="K1256" s="5" t="s">
        <v>4810</v>
      </c>
    </row>
    <row r="1257">
      <c r="A1257" s="1" t="s">
        <v>4811</v>
      </c>
      <c r="B1257" s="1" t="s">
        <v>4812</v>
      </c>
      <c r="C1257" s="1" t="s">
        <v>4053</v>
      </c>
      <c r="D1257" s="2">
        <v>2079.0</v>
      </c>
      <c r="E1257" s="2">
        <v>3099.0</v>
      </c>
      <c r="F1257" s="3">
        <f t="shared" si="8"/>
        <v>0.3291384318</v>
      </c>
      <c r="G1257" s="4">
        <f>IFERROR(__xludf.DUMMYFUNCTION("GOOGLEFINANCE(""CURRENCY:INRBRL"")*D1257"),124.31903684507999)</f>
        <v>124.3190368</v>
      </c>
      <c r="H1257" s="1">
        <v>4.49</v>
      </c>
      <c r="I1257" s="1">
        <v>282.0</v>
      </c>
      <c r="J1257" s="1" t="s">
        <v>4813</v>
      </c>
      <c r="K1257" s="5" t="s">
        <v>4814</v>
      </c>
    </row>
    <row r="1258">
      <c r="A1258" s="1" t="s">
        <v>4815</v>
      </c>
      <c r="B1258" s="1" t="s">
        <v>4816</v>
      </c>
      <c r="C1258" s="1" t="s">
        <v>3962</v>
      </c>
      <c r="D1258" s="2">
        <v>999.0</v>
      </c>
      <c r="E1258" s="2">
        <v>1075.0</v>
      </c>
      <c r="F1258" s="3">
        <f t="shared" si="8"/>
        <v>0.07069767442</v>
      </c>
      <c r="G1258" s="4">
        <f>IFERROR(__xludf.DUMMYFUNCTION("GOOGLEFINANCE(""CURRENCY:INRBRL"")*D1258"),59.737719003479995)</f>
        <v>59.737719</v>
      </c>
      <c r="H1258" s="1">
        <v>4.49</v>
      </c>
      <c r="I1258" s="1">
        <v>9275.0</v>
      </c>
      <c r="J1258" s="1" t="s">
        <v>4817</v>
      </c>
      <c r="K1258" s="5" t="s">
        <v>4818</v>
      </c>
    </row>
    <row r="1259">
      <c r="A1259" s="1" t="s">
        <v>4819</v>
      </c>
      <c r="B1259" s="1" t="s">
        <v>4820</v>
      </c>
      <c r="C1259" s="1" t="s">
        <v>4015</v>
      </c>
      <c r="D1259" s="2">
        <v>3179.0</v>
      </c>
      <c r="E1259" s="2">
        <v>6999.0</v>
      </c>
      <c r="F1259" s="3">
        <f t="shared" si="8"/>
        <v>0.545792256</v>
      </c>
      <c r="G1259" s="4">
        <f>IFERROR(__xludf.DUMMYFUNCTION("GOOGLEFINANCE(""CURRENCY:INRBRL"")*D1259"),190.09630501708)</f>
        <v>190.096305</v>
      </c>
      <c r="H1259" s="1">
        <v>4.49</v>
      </c>
      <c r="I1259" s="1">
        <v>743.0</v>
      </c>
      <c r="J1259" s="1" t="s">
        <v>4821</v>
      </c>
      <c r="K1259" s="5" t="s">
        <v>4822</v>
      </c>
    </row>
    <row r="1260">
      <c r="A1260" s="1" t="s">
        <v>4823</v>
      </c>
      <c r="B1260" s="1" t="s">
        <v>4824</v>
      </c>
      <c r="C1260" s="1" t="s">
        <v>3910</v>
      </c>
      <c r="D1260" s="2">
        <v>1049.0</v>
      </c>
      <c r="E1260" s="2">
        <v>2499.0</v>
      </c>
      <c r="F1260" s="3">
        <f t="shared" si="8"/>
        <v>0.5802320928</v>
      </c>
      <c r="G1260" s="4">
        <f>IFERROR(__xludf.DUMMYFUNCTION("GOOGLEFINANCE(""CURRENCY:INRBRL"")*D1260"),62.72759482948)</f>
        <v>62.72759483</v>
      </c>
      <c r="H1260" s="1">
        <v>4.49</v>
      </c>
      <c r="I1260" s="1">
        <v>328.0</v>
      </c>
      <c r="J1260" s="1" t="s">
        <v>4825</v>
      </c>
      <c r="K1260" s="5" t="s">
        <v>4826</v>
      </c>
    </row>
    <row r="1261">
      <c r="A1261" s="1" t="s">
        <v>4827</v>
      </c>
      <c r="B1261" s="1" t="s">
        <v>4828</v>
      </c>
      <c r="C1261" s="1" t="s">
        <v>3910</v>
      </c>
      <c r="D1261" s="2">
        <v>3599.0</v>
      </c>
      <c r="E1261" s="2">
        <v>7299.0</v>
      </c>
      <c r="F1261" s="3">
        <f t="shared" si="8"/>
        <v>0.506918756</v>
      </c>
      <c r="G1261" s="4">
        <f>IFERROR(__xludf.DUMMYFUNCTION("GOOGLEFINANCE(""CURRENCY:INRBRL"")*D1261"),215.21126195547998)</f>
        <v>215.211262</v>
      </c>
      <c r="H1261" s="1">
        <v>4.49</v>
      </c>
      <c r="I1261" s="1">
        <v>942.0</v>
      </c>
      <c r="J1261" s="1" t="s">
        <v>4829</v>
      </c>
      <c r="K1261" s="5" t="s">
        <v>4830</v>
      </c>
    </row>
    <row r="1262">
      <c r="A1262" s="1" t="s">
        <v>4831</v>
      </c>
      <c r="B1262" s="1" t="s">
        <v>4832</v>
      </c>
      <c r="C1262" s="1" t="s">
        <v>4833</v>
      </c>
      <c r="D1262" s="2">
        <v>4799.0</v>
      </c>
      <c r="E1262" s="2">
        <v>5795.0</v>
      </c>
      <c r="F1262" s="3">
        <f t="shared" si="8"/>
        <v>0.1718723037</v>
      </c>
      <c r="G1262" s="4">
        <f>IFERROR(__xludf.DUMMYFUNCTION("GOOGLEFINANCE(""CURRENCY:INRBRL"")*D1262"),286.96828177948)</f>
        <v>286.9682818</v>
      </c>
      <c r="H1262" s="1">
        <v>4.49</v>
      </c>
      <c r="I1262" s="1">
        <v>3815.0</v>
      </c>
      <c r="J1262" s="1" t="s">
        <v>4834</v>
      </c>
      <c r="K1262" s="5" t="s">
        <v>4835</v>
      </c>
    </row>
    <row r="1263">
      <c r="A1263" s="1" t="s">
        <v>4836</v>
      </c>
      <c r="B1263" s="1" t="s">
        <v>4837</v>
      </c>
      <c r="C1263" s="1" t="s">
        <v>3905</v>
      </c>
      <c r="D1263" s="2">
        <v>1699.0</v>
      </c>
      <c r="E1263" s="2">
        <v>3398.0</v>
      </c>
      <c r="F1263" s="3">
        <f t="shared" si="8"/>
        <v>0.5</v>
      </c>
      <c r="G1263" s="4">
        <f>IFERROR(__xludf.DUMMYFUNCTION("GOOGLEFINANCE(""CURRENCY:INRBRL"")*D1263"),101.59598056748)</f>
        <v>101.5959806</v>
      </c>
      <c r="H1263" s="1">
        <v>4.49</v>
      </c>
      <c r="I1263" s="1">
        <v>7988.0</v>
      </c>
      <c r="J1263" s="1" t="s">
        <v>4838</v>
      </c>
      <c r="K1263" s="5" t="s">
        <v>4839</v>
      </c>
    </row>
    <row r="1264">
      <c r="A1264" s="1" t="s">
        <v>4840</v>
      </c>
      <c r="B1264" s="1" t="s">
        <v>4841</v>
      </c>
      <c r="C1264" s="1" t="s">
        <v>3928</v>
      </c>
      <c r="D1264" s="2">
        <v>664.0</v>
      </c>
      <c r="E1264" s="2">
        <v>1499.0</v>
      </c>
      <c r="F1264" s="3">
        <f t="shared" si="8"/>
        <v>0.5570380254</v>
      </c>
      <c r="G1264" s="4">
        <f>IFERROR(__xludf.DUMMYFUNCTION("GOOGLEFINANCE(""CURRENCY:INRBRL"")*D1264"),39.70555096928)</f>
        <v>39.70555097</v>
      </c>
      <c r="H1264" s="1">
        <v>4.49</v>
      </c>
      <c r="I1264" s="1">
        <v>925.0</v>
      </c>
      <c r="J1264" s="1" t="s">
        <v>4842</v>
      </c>
      <c r="K1264" s="5" t="s">
        <v>4843</v>
      </c>
    </row>
    <row r="1265">
      <c r="A1265" s="1" t="s">
        <v>4844</v>
      </c>
      <c r="B1265" s="1" t="s">
        <v>4845</v>
      </c>
      <c r="C1265" s="1" t="s">
        <v>4846</v>
      </c>
      <c r="D1265" s="2">
        <v>948.0</v>
      </c>
      <c r="E1265" s="2">
        <v>1629.0</v>
      </c>
      <c r="F1265" s="3">
        <f t="shared" si="8"/>
        <v>0.4180478821</v>
      </c>
      <c r="G1265" s="4">
        <f>IFERROR(__xludf.DUMMYFUNCTION("GOOGLEFINANCE(""CURRENCY:INRBRL"")*D1265"),56.68804566095999)</f>
        <v>56.68804566</v>
      </c>
      <c r="H1265" s="1">
        <v>4.49</v>
      </c>
      <c r="I1265" s="1">
        <v>437.0</v>
      </c>
      <c r="J1265" s="1" t="s">
        <v>4847</v>
      </c>
      <c r="K1265" s="5" t="s">
        <v>4848</v>
      </c>
    </row>
    <row r="1266">
      <c r="A1266" s="1" t="s">
        <v>4849</v>
      </c>
      <c r="B1266" s="1" t="s">
        <v>4850</v>
      </c>
      <c r="C1266" s="1" t="s">
        <v>3900</v>
      </c>
      <c r="D1266" s="2">
        <v>850.0</v>
      </c>
      <c r="E1266" s="2">
        <v>999.0</v>
      </c>
      <c r="F1266" s="3">
        <f t="shared" si="8"/>
        <v>0.1491491491</v>
      </c>
      <c r="G1266" s="4">
        <f>IFERROR(__xludf.DUMMYFUNCTION("GOOGLEFINANCE(""CURRENCY:INRBRL"")*D1266"),50.827889041999995)</f>
        <v>50.82788904</v>
      </c>
      <c r="H1266" s="1">
        <v>4.49</v>
      </c>
      <c r="I1266" s="1">
        <v>7619.0</v>
      </c>
      <c r="J1266" s="1" t="s">
        <v>4851</v>
      </c>
      <c r="K1266" s="5" t="s">
        <v>4852</v>
      </c>
    </row>
    <row r="1267">
      <c r="A1267" s="1" t="s">
        <v>4853</v>
      </c>
      <c r="B1267" s="1" t="s">
        <v>4854</v>
      </c>
      <c r="C1267" s="1" t="s">
        <v>4295</v>
      </c>
      <c r="D1267" s="2">
        <v>600.0</v>
      </c>
      <c r="E1267" s="2">
        <v>640.0</v>
      </c>
      <c r="F1267" s="3">
        <f t="shared" si="8"/>
        <v>0.0625</v>
      </c>
      <c r="G1267" s="4">
        <f>IFERROR(__xludf.DUMMYFUNCTION("GOOGLEFINANCE(""CURRENCY:INRBRL"")*D1267"),35.878509912)</f>
        <v>35.87850991</v>
      </c>
      <c r="H1267" s="1">
        <v>4.49</v>
      </c>
      <c r="I1267" s="1">
        <v>2593.0</v>
      </c>
      <c r="J1267" s="1" t="s">
        <v>4855</v>
      </c>
      <c r="K1267" s="5" t="s">
        <v>4856</v>
      </c>
    </row>
    <row r="1268">
      <c r="A1268" s="1" t="s">
        <v>4857</v>
      </c>
      <c r="B1268" s="1" t="s">
        <v>4858</v>
      </c>
      <c r="C1268" s="1" t="s">
        <v>3837</v>
      </c>
      <c r="D1268" s="2">
        <v>3711.0</v>
      </c>
      <c r="E1268" s="2">
        <v>4495.0</v>
      </c>
      <c r="F1268" s="3">
        <f t="shared" si="8"/>
        <v>0.1744160178</v>
      </c>
      <c r="G1268" s="4">
        <f>IFERROR(__xludf.DUMMYFUNCTION("GOOGLEFINANCE(""CURRENCY:INRBRL"")*D1268"),221.90858380571999)</f>
        <v>221.9085838</v>
      </c>
      <c r="H1268" s="1">
        <v>4.49</v>
      </c>
      <c r="I1268" s="1">
        <v>356.0</v>
      </c>
      <c r="J1268" s="1" t="s">
        <v>4859</v>
      </c>
      <c r="K1268" s="5" t="s">
        <v>4860</v>
      </c>
    </row>
    <row r="1269">
      <c r="A1269" s="1" t="s">
        <v>4861</v>
      </c>
      <c r="B1269" s="1" t="s">
        <v>4862</v>
      </c>
      <c r="C1269" s="1" t="s">
        <v>3852</v>
      </c>
      <c r="D1269" s="2">
        <v>799.0</v>
      </c>
      <c r="E1269" s="2">
        <v>2999.0</v>
      </c>
      <c r="F1269" s="3">
        <f t="shared" si="8"/>
        <v>0.7335778593</v>
      </c>
      <c r="G1269" s="4">
        <f>IFERROR(__xludf.DUMMYFUNCTION("GOOGLEFINANCE(""CURRENCY:INRBRL"")*D1269"),47.77821569948)</f>
        <v>47.7782157</v>
      </c>
      <c r="H1269" s="1">
        <v>4.49</v>
      </c>
      <c r="I1269" s="1">
        <v>63.0</v>
      </c>
      <c r="J1269" s="1" t="s">
        <v>4863</v>
      </c>
      <c r="K1269" s="5" t="s">
        <v>4864</v>
      </c>
    </row>
    <row r="1270">
      <c r="A1270" s="1" t="s">
        <v>4865</v>
      </c>
      <c r="B1270" s="1" t="s">
        <v>4866</v>
      </c>
      <c r="C1270" s="1" t="s">
        <v>4290</v>
      </c>
      <c r="D1270" s="2">
        <v>980.0</v>
      </c>
      <c r="E1270" s="2">
        <v>980.0</v>
      </c>
      <c r="F1270" s="3">
        <f t="shared" si="8"/>
        <v>0</v>
      </c>
      <c r="G1270" s="4">
        <f>IFERROR(__xludf.DUMMYFUNCTION("GOOGLEFINANCE(""CURRENCY:INRBRL"")*D1270"),58.6015661896)</f>
        <v>58.60156619</v>
      </c>
      <c r="H1270" s="1">
        <v>4.49</v>
      </c>
      <c r="I1270" s="1">
        <v>474.0</v>
      </c>
      <c r="J1270" s="1" t="s">
        <v>4867</v>
      </c>
      <c r="K1270" s="5" t="s">
        <v>4868</v>
      </c>
    </row>
    <row r="1271">
      <c r="A1271" s="1" t="s">
        <v>4869</v>
      </c>
      <c r="B1271" s="1" t="s">
        <v>4870</v>
      </c>
      <c r="C1271" s="1" t="s">
        <v>3980</v>
      </c>
      <c r="D1271" s="2">
        <v>351.0</v>
      </c>
      <c r="E1271" s="2">
        <v>899.0</v>
      </c>
      <c r="F1271" s="3">
        <f t="shared" si="8"/>
        <v>0.6095661846</v>
      </c>
      <c r="G1271" s="4">
        <f>IFERROR(__xludf.DUMMYFUNCTION("GOOGLEFINANCE(""CURRENCY:INRBRL"")*D1271"),20.988928298519998)</f>
        <v>20.9889283</v>
      </c>
      <c r="H1271" s="1">
        <v>4.49</v>
      </c>
      <c r="I1271" s="1">
        <v>296.0</v>
      </c>
      <c r="J1271" s="1" t="s">
        <v>4871</v>
      </c>
      <c r="K1271" s="5" t="s">
        <v>4872</v>
      </c>
    </row>
    <row r="1272">
      <c r="A1272" s="1" t="s">
        <v>4873</v>
      </c>
      <c r="B1272" s="1" t="s">
        <v>4874</v>
      </c>
      <c r="C1272" s="1" t="s">
        <v>4875</v>
      </c>
      <c r="D1272" s="2">
        <v>229.0</v>
      </c>
      <c r="E1272" s="2">
        <v>499.0</v>
      </c>
      <c r="F1272" s="3">
        <f t="shared" si="8"/>
        <v>0.5410821643</v>
      </c>
      <c r="G1272" s="4">
        <f>IFERROR(__xludf.DUMMYFUNCTION("GOOGLEFINANCE(""CURRENCY:INRBRL"")*D1272"),13.693631283079998)</f>
        <v>13.69363128</v>
      </c>
      <c r="H1272" s="1">
        <v>4.49</v>
      </c>
      <c r="I1272" s="1">
        <v>185.0</v>
      </c>
      <c r="J1272" s="1" t="s">
        <v>4876</v>
      </c>
      <c r="K1272" s="5" t="s">
        <v>4877</v>
      </c>
    </row>
    <row r="1273">
      <c r="A1273" s="1" t="s">
        <v>4878</v>
      </c>
      <c r="B1273" s="1" t="s">
        <v>4879</v>
      </c>
      <c r="C1273" s="1" t="s">
        <v>3985</v>
      </c>
      <c r="D1273" s="2">
        <v>3349.0</v>
      </c>
      <c r="E1273" s="2">
        <v>3995.0</v>
      </c>
      <c r="F1273" s="3">
        <f t="shared" si="8"/>
        <v>0.1617021277</v>
      </c>
      <c r="G1273" s="4">
        <f>IFERROR(__xludf.DUMMYFUNCTION("GOOGLEFINANCE(""CURRENCY:INRBRL"")*D1273"),200.26188282548)</f>
        <v>200.2618828</v>
      </c>
      <c r="H1273" s="1">
        <v>4.49</v>
      </c>
      <c r="I1273" s="1">
        <v>1954.0</v>
      </c>
      <c r="J1273" s="1" t="s">
        <v>4880</v>
      </c>
      <c r="K1273" s="5" t="s">
        <v>4881</v>
      </c>
    </row>
    <row r="1274">
      <c r="A1274" s="1" t="s">
        <v>4882</v>
      </c>
      <c r="B1274" s="1" t="s">
        <v>4883</v>
      </c>
      <c r="C1274" s="1" t="s">
        <v>3933</v>
      </c>
      <c r="D1274" s="2">
        <v>5499.0</v>
      </c>
      <c r="E1274" s="2">
        <v>11499.0</v>
      </c>
      <c r="F1274" s="3">
        <f t="shared" si="8"/>
        <v>0.521784503</v>
      </c>
      <c r="G1274" s="4">
        <f>IFERROR(__xludf.DUMMYFUNCTION("GOOGLEFINANCE(""CURRENCY:INRBRL"")*D1274"),328.82654334347995)</f>
        <v>328.8265433</v>
      </c>
      <c r="H1274" s="1">
        <v>4.49</v>
      </c>
      <c r="I1274" s="1">
        <v>959.0</v>
      </c>
      <c r="J1274" s="1" t="s">
        <v>4884</v>
      </c>
      <c r="K1274" s="5" t="s">
        <v>4885</v>
      </c>
    </row>
    <row r="1275">
      <c r="A1275" s="1" t="s">
        <v>4886</v>
      </c>
      <c r="B1275" s="1" t="s">
        <v>4887</v>
      </c>
      <c r="C1275" s="1" t="s">
        <v>3847</v>
      </c>
      <c r="D1275" s="2">
        <v>299.0</v>
      </c>
      <c r="E1275" s="2">
        <v>499.0</v>
      </c>
      <c r="F1275" s="3">
        <f t="shared" si="8"/>
        <v>0.4008016032</v>
      </c>
      <c r="G1275" s="4">
        <f>IFERROR(__xludf.DUMMYFUNCTION("GOOGLEFINANCE(""CURRENCY:INRBRL"")*D1275"),17.87945743948)</f>
        <v>17.87945744</v>
      </c>
      <c r="H1275" s="1">
        <v>4.49</v>
      </c>
      <c r="I1275" s="1">
        <v>1015.0</v>
      </c>
      <c r="J1275" s="1" t="s">
        <v>4888</v>
      </c>
      <c r="K1275" s="5" t="s">
        <v>4889</v>
      </c>
    </row>
    <row r="1276">
      <c r="A1276" s="1" t="s">
        <v>4890</v>
      </c>
      <c r="B1276" s="1" t="s">
        <v>4891</v>
      </c>
      <c r="C1276" s="1" t="s">
        <v>4892</v>
      </c>
      <c r="D1276" s="2">
        <v>2249.0</v>
      </c>
      <c r="E1276" s="2">
        <v>3549.0</v>
      </c>
      <c r="F1276" s="3">
        <f t="shared" si="8"/>
        <v>0.3663003663</v>
      </c>
      <c r="G1276" s="4">
        <f>IFERROR(__xludf.DUMMYFUNCTION("GOOGLEFINANCE(""CURRENCY:INRBRL"")*D1276"),134.48461465347998)</f>
        <v>134.4846147</v>
      </c>
      <c r="H1276" s="1">
        <v>4.49</v>
      </c>
      <c r="I1276" s="1">
        <v>3973.0</v>
      </c>
      <c r="J1276" s="1" t="s">
        <v>4893</v>
      </c>
      <c r="K1276" s="5" t="s">
        <v>4894</v>
      </c>
    </row>
    <row r="1277">
      <c r="A1277" s="1" t="s">
        <v>4895</v>
      </c>
      <c r="B1277" s="1" t="s">
        <v>4896</v>
      </c>
      <c r="C1277" s="1" t="s">
        <v>4040</v>
      </c>
      <c r="D1277" s="2">
        <v>699.0</v>
      </c>
      <c r="E1277" s="2">
        <v>1599.0</v>
      </c>
      <c r="F1277" s="3">
        <f t="shared" si="8"/>
        <v>0.5628517824</v>
      </c>
      <c r="G1277" s="4">
        <f>IFERROR(__xludf.DUMMYFUNCTION("GOOGLEFINANCE(""CURRENCY:INRBRL"")*D1277"),41.798464047479996)</f>
        <v>41.79846405</v>
      </c>
      <c r="H1277" s="1">
        <v>4.49</v>
      </c>
      <c r="I1277" s="1">
        <v>23.0</v>
      </c>
      <c r="J1277" s="1" t="s">
        <v>4897</v>
      </c>
      <c r="K1277" s="5" t="s">
        <v>4898</v>
      </c>
    </row>
    <row r="1278">
      <c r="A1278" s="1" t="s">
        <v>4899</v>
      </c>
      <c r="B1278" s="1" t="s">
        <v>4900</v>
      </c>
      <c r="C1278" s="1" t="s">
        <v>3837</v>
      </c>
      <c r="D1278" s="2">
        <v>1235.0</v>
      </c>
      <c r="E1278" s="2">
        <v>1499.0</v>
      </c>
      <c r="F1278" s="3">
        <f t="shared" si="8"/>
        <v>0.1761174116</v>
      </c>
      <c r="G1278" s="4">
        <f>IFERROR(__xludf.DUMMYFUNCTION("GOOGLEFINANCE(""CURRENCY:INRBRL"")*D1278"),73.8499329022)</f>
        <v>73.8499329</v>
      </c>
      <c r="H1278" s="1">
        <v>4.49</v>
      </c>
      <c r="I1278" s="1">
        <v>203.0</v>
      </c>
      <c r="J1278" s="1" t="s">
        <v>4901</v>
      </c>
      <c r="K1278" s="5" t="s">
        <v>4902</v>
      </c>
    </row>
    <row r="1279">
      <c r="A1279" s="1" t="s">
        <v>4903</v>
      </c>
      <c r="B1279" s="1" t="s">
        <v>4904</v>
      </c>
      <c r="C1279" s="1" t="s">
        <v>4106</v>
      </c>
      <c r="D1279" s="2">
        <v>1349.0</v>
      </c>
      <c r="E1279" s="2">
        <v>2999.0</v>
      </c>
      <c r="F1279" s="3">
        <f t="shared" si="8"/>
        <v>0.5501833945</v>
      </c>
      <c r="G1279" s="4">
        <f>IFERROR(__xludf.DUMMYFUNCTION("GOOGLEFINANCE(""CURRENCY:INRBRL"")*D1279"),80.66684978548)</f>
        <v>80.66684979</v>
      </c>
      <c r="H1279" s="1">
        <v>4.49</v>
      </c>
      <c r="I1279" s="1">
        <v>441.0</v>
      </c>
      <c r="J1279" s="1" t="s">
        <v>4905</v>
      </c>
      <c r="K1279" s="5" t="s">
        <v>4906</v>
      </c>
    </row>
    <row r="1280">
      <c r="A1280" s="1" t="s">
        <v>4907</v>
      </c>
      <c r="B1280" s="1" t="s">
        <v>4908</v>
      </c>
      <c r="C1280" s="1" t="s">
        <v>3933</v>
      </c>
      <c r="D1280" s="2">
        <v>6799.0</v>
      </c>
      <c r="E1280" s="2">
        <v>11499.0</v>
      </c>
      <c r="F1280" s="3">
        <f t="shared" si="8"/>
        <v>0.408731194</v>
      </c>
      <c r="G1280" s="4">
        <f>IFERROR(__xludf.DUMMYFUNCTION("GOOGLEFINANCE(""CURRENCY:INRBRL"")*D1280"),406.56331481947996)</f>
        <v>406.5633148</v>
      </c>
      <c r="H1280" s="1">
        <v>4.0</v>
      </c>
      <c r="I1280" s="1">
        <v>10308.0</v>
      </c>
      <c r="J1280" s="1" t="s">
        <v>4909</v>
      </c>
      <c r="K1280" s="5" t="s">
        <v>4910</v>
      </c>
    </row>
    <row r="1281">
      <c r="A1281" s="1" t="s">
        <v>4911</v>
      </c>
      <c r="B1281" s="1" t="s">
        <v>4912</v>
      </c>
      <c r="C1281" s="1" t="s">
        <v>4015</v>
      </c>
      <c r="D1281" s="2">
        <v>2099.0</v>
      </c>
      <c r="E1281" s="2">
        <v>2499.0</v>
      </c>
      <c r="F1281" s="3">
        <f t="shared" si="8"/>
        <v>0.1600640256</v>
      </c>
      <c r="G1281" s="4">
        <f>IFERROR(__xludf.DUMMYFUNCTION("GOOGLEFINANCE(""CURRENCY:INRBRL"")*D1281"),125.51498717547999)</f>
        <v>125.5149872</v>
      </c>
      <c r="H1281" s="1">
        <v>4.0</v>
      </c>
      <c r="I1281" s="1">
        <v>992.0</v>
      </c>
      <c r="J1281" s="1" t="s">
        <v>4913</v>
      </c>
      <c r="K1281" s="5" t="s">
        <v>4914</v>
      </c>
    </row>
    <row r="1282">
      <c r="A1282" s="1" t="s">
        <v>4915</v>
      </c>
      <c r="B1282" s="1" t="s">
        <v>4916</v>
      </c>
      <c r="C1282" s="1" t="s">
        <v>4053</v>
      </c>
      <c r="D1282" s="2">
        <v>1699.0</v>
      </c>
      <c r="E1282" s="2">
        <v>1975.0</v>
      </c>
      <c r="F1282" s="3">
        <f t="shared" si="8"/>
        <v>0.1397468354</v>
      </c>
      <c r="G1282" s="4">
        <f>IFERROR(__xludf.DUMMYFUNCTION("GOOGLEFINANCE(""CURRENCY:INRBRL"")*D1282"),101.59598056748)</f>
        <v>101.5959806</v>
      </c>
      <c r="H1282" s="1">
        <v>4.0</v>
      </c>
      <c r="I1282" s="1">
        <v>4716.0</v>
      </c>
      <c r="J1282" s="1" t="s">
        <v>4917</v>
      </c>
      <c r="K1282" s="5" t="s">
        <v>4918</v>
      </c>
    </row>
    <row r="1283">
      <c r="A1283" s="1" t="s">
        <v>4919</v>
      </c>
      <c r="B1283" s="1" t="s">
        <v>4920</v>
      </c>
      <c r="C1283" s="1" t="s">
        <v>3842</v>
      </c>
      <c r="D1283" s="2">
        <v>1069.0</v>
      </c>
      <c r="E1283" s="2">
        <v>1699.0</v>
      </c>
      <c r="F1283" s="3">
        <f>((D1283-E1283)/E1283)*-1</f>
        <v>0.3708063567</v>
      </c>
      <c r="G1283" s="4">
        <f>IFERROR(__xludf.DUMMYFUNCTION("GOOGLEFINANCE(""CURRENCY:INRBRL"")*D1283"),63.92354515987999)</f>
        <v>63.92354516</v>
      </c>
      <c r="H1283" s="1">
        <v>4.0</v>
      </c>
      <c r="I1283" s="1">
        <v>313.0</v>
      </c>
      <c r="J1283" s="1" t="s">
        <v>4921</v>
      </c>
      <c r="K1283" s="5" t="s">
        <v>4922</v>
      </c>
    </row>
    <row r="1284">
      <c r="A1284" s="1" t="s">
        <v>4923</v>
      </c>
      <c r="B1284" s="1" t="s">
        <v>4924</v>
      </c>
      <c r="C1284" s="1" t="s">
        <v>3842</v>
      </c>
      <c r="D1284" s="2">
        <v>1349.0</v>
      </c>
      <c r="E1284" s="2">
        <v>2495.0</v>
      </c>
      <c r="F1284" s="3">
        <f t="shared" ref="F1284:F1440" si="9">((D1284-E1284)/-E1284)</f>
        <v>0.4593186373</v>
      </c>
      <c r="G1284" s="4">
        <f>IFERROR(__xludf.DUMMYFUNCTION("GOOGLEFINANCE(""CURRENCY:INRBRL"")*D1284"),80.66684978548)</f>
        <v>80.66684979</v>
      </c>
      <c r="H1284" s="1">
        <v>4.0</v>
      </c>
      <c r="I1284" s="1">
        <v>166.0</v>
      </c>
      <c r="J1284" s="1" t="s">
        <v>4925</v>
      </c>
      <c r="K1284" s="5" t="s">
        <v>4926</v>
      </c>
    </row>
    <row r="1285">
      <c r="A1285" s="1" t="s">
        <v>4927</v>
      </c>
      <c r="B1285" s="1" t="s">
        <v>4928</v>
      </c>
      <c r="C1285" s="1" t="s">
        <v>3962</v>
      </c>
      <c r="D1285" s="2">
        <v>1499.0</v>
      </c>
      <c r="E1285" s="2">
        <v>3499.0</v>
      </c>
      <c r="F1285" s="3">
        <f t="shared" si="9"/>
        <v>0.5715918834</v>
      </c>
      <c r="G1285" s="4">
        <f>IFERROR(__xludf.DUMMYFUNCTION("GOOGLEFINANCE(""CURRENCY:INRBRL"")*D1285"),89.63647726347999)</f>
        <v>89.63647726</v>
      </c>
      <c r="H1285" s="1">
        <v>4.0</v>
      </c>
      <c r="I1285" s="1">
        <v>303.0</v>
      </c>
      <c r="J1285" s="1" t="s">
        <v>4929</v>
      </c>
      <c r="K1285" s="5" t="s">
        <v>4930</v>
      </c>
    </row>
    <row r="1286">
      <c r="A1286" s="1" t="s">
        <v>4931</v>
      </c>
      <c r="B1286" s="1" t="s">
        <v>4932</v>
      </c>
      <c r="C1286" s="1" t="s">
        <v>4053</v>
      </c>
      <c r="D1286" s="2">
        <v>2092.0</v>
      </c>
      <c r="E1286" s="2">
        <v>4599.0</v>
      </c>
      <c r="F1286" s="3">
        <f t="shared" si="9"/>
        <v>0.545118504</v>
      </c>
      <c r="G1286" s="4">
        <f>IFERROR(__xludf.DUMMYFUNCTION("GOOGLEFINANCE(""CURRENCY:INRBRL"")*D1286"),125.09640455984)</f>
        <v>125.0964046</v>
      </c>
      <c r="H1286" s="1">
        <v>4.0</v>
      </c>
      <c r="I1286" s="1">
        <v>562.0</v>
      </c>
      <c r="J1286" s="1" t="s">
        <v>4933</v>
      </c>
      <c r="K1286" s="5" t="s">
        <v>4934</v>
      </c>
    </row>
    <row r="1287">
      <c r="A1287" s="1" t="s">
        <v>4935</v>
      </c>
      <c r="B1287" s="1" t="s">
        <v>4936</v>
      </c>
      <c r="C1287" s="1" t="s">
        <v>4418</v>
      </c>
      <c r="D1287" s="2">
        <v>3859.0</v>
      </c>
      <c r="E1287" s="2">
        <v>10295.0</v>
      </c>
      <c r="F1287" s="3">
        <f t="shared" si="9"/>
        <v>0.6251578436</v>
      </c>
      <c r="G1287" s="4">
        <f>IFERROR(__xludf.DUMMYFUNCTION("GOOGLEFINANCE(""CURRENCY:INRBRL"")*D1287"),230.75861625067998)</f>
        <v>230.7586163</v>
      </c>
      <c r="H1287" s="1">
        <v>4.0</v>
      </c>
      <c r="I1287" s="1">
        <v>8095.0</v>
      </c>
      <c r="J1287" s="1" t="s">
        <v>4937</v>
      </c>
      <c r="K1287" s="5" t="s">
        <v>4938</v>
      </c>
    </row>
    <row r="1288">
      <c r="A1288" s="1" t="s">
        <v>4939</v>
      </c>
      <c r="B1288" s="1" t="s">
        <v>4940</v>
      </c>
      <c r="C1288" s="1" t="s">
        <v>4002</v>
      </c>
      <c r="D1288" s="2">
        <v>499.0</v>
      </c>
      <c r="E1288" s="2">
        <v>2199.0</v>
      </c>
      <c r="F1288" s="3">
        <f t="shared" si="9"/>
        <v>0.7730786721</v>
      </c>
      <c r="G1288" s="4">
        <f>IFERROR(__xludf.DUMMYFUNCTION("GOOGLEFINANCE(""CURRENCY:INRBRL"")*D1288"),29.838960743479998)</f>
        <v>29.83896074</v>
      </c>
      <c r="H1288" s="1">
        <v>4.0</v>
      </c>
      <c r="I1288" s="1">
        <v>109.0</v>
      </c>
      <c r="J1288" s="1" t="s">
        <v>4941</v>
      </c>
      <c r="K1288" s="5" t="s">
        <v>4942</v>
      </c>
    </row>
    <row r="1289">
      <c r="A1289" s="1" t="s">
        <v>4943</v>
      </c>
      <c r="B1289" s="1" t="s">
        <v>4944</v>
      </c>
      <c r="C1289" s="1" t="s">
        <v>4149</v>
      </c>
      <c r="D1289" s="2">
        <v>1804.0</v>
      </c>
      <c r="E1289" s="2">
        <v>2399.0</v>
      </c>
      <c r="F1289" s="3">
        <f t="shared" si="9"/>
        <v>0.2480200083</v>
      </c>
      <c r="G1289" s="4">
        <f>IFERROR(__xludf.DUMMYFUNCTION("GOOGLEFINANCE(""CURRENCY:INRBRL"")*D1289"),107.87471980208)</f>
        <v>107.8747198</v>
      </c>
      <c r="H1289" s="1">
        <v>4.0</v>
      </c>
      <c r="I1289" s="1">
        <v>15382.0</v>
      </c>
      <c r="J1289" s="1" t="s">
        <v>4945</v>
      </c>
      <c r="K1289" s="5" t="s">
        <v>4946</v>
      </c>
    </row>
    <row r="1290">
      <c r="A1290" s="1" t="s">
        <v>4947</v>
      </c>
      <c r="B1290" s="1" t="s">
        <v>4948</v>
      </c>
      <c r="C1290" s="1" t="s">
        <v>4002</v>
      </c>
      <c r="D1290" s="2">
        <v>6525.0</v>
      </c>
      <c r="E1290" s="2">
        <v>8819.0</v>
      </c>
      <c r="F1290" s="3">
        <f t="shared" si="9"/>
        <v>0.260120195</v>
      </c>
      <c r="G1290" s="4">
        <f>IFERROR(__xludf.DUMMYFUNCTION("GOOGLEFINANCE(""CURRENCY:INRBRL"")*D1290"),390.17879529299995)</f>
        <v>390.1787953</v>
      </c>
      <c r="H1290" s="1">
        <v>4.0</v>
      </c>
      <c r="I1290" s="1">
        <v>5137.0</v>
      </c>
      <c r="J1290" s="1" t="s">
        <v>4949</v>
      </c>
      <c r="K1290" s="5" t="s">
        <v>4950</v>
      </c>
    </row>
    <row r="1291">
      <c r="A1291" s="1" t="s">
        <v>4951</v>
      </c>
      <c r="B1291" s="1" t="s">
        <v>4952</v>
      </c>
      <c r="C1291" s="1" t="s">
        <v>4479</v>
      </c>
      <c r="D1291" s="2">
        <v>4999.0</v>
      </c>
      <c r="E1291" s="2">
        <v>24999.0</v>
      </c>
      <c r="F1291" s="3">
        <f t="shared" si="9"/>
        <v>0.8000320013</v>
      </c>
      <c r="G1291" s="4">
        <f>IFERROR(__xludf.DUMMYFUNCTION("GOOGLEFINANCE(""CURRENCY:INRBRL"")*D1291"),298.92778508348)</f>
        <v>298.9277851</v>
      </c>
      <c r="H1291" s="1">
        <v>4.0</v>
      </c>
      <c r="I1291" s="1">
        <v>124.0</v>
      </c>
      <c r="J1291" s="1" t="s">
        <v>4953</v>
      </c>
      <c r="K1291" s="5" t="s">
        <v>4954</v>
      </c>
    </row>
    <row r="1292">
      <c r="A1292" s="1" t="s">
        <v>4955</v>
      </c>
      <c r="B1292" s="1" t="s">
        <v>4956</v>
      </c>
      <c r="C1292" s="1" t="s">
        <v>4281</v>
      </c>
      <c r="D1292" s="2">
        <v>1189.0</v>
      </c>
      <c r="E1292" s="2">
        <v>2399.0</v>
      </c>
      <c r="F1292" s="3">
        <f t="shared" si="9"/>
        <v>0.5043768237</v>
      </c>
      <c r="G1292" s="4">
        <f>IFERROR(__xludf.DUMMYFUNCTION("GOOGLEFINANCE(""CURRENCY:INRBRL"")*D1292"),71.09924714227999)</f>
        <v>71.09924714</v>
      </c>
      <c r="H1292" s="1">
        <v>4.0</v>
      </c>
      <c r="I1292" s="1">
        <v>618.0</v>
      </c>
      <c r="J1292" s="1" t="s">
        <v>4957</v>
      </c>
      <c r="K1292" s="5" t="s">
        <v>4958</v>
      </c>
    </row>
    <row r="1293">
      <c r="A1293" s="1" t="s">
        <v>4959</v>
      </c>
      <c r="B1293" s="1" t="s">
        <v>4960</v>
      </c>
      <c r="C1293" s="1" t="s">
        <v>3842</v>
      </c>
      <c r="D1293" s="2">
        <v>2599.0</v>
      </c>
      <c r="E1293" s="2">
        <v>4199.0</v>
      </c>
      <c r="F1293" s="3">
        <f t="shared" si="9"/>
        <v>0.3810431055</v>
      </c>
      <c r="G1293" s="4">
        <f>IFERROR(__xludf.DUMMYFUNCTION("GOOGLEFINANCE(""CURRENCY:INRBRL"")*D1293"),155.41374543548)</f>
        <v>155.4137454</v>
      </c>
      <c r="H1293" s="1">
        <v>4.0</v>
      </c>
      <c r="I1293" s="1">
        <v>63.0</v>
      </c>
      <c r="J1293" s="1" t="s">
        <v>4961</v>
      </c>
      <c r="K1293" s="5" t="s">
        <v>4962</v>
      </c>
    </row>
    <row r="1294">
      <c r="A1294" s="1" t="s">
        <v>4963</v>
      </c>
      <c r="B1294" s="1" t="s">
        <v>4964</v>
      </c>
      <c r="C1294" s="1" t="s">
        <v>3842</v>
      </c>
      <c r="D1294" s="2">
        <v>899.0</v>
      </c>
      <c r="E1294" s="2">
        <v>1599.0</v>
      </c>
      <c r="F1294" s="3">
        <f t="shared" si="9"/>
        <v>0.4377736085</v>
      </c>
      <c r="G1294" s="4">
        <f>IFERROR(__xludf.DUMMYFUNCTION("GOOGLEFINANCE(""CURRENCY:INRBRL"")*D1294"),53.75796735148)</f>
        <v>53.75796735</v>
      </c>
      <c r="H1294" s="1">
        <v>4.0</v>
      </c>
      <c r="I1294" s="1">
        <v>15.0</v>
      </c>
      <c r="J1294" s="1" t="s">
        <v>4965</v>
      </c>
      <c r="K1294" s="5" t="s">
        <v>4966</v>
      </c>
    </row>
    <row r="1295">
      <c r="A1295" s="1" t="s">
        <v>4967</v>
      </c>
      <c r="B1295" s="1" t="s">
        <v>4968</v>
      </c>
      <c r="C1295" s="1" t="s">
        <v>3842</v>
      </c>
      <c r="D1295" s="2">
        <v>998.0</v>
      </c>
      <c r="E1295" s="2">
        <v>2999.0</v>
      </c>
      <c r="F1295" s="3">
        <f t="shared" si="9"/>
        <v>0.6672224075</v>
      </c>
      <c r="G1295" s="4">
        <f>IFERROR(__xludf.DUMMYFUNCTION("GOOGLEFINANCE(""CURRENCY:INRBRL"")*D1295"),59.677921486959995)</f>
        <v>59.67792149</v>
      </c>
      <c r="H1295" s="1">
        <v>4.0</v>
      </c>
      <c r="I1295" s="1">
        <v>9.0</v>
      </c>
      <c r="J1295" s="1" t="s">
        <v>4969</v>
      </c>
      <c r="K1295" s="5" t="s">
        <v>4970</v>
      </c>
    </row>
    <row r="1296">
      <c r="A1296" s="1" t="s">
        <v>4971</v>
      </c>
      <c r="B1296" s="1" t="s">
        <v>4972</v>
      </c>
      <c r="C1296" s="1" t="s">
        <v>3980</v>
      </c>
      <c r="D1296" s="2">
        <v>998.06</v>
      </c>
      <c r="E1296" s="2">
        <v>1282.0</v>
      </c>
      <c r="F1296" s="3">
        <f t="shared" si="9"/>
        <v>0.2214820593</v>
      </c>
      <c r="G1296" s="4">
        <f>IFERROR(__xludf.DUMMYFUNCTION("GOOGLEFINANCE(""CURRENCY:INRBRL"")*D1296"),59.68150933795119)</f>
        <v>59.68150934</v>
      </c>
      <c r="H1296" s="1">
        <v>4.0</v>
      </c>
      <c r="I1296" s="1">
        <v>7274.0</v>
      </c>
      <c r="J1296" s="1" t="s">
        <v>4973</v>
      </c>
      <c r="K1296" s="5" t="s">
        <v>4974</v>
      </c>
    </row>
    <row r="1297">
      <c r="A1297" s="1" t="s">
        <v>4975</v>
      </c>
      <c r="B1297" s="1" t="s">
        <v>4976</v>
      </c>
      <c r="C1297" s="1" t="s">
        <v>4149</v>
      </c>
      <c r="D1297" s="2">
        <v>1099.0</v>
      </c>
      <c r="E1297" s="2">
        <v>1999.0</v>
      </c>
      <c r="F1297" s="3">
        <f t="shared" si="9"/>
        <v>0.4502251126</v>
      </c>
      <c r="G1297" s="4">
        <f>IFERROR(__xludf.DUMMYFUNCTION("GOOGLEFINANCE(""CURRENCY:INRBRL"")*D1297"),65.71747065548)</f>
        <v>65.71747066</v>
      </c>
      <c r="H1297" s="1">
        <v>4.0</v>
      </c>
      <c r="I1297" s="1">
        <v>5911.0</v>
      </c>
      <c r="J1297" s="1" t="s">
        <v>4977</v>
      </c>
      <c r="K1297" s="5" t="s">
        <v>4978</v>
      </c>
    </row>
    <row r="1298">
      <c r="A1298" s="1" t="s">
        <v>4979</v>
      </c>
      <c r="B1298" s="1" t="s">
        <v>4980</v>
      </c>
      <c r="C1298" s="1" t="s">
        <v>4187</v>
      </c>
      <c r="D1298" s="2">
        <v>5999.0</v>
      </c>
      <c r="E1298" s="2">
        <v>9999.0</v>
      </c>
      <c r="F1298" s="3">
        <f t="shared" si="9"/>
        <v>0.400040004</v>
      </c>
      <c r="G1298" s="4">
        <f>IFERROR(__xludf.DUMMYFUNCTION("GOOGLEFINANCE(""CURRENCY:INRBRL"")*D1298"),358.72530160348)</f>
        <v>358.7253016</v>
      </c>
      <c r="H1298" s="1">
        <v>4.0</v>
      </c>
      <c r="I1298" s="1">
        <v>170.0</v>
      </c>
      <c r="J1298" s="1" t="s">
        <v>4981</v>
      </c>
      <c r="K1298" s="5" t="s">
        <v>4982</v>
      </c>
    </row>
    <row r="1299">
      <c r="A1299" s="1" t="s">
        <v>4983</v>
      </c>
      <c r="B1299" s="1" t="s">
        <v>4984</v>
      </c>
      <c r="C1299" s="1" t="s">
        <v>4418</v>
      </c>
      <c r="D1299" s="2">
        <v>8886.0</v>
      </c>
      <c r="E1299" s="2">
        <v>11849.0</v>
      </c>
      <c r="F1299" s="3">
        <f t="shared" si="9"/>
        <v>0.2500632965</v>
      </c>
      <c r="G1299" s="4">
        <f>IFERROR(__xludf.DUMMYFUNCTION("GOOGLEFINANCE(""CURRENCY:INRBRL"")*D1299"),531.36073179672)</f>
        <v>531.3607318</v>
      </c>
      <c r="H1299" s="1">
        <v>4.0</v>
      </c>
      <c r="I1299" s="1">
        <v>3065.0</v>
      </c>
      <c r="J1299" s="1" t="s">
        <v>4985</v>
      </c>
      <c r="K1299" s="5" t="s">
        <v>4986</v>
      </c>
    </row>
    <row r="1300">
      <c r="A1300" s="1" t="s">
        <v>4987</v>
      </c>
      <c r="B1300" s="1" t="s">
        <v>4988</v>
      </c>
      <c r="C1300" s="1" t="s">
        <v>3847</v>
      </c>
      <c r="D1300" s="2">
        <v>475.0</v>
      </c>
      <c r="E1300" s="2">
        <v>999.0</v>
      </c>
      <c r="F1300" s="3">
        <f t="shared" si="9"/>
        <v>0.5245245245</v>
      </c>
      <c r="G1300" s="4">
        <f>IFERROR(__xludf.DUMMYFUNCTION("GOOGLEFINANCE(""CURRENCY:INRBRL"")*D1300"),28.403820347)</f>
        <v>28.40382035</v>
      </c>
      <c r="H1300" s="1">
        <v>4.0</v>
      </c>
      <c r="I1300" s="1">
        <v>1021.0</v>
      </c>
      <c r="J1300" s="1" t="s">
        <v>4989</v>
      </c>
      <c r="K1300" s="5" t="s">
        <v>4990</v>
      </c>
    </row>
    <row r="1301">
      <c r="A1301" s="1" t="s">
        <v>4991</v>
      </c>
      <c r="B1301" s="1" t="s">
        <v>4992</v>
      </c>
      <c r="C1301" s="1" t="s">
        <v>3975</v>
      </c>
      <c r="D1301" s="2">
        <v>4995.0</v>
      </c>
      <c r="E1301" s="2">
        <v>20049.0</v>
      </c>
      <c r="F1301" s="3">
        <f t="shared" si="9"/>
        <v>0.750860392</v>
      </c>
      <c r="G1301" s="4">
        <f>IFERROR(__xludf.DUMMYFUNCTION("GOOGLEFINANCE(""CURRENCY:INRBRL"")*D1301"),298.68859501739996)</f>
        <v>298.688595</v>
      </c>
      <c r="H1301" s="1">
        <v>4.0</v>
      </c>
      <c r="I1301" s="1">
        <v>3964.0</v>
      </c>
      <c r="J1301" s="1" t="s">
        <v>4993</v>
      </c>
      <c r="K1301" s="5" t="s">
        <v>4994</v>
      </c>
    </row>
    <row r="1302">
      <c r="A1302" s="1" t="s">
        <v>4995</v>
      </c>
      <c r="B1302" s="1" t="s">
        <v>4996</v>
      </c>
      <c r="C1302" s="1" t="s">
        <v>4479</v>
      </c>
      <c r="D1302" s="2">
        <v>13999.0</v>
      </c>
      <c r="E1302" s="2">
        <v>24849.0</v>
      </c>
      <c r="F1302" s="3">
        <f t="shared" si="9"/>
        <v>0.4366372892</v>
      </c>
      <c r="G1302" s="4">
        <f>IFERROR(__xludf.DUMMYFUNCTION("GOOGLEFINANCE(""CURRENCY:INRBRL"")*D1302"),837.1054337634799)</f>
        <v>837.1054338</v>
      </c>
      <c r="H1302" s="1">
        <v>4.0</v>
      </c>
      <c r="I1302" s="1">
        <v>8948.0</v>
      </c>
      <c r="J1302" s="1" t="s">
        <v>4997</v>
      </c>
      <c r="K1302" s="5" t="s">
        <v>4998</v>
      </c>
    </row>
    <row r="1303">
      <c r="A1303" s="1" t="s">
        <v>4999</v>
      </c>
      <c r="B1303" s="1" t="s">
        <v>5000</v>
      </c>
      <c r="C1303" s="1" t="s">
        <v>4479</v>
      </c>
      <c r="D1303" s="2">
        <v>8499.0</v>
      </c>
      <c r="E1303" s="2">
        <v>16499.0</v>
      </c>
      <c r="F1303" s="3">
        <f t="shared" si="9"/>
        <v>0.4848778714</v>
      </c>
      <c r="G1303" s="4">
        <f>IFERROR(__xludf.DUMMYFUNCTION("GOOGLEFINANCE(""CURRENCY:INRBRL"")*D1303"),508.21909290348)</f>
        <v>508.2190929</v>
      </c>
      <c r="H1303" s="1">
        <v>4.0</v>
      </c>
      <c r="I1303" s="1">
        <v>97.0</v>
      </c>
      <c r="J1303" s="1" t="s">
        <v>5001</v>
      </c>
      <c r="K1303" s="5" t="s">
        <v>5002</v>
      </c>
    </row>
    <row r="1304">
      <c r="A1304" s="1" t="s">
        <v>5003</v>
      </c>
      <c r="B1304" s="1" t="s">
        <v>5004</v>
      </c>
      <c r="C1304" s="1" t="s">
        <v>3900</v>
      </c>
      <c r="D1304" s="2">
        <v>949.0</v>
      </c>
      <c r="E1304" s="2">
        <v>975.0</v>
      </c>
      <c r="F1304" s="3">
        <f t="shared" si="9"/>
        <v>0.02666666667</v>
      </c>
      <c r="G1304" s="4">
        <f>IFERROR(__xludf.DUMMYFUNCTION("GOOGLEFINANCE(""CURRENCY:INRBRL"")*D1304"),56.74784317748)</f>
        <v>56.74784318</v>
      </c>
      <c r="H1304" s="1">
        <v>4.0</v>
      </c>
      <c r="I1304" s="1">
        <v>7223.0</v>
      </c>
      <c r="J1304" s="1" t="s">
        <v>5005</v>
      </c>
      <c r="K1304" s="5" t="s">
        <v>5006</v>
      </c>
    </row>
    <row r="1305">
      <c r="A1305" s="1" t="s">
        <v>5007</v>
      </c>
      <c r="B1305" s="1" t="s">
        <v>5008</v>
      </c>
      <c r="C1305" s="1" t="s">
        <v>3980</v>
      </c>
      <c r="D1305" s="2">
        <v>395.0</v>
      </c>
      <c r="E1305" s="2">
        <v>499.0</v>
      </c>
      <c r="F1305" s="3">
        <f t="shared" si="9"/>
        <v>0.2084168337</v>
      </c>
      <c r="G1305" s="4">
        <f>IFERROR(__xludf.DUMMYFUNCTION("GOOGLEFINANCE(""CURRENCY:INRBRL"")*D1305"),23.620019025399998)</f>
        <v>23.62001903</v>
      </c>
      <c r="H1305" s="1">
        <v>4.0</v>
      </c>
      <c r="I1305" s="1">
        <v>330.0</v>
      </c>
      <c r="J1305" s="1" t="s">
        <v>5009</v>
      </c>
      <c r="K1305" s="5" t="s">
        <v>5010</v>
      </c>
    </row>
    <row r="1306">
      <c r="A1306" s="1" t="s">
        <v>5011</v>
      </c>
      <c r="B1306" s="1" t="s">
        <v>5012</v>
      </c>
      <c r="C1306" s="1" t="s">
        <v>5013</v>
      </c>
      <c r="D1306" s="2">
        <v>635.0</v>
      </c>
      <c r="E1306" s="2">
        <v>635.0</v>
      </c>
      <c r="F1306" s="3">
        <f t="shared" si="9"/>
        <v>0</v>
      </c>
      <c r="G1306" s="4">
        <f>IFERROR(__xludf.DUMMYFUNCTION("GOOGLEFINANCE(""CURRENCY:INRBRL"")*D1306"),37.9714229902)</f>
        <v>37.97142299</v>
      </c>
      <c r="H1306" s="1">
        <v>4.0</v>
      </c>
      <c r="I1306" s="1">
        <v>457.0</v>
      </c>
      <c r="J1306" s="1" t="s">
        <v>5014</v>
      </c>
      <c r="K1306" s="5" t="s">
        <v>5015</v>
      </c>
    </row>
    <row r="1307">
      <c r="A1307" s="1" t="s">
        <v>5016</v>
      </c>
      <c r="B1307" s="1" t="s">
        <v>5017</v>
      </c>
      <c r="C1307" s="1" t="s">
        <v>3900</v>
      </c>
      <c r="D1307" s="2">
        <v>717.0</v>
      </c>
      <c r="E1307" s="2">
        <v>1399.0</v>
      </c>
      <c r="F1307" s="3">
        <f t="shared" si="9"/>
        <v>0.487491065</v>
      </c>
      <c r="G1307" s="4">
        <f>IFERROR(__xludf.DUMMYFUNCTION("GOOGLEFINANCE(""CURRENCY:INRBRL"")*D1307"),42.87481934484)</f>
        <v>42.87481934</v>
      </c>
      <c r="H1307" s="1">
        <v>4.0</v>
      </c>
      <c r="I1307" s="1">
        <v>4867.0</v>
      </c>
      <c r="J1307" s="1" t="s">
        <v>5018</v>
      </c>
      <c r="K1307" s="5" t="s">
        <v>5019</v>
      </c>
    </row>
    <row r="1308">
      <c r="A1308" s="1" t="s">
        <v>5020</v>
      </c>
      <c r="B1308" s="1" t="s">
        <v>5021</v>
      </c>
      <c r="C1308" s="1" t="s">
        <v>5022</v>
      </c>
      <c r="D1308" s="2">
        <v>27899.0</v>
      </c>
      <c r="E1308" s="2">
        <v>59999.0</v>
      </c>
      <c r="F1308" s="3">
        <f t="shared" si="9"/>
        <v>0.5350089168</v>
      </c>
      <c r="G1308" s="4">
        <f>IFERROR(__xludf.DUMMYFUNCTION("GOOGLEFINANCE(""CURRENCY:INRBRL"")*D1308"),1668.29091339148)</f>
        <v>1668.290913</v>
      </c>
      <c r="H1308" s="1">
        <v>4.0</v>
      </c>
      <c r="I1308" s="1">
        <v>5298.0</v>
      </c>
      <c r="J1308" s="1" t="s">
        <v>5023</v>
      </c>
      <c r="K1308" s="5" t="s">
        <v>5024</v>
      </c>
    </row>
    <row r="1309">
      <c r="A1309" s="1" t="s">
        <v>5025</v>
      </c>
      <c r="B1309" s="1" t="s">
        <v>5026</v>
      </c>
      <c r="C1309" s="1" t="s">
        <v>4295</v>
      </c>
      <c r="D1309" s="2">
        <v>649.0</v>
      </c>
      <c r="E1309" s="2">
        <v>670.0</v>
      </c>
      <c r="F1309" s="3">
        <f t="shared" si="9"/>
        <v>0.03134328358</v>
      </c>
      <c r="G1309" s="4">
        <f>IFERROR(__xludf.DUMMYFUNCTION("GOOGLEFINANCE(""CURRENCY:INRBRL"")*D1309"),38.80858822148)</f>
        <v>38.80858822</v>
      </c>
      <c r="H1309" s="1">
        <v>4.0</v>
      </c>
      <c r="I1309" s="1">
        <v>7786.0</v>
      </c>
      <c r="J1309" s="1" t="s">
        <v>5027</v>
      </c>
      <c r="K1309" s="5" t="s">
        <v>5028</v>
      </c>
    </row>
    <row r="1310">
      <c r="A1310" s="1" t="s">
        <v>5029</v>
      </c>
      <c r="B1310" s="1" t="s">
        <v>5030</v>
      </c>
      <c r="C1310" s="1" t="s">
        <v>4290</v>
      </c>
      <c r="D1310" s="2">
        <v>193.0</v>
      </c>
      <c r="E1310" s="2">
        <v>399.0</v>
      </c>
      <c r="F1310" s="3">
        <f t="shared" si="9"/>
        <v>0.5162907268</v>
      </c>
      <c r="G1310" s="4">
        <f>IFERROR(__xludf.DUMMYFUNCTION("GOOGLEFINANCE(""CURRENCY:INRBRL"")*D1310"),11.54092068836)</f>
        <v>11.54092069</v>
      </c>
      <c r="H1310" s="1">
        <v>4.0</v>
      </c>
      <c r="I1310" s="1">
        <v>37.0</v>
      </c>
      <c r="J1310" s="1" t="s">
        <v>5031</v>
      </c>
      <c r="K1310" s="5" t="s">
        <v>5032</v>
      </c>
    </row>
    <row r="1311">
      <c r="A1311" s="1" t="s">
        <v>5033</v>
      </c>
      <c r="B1311" s="1" t="s">
        <v>5034</v>
      </c>
      <c r="C1311" s="1" t="s">
        <v>3842</v>
      </c>
      <c r="D1311" s="2">
        <v>1299.0</v>
      </c>
      <c r="E1311" s="2">
        <v>2495.0</v>
      </c>
      <c r="F1311" s="3">
        <f t="shared" si="9"/>
        <v>0.4793587174</v>
      </c>
      <c r="G1311" s="4">
        <f>IFERROR(__xludf.DUMMYFUNCTION("GOOGLEFINANCE(""CURRENCY:INRBRL"")*D1311"),77.67697395948)</f>
        <v>77.67697396</v>
      </c>
      <c r="H1311" s="1">
        <v>4.0</v>
      </c>
      <c r="I1311" s="1">
        <v>2.0</v>
      </c>
      <c r="J1311" s="1" t="s">
        <v>5035</v>
      </c>
      <c r="K1311" s="5" t="s">
        <v>5036</v>
      </c>
    </row>
    <row r="1312">
      <c r="A1312" s="1" t="s">
        <v>5037</v>
      </c>
      <c r="B1312" s="1" t="s">
        <v>5038</v>
      </c>
      <c r="C1312" s="1" t="s">
        <v>3905</v>
      </c>
      <c r="D1312" s="2">
        <v>2449.0</v>
      </c>
      <c r="E1312" s="2">
        <v>3399.0</v>
      </c>
      <c r="F1312" s="3">
        <f t="shared" si="9"/>
        <v>0.2794939688</v>
      </c>
      <c r="G1312" s="4">
        <f>IFERROR(__xludf.DUMMYFUNCTION("GOOGLEFINANCE(""CURRENCY:INRBRL"")*D1312"),146.44411795748)</f>
        <v>146.444118</v>
      </c>
      <c r="H1312" s="1">
        <v>4.0</v>
      </c>
      <c r="I1312" s="1">
        <v>5206.0</v>
      </c>
      <c r="J1312" s="1" t="s">
        <v>5039</v>
      </c>
      <c r="K1312" s="5" t="s">
        <v>5040</v>
      </c>
    </row>
    <row r="1313">
      <c r="A1313" s="1" t="s">
        <v>5041</v>
      </c>
      <c r="B1313" s="1" t="s">
        <v>5042</v>
      </c>
      <c r="C1313" s="1" t="s">
        <v>3910</v>
      </c>
      <c r="D1313" s="2">
        <v>1049.0</v>
      </c>
      <c r="E1313" s="2">
        <v>2499.0</v>
      </c>
      <c r="F1313" s="3">
        <f t="shared" si="9"/>
        <v>0.5802320928</v>
      </c>
      <c r="G1313" s="4">
        <f>IFERROR(__xludf.DUMMYFUNCTION("GOOGLEFINANCE(""CURRENCY:INRBRL"")*D1313"),62.72759482948)</f>
        <v>62.72759483</v>
      </c>
      <c r="H1313" s="1">
        <v>4.0</v>
      </c>
      <c r="I1313" s="1">
        <v>638.0</v>
      </c>
      <c r="J1313" s="1" t="s">
        <v>4825</v>
      </c>
      <c r="K1313" s="5" t="s">
        <v>5043</v>
      </c>
    </row>
    <row r="1314">
      <c r="A1314" s="1" t="s">
        <v>5044</v>
      </c>
      <c r="B1314" s="1" t="s">
        <v>5045</v>
      </c>
      <c r="C1314" s="1" t="s">
        <v>4846</v>
      </c>
      <c r="D1314" s="2">
        <v>2399.0</v>
      </c>
      <c r="E1314" s="2">
        <v>4199.0</v>
      </c>
      <c r="F1314" s="3">
        <f t="shared" si="9"/>
        <v>0.4286734937</v>
      </c>
      <c r="G1314" s="4">
        <f>IFERROR(__xludf.DUMMYFUNCTION("GOOGLEFINANCE(""CURRENCY:INRBRL"")*D1314"),143.45424213148)</f>
        <v>143.4542421</v>
      </c>
      <c r="H1314" s="1">
        <v>4.0</v>
      </c>
      <c r="I1314" s="1">
        <v>397.0</v>
      </c>
      <c r="J1314" s="1" t="s">
        <v>5046</v>
      </c>
      <c r="K1314" s="5" t="s">
        <v>5047</v>
      </c>
    </row>
    <row r="1315">
      <c r="A1315" s="1" t="s">
        <v>5048</v>
      </c>
      <c r="B1315" s="1" t="s">
        <v>5049</v>
      </c>
      <c r="C1315" s="1" t="s">
        <v>4015</v>
      </c>
      <c r="D1315" s="2">
        <v>2286.0</v>
      </c>
      <c r="E1315" s="2">
        <v>4495.0</v>
      </c>
      <c r="F1315" s="3">
        <f t="shared" si="9"/>
        <v>0.4914349277</v>
      </c>
      <c r="G1315" s="4">
        <f>IFERROR(__xludf.DUMMYFUNCTION("GOOGLEFINANCE(""CURRENCY:INRBRL"")*D1315"),136.69712276471998)</f>
        <v>136.6971228</v>
      </c>
      <c r="H1315" s="1">
        <v>4.0</v>
      </c>
      <c r="I1315" s="1">
        <v>326.0</v>
      </c>
      <c r="J1315" s="1" t="s">
        <v>5050</v>
      </c>
      <c r="K1315" s="5" t="s">
        <v>5051</v>
      </c>
    </row>
    <row r="1316">
      <c r="A1316" s="1" t="s">
        <v>5052</v>
      </c>
      <c r="B1316" s="1" t="s">
        <v>5053</v>
      </c>
      <c r="C1316" s="1" t="s">
        <v>4674</v>
      </c>
      <c r="D1316" s="2">
        <v>499.0</v>
      </c>
      <c r="E1316" s="2">
        <v>2199.0</v>
      </c>
      <c r="F1316" s="3">
        <f t="shared" si="9"/>
        <v>0.7730786721</v>
      </c>
      <c r="G1316" s="4">
        <f>IFERROR(__xludf.DUMMYFUNCTION("GOOGLEFINANCE(""CURRENCY:INRBRL"")*D1316"),29.838960743479998)</f>
        <v>29.83896074</v>
      </c>
      <c r="H1316" s="1">
        <v>4.0</v>
      </c>
      <c r="I1316" s="1">
        <v>3527.0</v>
      </c>
      <c r="J1316" s="1" t="s">
        <v>5054</v>
      </c>
      <c r="K1316" s="5" t="s">
        <v>5055</v>
      </c>
    </row>
    <row r="1317">
      <c r="A1317" s="1" t="s">
        <v>5056</v>
      </c>
      <c r="B1317" s="1" t="s">
        <v>5057</v>
      </c>
      <c r="C1317" s="1" t="s">
        <v>4144</v>
      </c>
      <c r="D1317" s="2">
        <v>429.0</v>
      </c>
      <c r="E1317" s="2">
        <v>999.0</v>
      </c>
      <c r="F1317" s="3">
        <f t="shared" si="9"/>
        <v>0.5705705706</v>
      </c>
      <c r="G1317" s="4">
        <f>IFERROR(__xludf.DUMMYFUNCTION("GOOGLEFINANCE(""CURRENCY:INRBRL"")*D1317"),25.653134587079997)</f>
        <v>25.65313459</v>
      </c>
      <c r="H1317" s="1">
        <v>4.0</v>
      </c>
      <c r="I1317" s="1">
        <v>617.0</v>
      </c>
      <c r="J1317" s="1" t="s">
        <v>5058</v>
      </c>
      <c r="K1317" s="5" t="s">
        <v>5059</v>
      </c>
    </row>
    <row r="1318">
      <c r="A1318" s="1" t="s">
        <v>5060</v>
      </c>
      <c r="B1318" s="1" t="s">
        <v>5061</v>
      </c>
      <c r="C1318" s="1" t="s">
        <v>4053</v>
      </c>
      <c r="D1318" s="2">
        <v>299.0</v>
      </c>
      <c r="E1318" s="2">
        <v>595.0</v>
      </c>
      <c r="F1318" s="3">
        <f t="shared" si="9"/>
        <v>0.4974789916</v>
      </c>
      <c r="G1318" s="4">
        <f>IFERROR(__xludf.DUMMYFUNCTION("GOOGLEFINANCE(""CURRENCY:INRBRL"")*D1318"),17.87945743948)</f>
        <v>17.87945744</v>
      </c>
      <c r="H1318" s="1">
        <v>4.0</v>
      </c>
      <c r="I1318" s="1">
        <v>314.0</v>
      </c>
      <c r="J1318" s="1" t="s">
        <v>5062</v>
      </c>
      <c r="K1318" s="5" t="s">
        <v>5063</v>
      </c>
    </row>
    <row r="1319">
      <c r="A1319" s="1" t="s">
        <v>5064</v>
      </c>
      <c r="B1319" s="1" t="s">
        <v>5065</v>
      </c>
      <c r="C1319" s="1" t="s">
        <v>4479</v>
      </c>
      <c r="D1319" s="2">
        <v>5395.0</v>
      </c>
      <c r="E1319" s="2">
        <v>19999.0</v>
      </c>
      <c r="F1319" s="3">
        <f t="shared" si="9"/>
        <v>0.7302365118</v>
      </c>
      <c r="G1319" s="4">
        <f>IFERROR(__xludf.DUMMYFUNCTION("GOOGLEFINANCE(""CURRENCY:INRBRL"")*D1319"),322.6076016254)</f>
        <v>322.6076016</v>
      </c>
      <c r="H1319" s="1">
        <v>4.0</v>
      </c>
      <c r="I1319" s="1">
        <v>535.0</v>
      </c>
      <c r="J1319" s="1" t="s">
        <v>5066</v>
      </c>
      <c r="K1319" s="5" t="s">
        <v>5067</v>
      </c>
    </row>
    <row r="1320">
      <c r="A1320" s="1" t="s">
        <v>5068</v>
      </c>
      <c r="B1320" s="1" t="s">
        <v>5069</v>
      </c>
      <c r="C1320" s="1" t="s">
        <v>3900</v>
      </c>
      <c r="D1320" s="2">
        <v>559.0</v>
      </c>
      <c r="E1320" s="2">
        <v>1099.0</v>
      </c>
      <c r="F1320" s="3">
        <f t="shared" si="9"/>
        <v>0.491355778</v>
      </c>
      <c r="G1320" s="4">
        <f>IFERROR(__xludf.DUMMYFUNCTION("GOOGLEFINANCE(""CURRENCY:INRBRL"")*D1320"),33.42681173468)</f>
        <v>33.42681173</v>
      </c>
      <c r="H1320" s="1">
        <v>4.0</v>
      </c>
      <c r="I1320" s="1">
        <v>17325.0</v>
      </c>
      <c r="J1320" s="1" t="s">
        <v>5070</v>
      </c>
      <c r="K1320" s="5" t="s">
        <v>5071</v>
      </c>
    </row>
    <row r="1321">
      <c r="A1321" s="1" t="s">
        <v>5072</v>
      </c>
      <c r="B1321" s="1" t="s">
        <v>5073</v>
      </c>
      <c r="C1321" s="1" t="s">
        <v>3900</v>
      </c>
      <c r="D1321" s="2">
        <v>660.0</v>
      </c>
      <c r="E1321" s="2">
        <v>1099.0</v>
      </c>
      <c r="F1321" s="3">
        <f t="shared" si="9"/>
        <v>0.3994540491</v>
      </c>
      <c r="G1321" s="4">
        <f>IFERROR(__xludf.DUMMYFUNCTION("GOOGLEFINANCE(""CURRENCY:INRBRL"")*D1321"),39.4663609032)</f>
        <v>39.4663609</v>
      </c>
      <c r="H1321" s="1">
        <v>4.0</v>
      </c>
      <c r="I1321" s="1">
        <v>91.0</v>
      </c>
      <c r="J1321" s="1" t="s">
        <v>5074</v>
      </c>
      <c r="K1321" s="5" t="s">
        <v>5075</v>
      </c>
    </row>
    <row r="1322">
      <c r="A1322" s="1" t="s">
        <v>5076</v>
      </c>
      <c r="B1322" s="1" t="s">
        <v>5077</v>
      </c>
      <c r="C1322" s="1" t="s">
        <v>4040</v>
      </c>
      <c r="D1322" s="2">
        <v>419.0</v>
      </c>
      <c r="E1322" s="2">
        <v>999.0</v>
      </c>
      <c r="F1322" s="3">
        <f t="shared" si="9"/>
        <v>0.5805805806</v>
      </c>
      <c r="G1322" s="4">
        <f>IFERROR(__xludf.DUMMYFUNCTION("GOOGLEFINANCE(""CURRENCY:INRBRL"")*D1322"),25.05515942188)</f>
        <v>25.05515942</v>
      </c>
      <c r="H1322" s="1">
        <v>4.0</v>
      </c>
      <c r="I1322" s="1">
        <v>227.0</v>
      </c>
      <c r="J1322" s="1" t="s">
        <v>5078</v>
      </c>
      <c r="K1322" s="5" t="s">
        <v>5079</v>
      </c>
    </row>
    <row r="1323">
      <c r="A1323" s="1" t="s">
        <v>5080</v>
      </c>
      <c r="B1323" s="1" t="s">
        <v>5081</v>
      </c>
      <c r="C1323" s="1" t="s">
        <v>3933</v>
      </c>
      <c r="D1323" s="2">
        <v>7349.0</v>
      </c>
      <c r="E1323" s="2">
        <v>10899.0</v>
      </c>
      <c r="F1323" s="3">
        <f t="shared" si="9"/>
        <v>0.3257179558</v>
      </c>
      <c r="G1323" s="4">
        <f>IFERROR(__xludf.DUMMYFUNCTION("GOOGLEFINANCE(""CURRENCY:INRBRL"")*D1323"),439.45194890548)</f>
        <v>439.4519489</v>
      </c>
      <c r="H1323" s="1">
        <v>4.0</v>
      </c>
      <c r="I1323" s="1">
        <v>11957.0</v>
      </c>
      <c r="J1323" s="1" t="s">
        <v>5082</v>
      </c>
      <c r="K1323" s="5" t="s">
        <v>5083</v>
      </c>
    </row>
    <row r="1324">
      <c r="A1324" s="1" t="s">
        <v>5084</v>
      </c>
      <c r="B1324" s="1" t="s">
        <v>5085</v>
      </c>
      <c r="C1324" s="1" t="s">
        <v>4149</v>
      </c>
      <c r="D1324" s="2">
        <v>2899.0</v>
      </c>
      <c r="E1324" s="2">
        <v>4005.0</v>
      </c>
      <c r="F1324" s="3">
        <f t="shared" si="9"/>
        <v>0.2761548065</v>
      </c>
      <c r="G1324" s="4">
        <f>IFERROR(__xludf.DUMMYFUNCTION("GOOGLEFINANCE(""CURRENCY:INRBRL"")*D1324"),173.35300039147998)</f>
        <v>173.3530004</v>
      </c>
      <c r="H1324" s="1">
        <v>4.0</v>
      </c>
      <c r="I1324" s="1">
        <v>714.0</v>
      </c>
      <c r="J1324" s="1" t="s">
        <v>5086</v>
      </c>
      <c r="K1324" s="5" t="s">
        <v>5087</v>
      </c>
    </row>
    <row r="1325">
      <c r="A1325" s="1" t="s">
        <v>5088</v>
      </c>
      <c r="B1325" s="1" t="s">
        <v>5089</v>
      </c>
      <c r="C1325" s="1" t="s">
        <v>4015</v>
      </c>
      <c r="D1325" s="2">
        <v>1799.0</v>
      </c>
      <c r="E1325" s="2">
        <v>3295.0</v>
      </c>
      <c r="F1325" s="3">
        <f t="shared" si="9"/>
        <v>0.4540212443</v>
      </c>
      <c r="G1325" s="4">
        <f>IFERROR(__xludf.DUMMYFUNCTION("GOOGLEFINANCE(""CURRENCY:INRBRL"")*D1325"),107.57573221947999)</f>
        <v>107.5757322</v>
      </c>
      <c r="H1325" s="1">
        <v>4.0</v>
      </c>
      <c r="I1325" s="1">
        <v>687.0</v>
      </c>
      <c r="J1325" s="1" t="s">
        <v>5090</v>
      </c>
      <c r="K1325" s="5" t="s">
        <v>5091</v>
      </c>
    </row>
    <row r="1326">
      <c r="A1326" s="1" t="s">
        <v>5092</v>
      </c>
      <c r="B1326" s="1" t="s">
        <v>5093</v>
      </c>
      <c r="C1326" s="1" t="s">
        <v>4053</v>
      </c>
      <c r="D1326" s="2">
        <v>1474.0</v>
      </c>
      <c r="E1326" s="2">
        <v>4649.0</v>
      </c>
      <c r="F1326" s="3">
        <f t="shared" si="9"/>
        <v>0.6829425683</v>
      </c>
      <c r="G1326" s="4">
        <f>IFERROR(__xludf.DUMMYFUNCTION("GOOGLEFINANCE(""CURRENCY:INRBRL"")*D1326"),88.14153935047999)</f>
        <v>88.14153935</v>
      </c>
      <c r="H1326" s="1">
        <v>4.0</v>
      </c>
      <c r="I1326" s="1">
        <v>1045.0</v>
      </c>
      <c r="J1326" s="1" t="s">
        <v>5094</v>
      </c>
      <c r="K1326" s="5" t="s">
        <v>5095</v>
      </c>
    </row>
    <row r="1327">
      <c r="A1327" s="1" t="s">
        <v>5096</v>
      </c>
      <c r="B1327" s="1" t="s">
        <v>5097</v>
      </c>
      <c r="C1327" s="1" t="s">
        <v>4479</v>
      </c>
      <c r="D1327" s="2">
        <v>15999.0</v>
      </c>
      <c r="E1327" s="2">
        <v>24499.0</v>
      </c>
      <c r="F1327" s="3">
        <f t="shared" si="9"/>
        <v>0.3469529369</v>
      </c>
      <c r="G1327" s="4">
        <f>IFERROR(__xludf.DUMMYFUNCTION("GOOGLEFINANCE(""CURRENCY:INRBRL"")*D1327"),956.7004668034799)</f>
        <v>956.7004668</v>
      </c>
      <c r="H1327" s="1">
        <v>4.0</v>
      </c>
      <c r="I1327" s="1">
        <v>11206.0</v>
      </c>
      <c r="J1327" s="1" t="s">
        <v>5098</v>
      </c>
      <c r="K1327" s="5" t="s">
        <v>5099</v>
      </c>
    </row>
    <row r="1328">
      <c r="A1328" s="1" t="s">
        <v>5100</v>
      </c>
      <c r="B1328" s="1" t="s">
        <v>5101</v>
      </c>
      <c r="C1328" s="1" t="s">
        <v>3910</v>
      </c>
      <c r="D1328" s="2">
        <v>3645.0</v>
      </c>
      <c r="E1328" s="2">
        <v>6069.0</v>
      </c>
      <c r="F1328" s="3">
        <f t="shared" si="9"/>
        <v>0.3994068216</v>
      </c>
      <c r="G1328" s="4">
        <f>IFERROR(__xludf.DUMMYFUNCTION("GOOGLEFINANCE(""CURRENCY:INRBRL"")*D1328"),217.9619477154)</f>
        <v>217.9619477</v>
      </c>
      <c r="H1328" s="1">
        <v>4.0</v>
      </c>
      <c r="I1328" s="1">
        <v>561.0</v>
      </c>
      <c r="J1328" s="1" t="s">
        <v>5102</v>
      </c>
      <c r="K1328" s="5" t="s">
        <v>5103</v>
      </c>
    </row>
    <row r="1329">
      <c r="A1329" s="1" t="s">
        <v>5104</v>
      </c>
      <c r="B1329" s="1" t="s">
        <v>5105</v>
      </c>
      <c r="C1329" s="1" t="s">
        <v>3895</v>
      </c>
      <c r="D1329" s="2">
        <v>375.0</v>
      </c>
      <c r="E1329" s="2">
        <v>999.0</v>
      </c>
      <c r="F1329" s="3">
        <f t="shared" si="9"/>
        <v>0.6246246246</v>
      </c>
      <c r="G1329" s="4">
        <f>IFERROR(__xludf.DUMMYFUNCTION("GOOGLEFINANCE(""CURRENCY:INRBRL"")*D1329"),22.424068695)</f>
        <v>22.4240687</v>
      </c>
      <c r="H1329" s="1">
        <v>4.0</v>
      </c>
      <c r="I1329" s="1">
        <v>1988.0</v>
      </c>
      <c r="J1329" s="1" t="s">
        <v>5106</v>
      </c>
      <c r="K1329" s="5" t="s">
        <v>5107</v>
      </c>
    </row>
    <row r="1330">
      <c r="A1330" s="1" t="s">
        <v>5108</v>
      </c>
      <c r="B1330" s="1" t="s">
        <v>5109</v>
      </c>
      <c r="C1330" s="1" t="s">
        <v>4316</v>
      </c>
      <c r="D1330" s="2">
        <v>2976.0</v>
      </c>
      <c r="E1330" s="2">
        <v>3945.0</v>
      </c>
      <c r="F1330" s="3">
        <f t="shared" si="9"/>
        <v>0.2456273764</v>
      </c>
      <c r="G1330" s="4">
        <f>IFERROR(__xludf.DUMMYFUNCTION("GOOGLEFINANCE(""CURRENCY:INRBRL"")*D1330"),177.95740916352)</f>
        <v>177.9574092</v>
      </c>
      <c r="H1330" s="1">
        <v>4.0</v>
      </c>
      <c r="I1330" s="1">
        <v>374.0</v>
      </c>
      <c r="J1330" s="1" t="s">
        <v>5110</v>
      </c>
      <c r="K1330" s="5" t="s">
        <v>5111</v>
      </c>
    </row>
    <row r="1331">
      <c r="A1331" s="1" t="s">
        <v>5112</v>
      </c>
      <c r="B1331" s="1" t="s">
        <v>5113</v>
      </c>
      <c r="C1331" s="1" t="s">
        <v>4875</v>
      </c>
      <c r="D1331" s="2">
        <v>1099.0</v>
      </c>
      <c r="E1331" s="2">
        <v>1499.0</v>
      </c>
      <c r="F1331" s="3">
        <f t="shared" si="9"/>
        <v>0.266844563</v>
      </c>
      <c r="G1331" s="4">
        <f>IFERROR(__xludf.DUMMYFUNCTION("GOOGLEFINANCE(""CURRENCY:INRBRL"")*D1331"),65.71747065548)</f>
        <v>65.71747066</v>
      </c>
      <c r="H1331" s="1">
        <v>4.0</v>
      </c>
      <c r="I1331" s="1">
        <v>4401.0</v>
      </c>
      <c r="J1331" s="1" t="s">
        <v>5114</v>
      </c>
      <c r="K1331" s="5" t="s">
        <v>5115</v>
      </c>
    </row>
    <row r="1332">
      <c r="A1332" s="1" t="s">
        <v>5116</v>
      </c>
      <c r="B1332" s="1" t="s">
        <v>5117</v>
      </c>
      <c r="C1332" s="1" t="s">
        <v>3985</v>
      </c>
      <c r="D1332" s="2">
        <v>2575.0</v>
      </c>
      <c r="E1332" s="2">
        <v>6699.0</v>
      </c>
      <c r="F1332" s="3">
        <f t="shared" si="9"/>
        <v>0.6156142708</v>
      </c>
      <c r="G1332" s="4">
        <f>IFERROR(__xludf.DUMMYFUNCTION("GOOGLEFINANCE(""CURRENCY:INRBRL"")*D1332"),153.978605039)</f>
        <v>153.978605</v>
      </c>
      <c r="H1332" s="1">
        <v>4.0</v>
      </c>
      <c r="I1332" s="1">
        <v>611.0</v>
      </c>
      <c r="J1332" s="1" t="s">
        <v>5118</v>
      </c>
      <c r="K1332" s="5" t="s">
        <v>5119</v>
      </c>
    </row>
    <row r="1333">
      <c r="A1333" s="1" t="s">
        <v>5120</v>
      </c>
      <c r="B1333" s="1" t="s">
        <v>5121</v>
      </c>
      <c r="C1333" s="1" t="s">
        <v>3905</v>
      </c>
      <c r="D1333" s="2">
        <v>1649.0</v>
      </c>
      <c r="E1333" s="2">
        <v>2799.0</v>
      </c>
      <c r="F1333" s="3">
        <f t="shared" si="9"/>
        <v>0.4108610218</v>
      </c>
      <c r="G1333" s="4">
        <f>IFERROR(__xludf.DUMMYFUNCTION("GOOGLEFINANCE(""CURRENCY:INRBRL"")*D1333"),98.60610474148)</f>
        <v>98.60610474</v>
      </c>
      <c r="H1333" s="1">
        <v>4.0</v>
      </c>
      <c r="I1333" s="1">
        <v>2162.0</v>
      </c>
      <c r="J1333" s="1" t="s">
        <v>5122</v>
      </c>
      <c r="K1333" s="5" t="s">
        <v>5123</v>
      </c>
    </row>
    <row r="1334">
      <c r="A1334" s="1" t="s">
        <v>5124</v>
      </c>
      <c r="B1334" s="1" t="s">
        <v>5125</v>
      </c>
      <c r="C1334" s="1" t="s">
        <v>3895</v>
      </c>
      <c r="D1334" s="2">
        <v>799.0</v>
      </c>
      <c r="E1334" s="2">
        <v>1699.0</v>
      </c>
      <c r="F1334" s="3">
        <f t="shared" si="9"/>
        <v>0.5297233667</v>
      </c>
      <c r="G1334" s="4">
        <f>IFERROR(__xludf.DUMMYFUNCTION("GOOGLEFINANCE(""CURRENCY:INRBRL"")*D1334"),47.77821569948)</f>
        <v>47.7782157</v>
      </c>
      <c r="H1334" s="1">
        <v>4.0</v>
      </c>
      <c r="I1334" s="1">
        <v>97.0</v>
      </c>
      <c r="J1334" s="1" t="s">
        <v>5126</v>
      </c>
      <c r="K1334" s="5" t="s">
        <v>5127</v>
      </c>
    </row>
    <row r="1335">
      <c r="A1335" s="1" t="s">
        <v>5128</v>
      </c>
      <c r="B1335" s="1" t="s">
        <v>5129</v>
      </c>
      <c r="C1335" s="1" t="s">
        <v>3895</v>
      </c>
      <c r="D1335" s="2">
        <v>765.0</v>
      </c>
      <c r="E1335" s="2">
        <v>970.0</v>
      </c>
      <c r="F1335" s="3">
        <f t="shared" si="9"/>
        <v>0.2113402062</v>
      </c>
      <c r="G1335" s="4">
        <f>IFERROR(__xludf.DUMMYFUNCTION("GOOGLEFINANCE(""CURRENCY:INRBRL"")*D1335"),45.745100137799994)</f>
        <v>45.74510014</v>
      </c>
      <c r="H1335" s="1">
        <v>4.0</v>
      </c>
      <c r="I1335" s="1">
        <v>6055.0</v>
      </c>
      <c r="J1335" s="1" t="s">
        <v>5130</v>
      </c>
      <c r="K1335" s="5" t="s">
        <v>5131</v>
      </c>
    </row>
    <row r="1336">
      <c r="A1336" s="1" t="s">
        <v>5132</v>
      </c>
      <c r="B1336" s="1" t="s">
        <v>5133</v>
      </c>
      <c r="C1336" s="1" t="s">
        <v>3847</v>
      </c>
      <c r="D1336" s="2">
        <v>999.0</v>
      </c>
      <c r="E1336" s="2">
        <v>1499.0</v>
      </c>
      <c r="F1336" s="3">
        <f t="shared" si="9"/>
        <v>0.3335557038</v>
      </c>
      <c r="G1336" s="4">
        <f>IFERROR(__xludf.DUMMYFUNCTION("GOOGLEFINANCE(""CURRENCY:INRBRL"")*D1336"),59.737719003479995)</f>
        <v>59.737719</v>
      </c>
      <c r="H1336" s="1">
        <v>4.0</v>
      </c>
      <c r="I1336" s="1">
        <v>386.0</v>
      </c>
      <c r="J1336" s="1" t="s">
        <v>5134</v>
      </c>
      <c r="K1336" s="5" t="s">
        <v>5135</v>
      </c>
    </row>
    <row r="1337">
      <c r="A1337" s="1" t="s">
        <v>5136</v>
      </c>
      <c r="B1337" s="1" t="s">
        <v>5137</v>
      </c>
      <c r="C1337" s="1" t="s">
        <v>5138</v>
      </c>
      <c r="D1337" s="2">
        <v>587.0</v>
      </c>
      <c r="E1337" s="2">
        <v>1295.0</v>
      </c>
      <c r="F1337" s="3">
        <f t="shared" si="9"/>
        <v>0.5467181467</v>
      </c>
      <c r="G1337" s="4">
        <f>IFERROR(__xludf.DUMMYFUNCTION("GOOGLEFINANCE(""CURRENCY:INRBRL"")*D1337"),35.101142197239994)</f>
        <v>35.1011422</v>
      </c>
      <c r="H1337" s="1">
        <v>4.0</v>
      </c>
      <c r="I1337" s="1">
        <v>557.0</v>
      </c>
      <c r="J1337" s="1" t="s">
        <v>5139</v>
      </c>
      <c r="K1337" s="5" t="s">
        <v>5140</v>
      </c>
    </row>
    <row r="1338">
      <c r="A1338" s="1" t="s">
        <v>5141</v>
      </c>
      <c r="B1338" s="1" t="s">
        <v>5142</v>
      </c>
      <c r="C1338" s="1" t="s">
        <v>5143</v>
      </c>
      <c r="D1338" s="2">
        <v>12609.0</v>
      </c>
      <c r="E1338" s="2">
        <v>23999.0</v>
      </c>
      <c r="F1338" s="3">
        <f t="shared" si="9"/>
        <v>0.4746031085</v>
      </c>
      <c r="G1338" s="4">
        <f>IFERROR(__xludf.DUMMYFUNCTION("GOOGLEFINANCE(""CURRENCY:INRBRL"")*D1338"),753.9868858006799)</f>
        <v>753.9868858</v>
      </c>
      <c r="H1338" s="1">
        <v>4.0</v>
      </c>
      <c r="I1338" s="1">
        <v>2288.0</v>
      </c>
      <c r="J1338" s="1" t="s">
        <v>5144</v>
      </c>
      <c r="K1338" s="5" t="s">
        <v>5145</v>
      </c>
    </row>
    <row r="1339">
      <c r="A1339" s="1" t="s">
        <v>5146</v>
      </c>
      <c r="B1339" s="1" t="s">
        <v>5147</v>
      </c>
      <c r="C1339" s="1" t="s">
        <v>3900</v>
      </c>
      <c r="D1339" s="2">
        <v>699.0</v>
      </c>
      <c r="E1339" s="2">
        <v>850.0</v>
      </c>
      <c r="F1339" s="3">
        <f t="shared" si="9"/>
        <v>0.1776470588</v>
      </c>
      <c r="G1339" s="4">
        <f>IFERROR(__xludf.DUMMYFUNCTION("GOOGLEFINANCE(""CURRENCY:INRBRL"")*D1339"),41.798464047479996)</f>
        <v>41.79846405</v>
      </c>
      <c r="H1339" s="1">
        <v>4.0</v>
      </c>
      <c r="I1339" s="1">
        <v>1106.0</v>
      </c>
      <c r="J1339" s="1" t="s">
        <v>5148</v>
      </c>
      <c r="K1339" s="5" t="s">
        <v>5149</v>
      </c>
    </row>
    <row r="1340">
      <c r="A1340" s="1" t="s">
        <v>5150</v>
      </c>
      <c r="B1340" s="1" t="s">
        <v>5151</v>
      </c>
      <c r="C1340" s="1" t="s">
        <v>4162</v>
      </c>
      <c r="D1340" s="2">
        <v>3799.0</v>
      </c>
      <c r="E1340" s="2">
        <v>5999.0</v>
      </c>
      <c r="F1340" s="3">
        <f t="shared" si="9"/>
        <v>0.366727788</v>
      </c>
      <c r="G1340" s="4">
        <f>IFERROR(__xludf.DUMMYFUNCTION("GOOGLEFINANCE(""CURRENCY:INRBRL"")*D1340"),227.17076525948)</f>
        <v>227.1707653</v>
      </c>
      <c r="H1340" s="1">
        <v>4.0</v>
      </c>
      <c r="I1340" s="1">
        <v>11935.0</v>
      </c>
      <c r="J1340" s="1" t="s">
        <v>5152</v>
      </c>
      <c r="K1340" s="5" t="s">
        <v>5153</v>
      </c>
    </row>
    <row r="1341">
      <c r="A1341" s="1" t="s">
        <v>5154</v>
      </c>
      <c r="B1341" s="1" t="s">
        <v>5155</v>
      </c>
      <c r="C1341" s="1" t="s">
        <v>3962</v>
      </c>
      <c r="D1341" s="2">
        <v>640.0</v>
      </c>
      <c r="E1341" s="2">
        <v>1099.0</v>
      </c>
      <c r="F1341" s="3">
        <f t="shared" si="9"/>
        <v>0.4176524113</v>
      </c>
      <c r="G1341" s="4">
        <f>IFERROR(__xludf.DUMMYFUNCTION("GOOGLEFINANCE(""CURRENCY:INRBRL"")*D1341"),38.270410572799996)</f>
        <v>38.27041057</v>
      </c>
      <c r="H1341" s="1">
        <v>4.0</v>
      </c>
      <c r="I1341" s="1">
        <v>5059.0</v>
      </c>
      <c r="J1341" s="1" t="s">
        <v>5156</v>
      </c>
      <c r="K1341" s="5" t="s">
        <v>5157</v>
      </c>
    </row>
    <row r="1342">
      <c r="A1342" s="1" t="s">
        <v>5158</v>
      </c>
      <c r="B1342" s="1" t="s">
        <v>5159</v>
      </c>
      <c r="C1342" s="1" t="s">
        <v>3842</v>
      </c>
      <c r="D1342" s="2">
        <v>979.0</v>
      </c>
      <c r="E1342" s="2">
        <v>1999.0</v>
      </c>
      <c r="F1342" s="3">
        <f t="shared" si="9"/>
        <v>0.5102551276</v>
      </c>
      <c r="G1342" s="4">
        <f>IFERROR(__xludf.DUMMYFUNCTION("GOOGLEFINANCE(""CURRENCY:INRBRL"")*D1342"),58.54176867308)</f>
        <v>58.54176867</v>
      </c>
      <c r="H1342" s="1">
        <v>4.0</v>
      </c>
      <c r="I1342" s="1">
        <v>157.0</v>
      </c>
      <c r="J1342" s="1" t="s">
        <v>5160</v>
      </c>
      <c r="K1342" s="5" t="s">
        <v>5161</v>
      </c>
    </row>
    <row r="1343">
      <c r="A1343" s="1" t="s">
        <v>5162</v>
      </c>
      <c r="B1343" s="1" t="s">
        <v>5163</v>
      </c>
      <c r="C1343" s="1" t="s">
        <v>3910</v>
      </c>
      <c r="D1343" s="2">
        <v>5365.0</v>
      </c>
      <c r="E1343" s="2">
        <v>7445.0</v>
      </c>
      <c r="F1343" s="3">
        <f t="shared" si="9"/>
        <v>0.2793821357</v>
      </c>
      <c r="G1343" s="4">
        <f>IFERROR(__xludf.DUMMYFUNCTION("GOOGLEFINANCE(""CURRENCY:INRBRL"")*D1343"),320.8136761298)</f>
        <v>320.8136761</v>
      </c>
      <c r="H1343" s="1">
        <v>4.0</v>
      </c>
      <c r="I1343" s="1">
        <v>3584.0</v>
      </c>
      <c r="J1343" s="1" t="s">
        <v>5164</v>
      </c>
      <c r="K1343" s="5" t="s">
        <v>5165</v>
      </c>
    </row>
    <row r="1344">
      <c r="A1344" s="1" t="s">
        <v>5166</v>
      </c>
      <c r="B1344" s="1" t="s">
        <v>5167</v>
      </c>
      <c r="C1344" s="1" t="s">
        <v>3985</v>
      </c>
      <c r="D1344" s="2">
        <v>3199.0</v>
      </c>
      <c r="E1344" s="2">
        <v>3499.0</v>
      </c>
      <c r="F1344" s="3">
        <f t="shared" si="9"/>
        <v>0.08573878251</v>
      </c>
      <c r="G1344" s="4">
        <f>IFERROR(__xludf.DUMMYFUNCTION("GOOGLEFINANCE(""CURRENCY:INRBRL"")*D1344"),191.29225534748)</f>
        <v>191.2922553</v>
      </c>
      <c r="H1344" s="1">
        <v>4.0</v>
      </c>
      <c r="I1344" s="1">
        <v>1899.0</v>
      </c>
      <c r="J1344" s="1" t="s">
        <v>5168</v>
      </c>
      <c r="K1344" s="5" t="s">
        <v>5169</v>
      </c>
    </row>
    <row r="1345">
      <c r="A1345" s="1" t="s">
        <v>5170</v>
      </c>
      <c r="B1345" s="1" t="s">
        <v>5171</v>
      </c>
      <c r="C1345" s="1" t="s">
        <v>4587</v>
      </c>
      <c r="D1345" s="2">
        <v>979.0</v>
      </c>
      <c r="E1345" s="2">
        <v>1395.0</v>
      </c>
      <c r="F1345" s="3">
        <f t="shared" si="9"/>
        <v>0.2982078853</v>
      </c>
      <c r="G1345" s="4">
        <f>IFERROR(__xludf.DUMMYFUNCTION("GOOGLEFINANCE(""CURRENCY:INRBRL"")*D1345"),58.54176867308)</f>
        <v>58.54176867</v>
      </c>
      <c r="H1345" s="1">
        <v>4.0</v>
      </c>
      <c r="I1345" s="1">
        <v>15252.0</v>
      </c>
      <c r="J1345" s="1" t="s">
        <v>5172</v>
      </c>
      <c r="K1345" s="5" t="s">
        <v>5173</v>
      </c>
    </row>
    <row r="1346">
      <c r="A1346" s="1" t="s">
        <v>5174</v>
      </c>
      <c r="B1346" s="1" t="s">
        <v>5175</v>
      </c>
      <c r="C1346" s="1" t="s">
        <v>3837</v>
      </c>
      <c r="D1346" s="2">
        <v>929.0</v>
      </c>
      <c r="E1346" s="2">
        <v>2199.0</v>
      </c>
      <c r="F1346" s="3">
        <f t="shared" si="9"/>
        <v>0.5775352433</v>
      </c>
      <c r="G1346" s="4">
        <f>IFERROR(__xludf.DUMMYFUNCTION("GOOGLEFINANCE(""CURRENCY:INRBRL"")*D1346"),55.55189284708)</f>
        <v>55.55189285</v>
      </c>
      <c r="H1346" s="1">
        <v>4.0</v>
      </c>
      <c r="I1346" s="1">
        <v>4.0</v>
      </c>
      <c r="J1346" s="1" t="s">
        <v>5176</v>
      </c>
      <c r="K1346" s="5" t="s">
        <v>5177</v>
      </c>
    </row>
    <row r="1347">
      <c r="A1347" s="1" t="s">
        <v>5178</v>
      </c>
      <c r="B1347" s="1" t="s">
        <v>5179</v>
      </c>
      <c r="C1347" s="1" t="s">
        <v>4608</v>
      </c>
      <c r="D1347" s="2">
        <v>3699.0</v>
      </c>
      <c r="E1347" s="2">
        <v>4329.0</v>
      </c>
      <c r="F1347" s="3">
        <f t="shared" si="9"/>
        <v>0.1455301455</v>
      </c>
      <c r="G1347" s="4">
        <f>IFERROR(__xludf.DUMMYFUNCTION("GOOGLEFINANCE(""CURRENCY:INRBRL"")*D1347"),221.19101360748)</f>
        <v>221.1910136</v>
      </c>
      <c r="H1347" s="1">
        <v>4.0</v>
      </c>
      <c r="I1347" s="1">
        <v>1662.0</v>
      </c>
      <c r="J1347" s="1" t="s">
        <v>5180</v>
      </c>
      <c r="K1347" s="5" t="s">
        <v>5181</v>
      </c>
    </row>
    <row r="1348">
      <c r="A1348" s="1" t="s">
        <v>5182</v>
      </c>
      <c r="B1348" s="1" t="s">
        <v>5183</v>
      </c>
      <c r="C1348" s="1" t="s">
        <v>3905</v>
      </c>
      <c r="D1348" s="2">
        <v>2033.0</v>
      </c>
      <c r="E1348" s="2">
        <v>4295.0</v>
      </c>
      <c r="F1348" s="3">
        <f t="shared" si="9"/>
        <v>0.5266589057</v>
      </c>
      <c r="G1348" s="4">
        <f>IFERROR(__xludf.DUMMYFUNCTION("GOOGLEFINANCE(""CURRENCY:INRBRL"")*D1348"),121.56835108515999)</f>
        <v>121.5683511</v>
      </c>
      <c r="H1348" s="1">
        <v>4.0</v>
      </c>
      <c r="I1348" s="1">
        <v>422.0</v>
      </c>
      <c r="J1348" s="1" t="s">
        <v>5184</v>
      </c>
      <c r="K1348" s="5" t="s">
        <v>5185</v>
      </c>
    </row>
    <row r="1349">
      <c r="A1349" s="1" t="s">
        <v>5186</v>
      </c>
      <c r="B1349" s="1" t="s">
        <v>5187</v>
      </c>
      <c r="C1349" s="1" t="s">
        <v>3837</v>
      </c>
      <c r="D1349" s="2">
        <v>9495.0</v>
      </c>
      <c r="E1349" s="2">
        <v>18999.0</v>
      </c>
      <c r="F1349" s="3">
        <f t="shared" si="9"/>
        <v>0.5002368546</v>
      </c>
      <c r="G1349" s="4">
        <f>IFERROR(__xludf.DUMMYFUNCTION("GOOGLEFINANCE(""CURRENCY:INRBRL"")*D1349"),567.7774193573999)</f>
        <v>567.7774194</v>
      </c>
      <c r="H1349" s="1">
        <v>4.0</v>
      </c>
      <c r="I1349" s="1">
        <v>79.0</v>
      </c>
      <c r="J1349" s="1" t="s">
        <v>5188</v>
      </c>
      <c r="K1349" s="5" t="s">
        <v>5189</v>
      </c>
    </row>
    <row r="1350">
      <c r="A1350" s="1" t="s">
        <v>5190</v>
      </c>
      <c r="B1350" s="1" t="s">
        <v>5191</v>
      </c>
      <c r="C1350" s="1" t="s">
        <v>3933</v>
      </c>
      <c r="D1350" s="2">
        <v>7799.0</v>
      </c>
      <c r="E1350" s="2">
        <v>12499.0</v>
      </c>
      <c r="F1350" s="3">
        <f t="shared" si="9"/>
        <v>0.3760300824</v>
      </c>
      <c r="G1350" s="4">
        <f>IFERROR(__xludf.DUMMYFUNCTION("GOOGLEFINANCE(""CURRENCY:INRBRL"")*D1350"),466.36083133947994)</f>
        <v>466.3608313</v>
      </c>
      <c r="H1350" s="1">
        <v>4.0</v>
      </c>
      <c r="I1350" s="1">
        <v>516.0</v>
      </c>
      <c r="J1350" s="1" t="s">
        <v>5192</v>
      </c>
      <c r="K1350" s="5" t="s">
        <v>5193</v>
      </c>
    </row>
    <row r="1351">
      <c r="A1351" s="1" t="s">
        <v>5194</v>
      </c>
      <c r="B1351" s="1" t="s">
        <v>5195</v>
      </c>
      <c r="C1351" s="1" t="s">
        <v>3832</v>
      </c>
      <c r="D1351" s="2">
        <v>949.0</v>
      </c>
      <c r="E1351" s="2">
        <v>2385.0</v>
      </c>
      <c r="F1351" s="3">
        <f t="shared" si="9"/>
        <v>0.6020964361</v>
      </c>
      <c r="G1351" s="4">
        <f>IFERROR(__xludf.DUMMYFUNCTION("GOOGLEFINANCE(""CURRENCY:INRBRL"")*D1351"),56.74784317748)</f>
        <v>56.74784318</v>
      </c>
      <c r="H1351" s="1">
        <v>4.0</v>
      </c>
      <c r="I1351" s="1">
        <v>2311.0</v>
      </c>
      <c r="J1351" s="1" t="s">
        <v>5196</v>
      </c>
      <c r="K1351" s="5" t="s">
        <v>5197</v>
      </c>
    </row>
    <row r="1352">
      <c r="A1352" s="1" t="s">
        <v>5198</v>
      </c>
      <c r="B1352" s="1" t="s">
        <v>5199</v>
      </c>
      <c r="C1352" s="1" t="s">
        <v>3910</v>
      </c>
      <c r="D1352" s="2">
        <v>2799.0</v>
      </c>
      <c r="E1352" s="2">
        <v>4899.0</v>
      </c>
      <c r="F1352" s="3">
        <f t="shared" si="9"/>
        <v>0.42865891</v>
      </c>
      <c r="G1352" s="4">
        <f>IFERROR(__xludf.DUMMYFUNCTION("GOOGLEFINANCE(""CURRENCY:INRBRL"")*D1352"),167.37324873947998)</f>
        <v>167.3732487</v>
      </c>
      <c r="H1352" s="1">
        <v>4.0</v>
      </c>
      <c r="I1352" s="1">
        <v>588.0</v>
      </c>
      <c r="J1352" s="1" t="s">
        <v>5200</v>
      </c>
      <c r="K1352" s="5" t="s">
        <v>5201</v>
      </c>
    </row>
    <row r="1353">
      <c r="A1353" s="1" t="s">
        <v>5202</v>
      </c>
      <c r="B1353" s="1" t="s">
        <v>5203</v>
      </c>
      <c r="C1353" s="1" t="s">
        <v>3900</v>
      </c>
      <c r="D1353" s="2">
        <v>645.0</v>
      </c>
      <c r="E1353" s="2">
        <v>1099.0</v>
      </c>
      <c r="F1353" s="3">
        <f t="shared" si="9"/>
        <v>0.4131028207</v>
      </c>
      <c r="G1353" s="4">
        <f>IFERROR(__xludf.DUMMYFUNCTION("GOOGLEFINANCE(""CURRENCY:INRBRL"")*D1353"),38.569398155399995)</f>
        <v>38.56939816</v>
      </c>
      <c r="H1353" s="1">
        <v>4.0</v>
      </c>
      <c r="I1353" s="1">
        <v>3271.0</v>
      </c>
      <c r="J1353" s="1" t="s">
        <v>5204</v>
      </c>
      <c r="K1353" s="5" t="s">
        <v>5205</v>
      </c>
    </row>
    <row r="1354">
      <c r="A1354" s="1" t="s">
        <v>5206</v>
      </c>
      <c r="B1354" s="1" t="s">
        <v>5207</v>
      </c>
      <c r="C1354" s="1" t="s">
        <v>3905</v>
      </c>
      <c r="D1354" s="2">
        <v>2237.81</v>
      </c>
      <c r="E1354" s="2">
        <v>3899.0</v>
      </c>
      <c r="F1354" s="3">
        <f t="shared" si="9"/>
        <v>0.4260553988</v>
      </c>
      <c r="G1354" s="4">
        <f>IFERROR(__xludf.DUMMYFUNCTION("GOOGLEFINANCE(""CURRENCY:INRBRL"")*D1354"),133.8154804436212)</f>
        <v>133.8154804</v>
      </c>
      <c r="H1354" s="1">
        <v>4.0</v>
      </c>
      <c r="I1354" s="1">
        <v>11004.0</v>
      </c>
      <c r="J1354" s="1" t="s">
        <v>5208</v>
      </c>
      <c r="K1354" s="5" t="s">
        <v>5209</v>
      </c>
    </row>
    <row r="1355">
      <c r="A1355" s="1" t="s">
        <v>5210</v>
      </c>
      <c r="B1355" s="1" t="s">
        <v>5211</v>
      </c>
      <c r="C1355" s="1" t="s">
        <v>3933</v>
      </c>
      <c r="D1355" s="2">
        <v>8699.0</v>
      </c>
      <c r="E1355" s="2">
        <v>16899.0</v>
      </c>
      <c r="F1355" s="3">
        <f t="shared" si="9"/>
        <v>0.4852358128</v>
      </c>
      <c r="G1355" s="4">
        <f>IFERROR(__xludf.DUMMYFUNCTION("GOOGLEFINANCE(""CURRENCY:INRBRL"")*D1355"),520.1785962074799)</f>
        <v>520.1785962</v>
      </c>
      <c r="H1355" s="1">
        <v>4.0</v>
      </c>
      <c r="I1355" s="1">
        <v>3195.0</v>
      </c>
      <c r="J1355" s="1" t="s">
        <v>5212</v>
      </c>
      <c r="K1355" s="5" t="s">
        <v>5213</v>
      </c>
    </row>
    <row r="1356">
      <c r="A1356" s="1" t="s">
        <v>5214</v>
      </c>
      <c r="B1356" s="1" t="s">
        <v>5215</v>
      </c>
      <c r="C1356" s="1" t="s">
        <v>5216</v>
      </c>
      <c r="D1356" s="2">
        <v>42989.0</v>
      </c>
      <c r="E1356" s="2">
        <v>75989.0</v>
      </c>
      <c r="F1356" s="3">
        <f t="shared" si="9"/>
        <v>0.4342733817</v>
      </c>
      <c r="G1356" s="4">
        <f>IFERROR(__xludf.DUMMYFUNCTION("GOOGLEFINANCE(""CURRENCY:INRBRL"")*D1356"),2570.6354376782797)</f>
        <v>2570.635438</v>
      </c>
      <c r="H1356" s="1">
        <v>4.0</v>
      </c>
      <c r="I1356" s="1">
        <v>3231.0</v>
      </c>
      <c r="J1356" s="1" t="s">
        <v>5217</v>
      </c>
      <c r="K1356" s="5" t="s">
        <v>5218</v>
      </c>
    </row>
    <row r="1357">
      <c r="A1357" s="1" t="s">
        <v>5219</v>
      </c>
      <c r="B1357" s="1" t="s">
        <v>5220</v>
      </c>
      <c r="C1357" s="1" t="s">
        <v>4290</v>
      </c>
      <c r="D1357" s="2">
        <v>825.0</v>
      </c>
      <c r="E1357" s="2">
        <v>825.0</v>
      </c>
      <c r="F1357" s="3">
        <f t="shared" si="9"/>
        <v>0</v>
      </c>
      <c r="G1357" s="4">
        <f>IFERROR(__xludf.DUMMYFUNCTION("GOOGLEFINANCE(""CURRENCY:INRBRL"")*D1357"),49.332951128999994)</f>
        <v>49.33295113</v>
      </c>
      <c r="H1357" s="1">
        <v>4.0</v>
      </c>
      <c r="I1357" s="1">
        <v>3246.0</v>
      </c>
      <c r="J1357" s="1" t="s">
        <v>5221</v>
      </c>
      <c r="K1357" s="5" t="s">
        <v>5222</v>
      </c>
    </row>
    <row r="1358">
      <c r="A1358" s="1" t="s">
        <v>5223</v>
      </c>
      <c r="B1358" s="1" t="s">
        <v>5224</v>
      </c>
      <c r="C1358" s="1" t="s">
        <v>4144</v>
      </c>
      <c r="D1358" s="2">
        <v>161.0</v>
      </c>
      <c r="E1358" s="2">
        <v>300.0</v>
      </c>
      <c r="F1358" s="3">
        <f t="shared" si="9"/>
        <v>0.4633333333</v>
      </c>
      <c r="G1358" s="4">
        <f>IFERROR(__xludf.DUMMYFUNCTION("GOOGLEFINANCE(""CURRENCY:INRBRL"")*D1358"),9.627400159719999)</f>
        <v>9.62740016</v>
      </c>
      <c r="H1358" s="1">
        <v>4.0</v>
      </c>
      <c r="I1358" s="1">
        <v>24.0</v>
      </c>
      <c r="J1358" s="1" t="s">
        <v>5225</v>
      </c>
      <c r="K1358" s="5" t="s">
        <v>5226</v>
      </c>
    </row>
    <row r="1359">
      <c r="A1359" s="1" t="s">
        <v>5227</v>
      </c>
      <c r="B1359" s="1" t="s">
        <v>5228</v>
      </c>
      <c r="C1359" s="1" t="s">
        <v>3878</v>
      </c>
      <c r="D1359" s="2">
        <v>697.0</v>
      </c>
      <c r="E1359" s="2">
        <v>1499.0</v>
      </c>
      <c r="F1359" s="3">
        <f t="shared" si="9"/>
        <v>0.5350233489</v>
      </c>
      <c r="G1359" s="4">
        <f>IFERROR(__xludf.DUMMYFUNCTION("GOOGLEFINANCE(""CURRENCY:INRBRL"")*D1359"),41.67886901444)</f>
        <v>41.67886901</v>
      </c>
      <c r="H1359" s="1">
        <v>4.0</v>
      </c>
      <c r="I1359" s="1">
        <v>144.0</v>
      </c>
      <c r="J1359" s="1" t="s">
        <v>5229</v>
      </c>
      <c r="K1359" s="5" t="s">
        <v>5230</v>
      </c>
    </row>
    <row r="1360">
      <c r="A1360" s="1" t="s">
        <v>5231</v>
      </c>
      <c r="B1360" s="1" t="s">
        <v>5232</v>
      </c>
      <c r="C1360" s="1" t="s">
        <v>5233</v>
      </c>
      <c r="D1360" s="2">
        <v>688.0</v>
      </c>
      <c r="E1360" s="2">
        <v>747.0</v>
      </c>
      <c r="F1360" s="3">
        <f t="shared" si="9"/>
        <v>0.07898259705</v>
      </c>
      <c r="G1360" s="4">
        <f>IFERROR(__xludf.DUMMYFUNCTION("GOOGLEFINANCE(""CURRENCY:INRBRL"")*D1360"),41.14069136576)</f>
        <v>41.14069137</v>
      </c>
      <c r="H1360" s="1">
        <v>4.0</v>
      </c>
      <c r="I1360" s="1">
        <v>228.0</v>
      </c>
      <c r="J1360" s="1" t="s">
        <v>5234</v>
      </c>
      <c r="K1360" s="5" t="s">
        <v>5235</v>
      </c>
    </row>
    <row r="1361">
      <c r="A1361" s="1" t="s">
        <v>5236</v>
      </c>
      <c r="B1361" s="1" t="s">
        <v>5237</v>
      </c>
      <c r="C1361" s="1" t="s">
        <v>4192</v>
      </c>
      <c r="D1361" s="2">
        <v>2199.0</v>
      </c>
      <c r="E1361" s="2">
        <v>3999.0</v>
      </c>
      <c r="F1361" s="3">
        <f t="shared" si="9"/>
        <v>0.4501125281</v>
      </c>
      <c r="G1361" s="4">
        <f>IFERROR(__xludf.DUMMYFUNCTION("GOOGLEFINANCE(""CURRENCY:INRBRL"")*D1361"),131.49473882748)</f>
        <v>131.4947388</v>
      </c>
      <c r="H1361" s="1">
        <v>4.0</v>
      </c>
      <c r="I1361" s="1">
        <v>340.0</v>
      </c>
      <c r="J1361" s="1" t="s">
        <v>5238</v>
      </c>
      <c r="K1361" s="5" t="s">
        <v>5239</v>
      </c>
    </row>
    <row r="1362">
      <c r="A1362" s="1" t="s">
        <v>5240</v>
      </c>
      <c r="B1362" s="1" t="s">
        <v>5241</v>
      </c>
      <c r="C1362" s="1" t="s">
        <v>3842</v>
      </c>
      <c r="D1362" s="2">
        <v>6849.0</v>
      </c>
      <c r="E1362" s="2">
        <v>11989.0</v>
      </c>
      <c r="F1362" s="3">
        <f t="shared" si="9"/>
        <v>0.4287263325</v>
      </c>
      <c r="G1362" s="4">
        <f>IFERROR(__xludf.DUMMYFUNCTION("GOOGLEFINANCE(""CURRENCY:INRBRL"")*D1362"),409.55319064547996)</f>
        <v>409.5531906</v>
      </c>
      <c r="H1362" s="1">
        <v>4.0</v>
      </c>
      <c r="I1362" s="1">
        <v>144.0</v>
      </c>
      <c r="J1362" s="1" t="s">
        <v>5242</v>
      </c>
      <c r="K1362" s="5" t="s">
        <v>5243</v>
      </c>
    </row>
    <row r="1363">
      <c r="A1363" s="1" t="s">
        <v>5244</v>
      </c>
      <c r="B1363" s="1" t="s">
        <v>5245</v>
      </c>
      <c r="C1363" s="1" t="s">
        <v>3910</v>
      </c>
      <c r="D1363" s="2">
        <v>2699.0</v>
      </c>
      <c r="E1363" s="2">
        <v>3799.0</v>
      </c>
      <c r="F1363" s="3">
        <f t="shared" si="9"/>
        <v>0.2895498815</v>
      </c>
      <c r="G1363" s="4">
        <f>IFERROR(__xludf.DUMMYFUNCTION("GOOGLEFINANCE(""CURRENCY:INRBRL"")*D1363"),161.39349708748)</f>
        <v>161.3934971</v>
      </c>
      <c r="H1363" s="1">
        <v>4.0</v>
      </c>
      <c r="I1363" s="1">
        <v>727.0</v>
      </c>
      <c r="J1363" s="1" t="s">
        <v>5246</v>
      </c>
      <c r="K1363" s="5" t="s">
        <v>5247</v>
      </c>
    </row>
    <row r="1364">
      <c r="A1364" s="1" t="s">
        <v>5248</v>
      </c>
      <c r="B1364" s="1" t="s">
        <v>5249</v>
      </c>
      <c r="C1364" s="1" t="s">
        <v>5250</v>
      </c>
      <c r="D1364" s="2">
        <v>899.0</v>
      </c>
      <c r="E1364" s="2">
        <v>1999.0</v>
      </c>
      <c r="F1364" s="3">
        <f t="shared" si="9"/>
        <v>0.5502751376</v>
      </c>
      <c r="G1364" s="4">
        <f>IFERROR(__xludf.DUMMYFUNCTION("GOOGLEFINANCE(""CURRENCY:INRBRL"")*D1364"),53.75796735148)</f>
        <v>53.75796735</v>
      </c>
      <c r="H1364" s="1">
        <v>4.0</v>
      </c>
      <c r="I1364" s="1">
        <v>832.0</v>
      </c>
      <c r="J1364" s="1" t="s">
        <v>5251</v>
      </c>
      <c r="K1364" s="5" t="s">
        <v>5252</v>
      </c>
    </row>
    <row r="1365">
      <c r="A1365" s="1" t="s">
        <v>5253</v>
      </c>
      <c r="B1365" s="1" t="s">
        <v>5254</v>
      </c>
      <c r="C1365" s="1" t="s">
        <v>3842</v>
      </c>
      <c r="D1365" s="2">
        <v>1089.0</v>
      </c>
      <c r="E1365" s="2">
        <v>2999.0</v>
      </c>
      <c r="F1365" s="3">
        <f t="shared" si="9"/>
        <v>0.6368789597</v>
      </c>
      <c r="G1365" s="4">
        <f>IFERROR(__xludf.DUMMYFUNCTION("GOOGLEFINANCE(""CURRENCY:INRBRL"")*D1365"),65.11949549028)</f>
        <v>65.11949549</v>
      </c>
      <c r="H1365" s="1">
        <v>4.0</v>
      </c>
      <c r="I1365" s="1">
        <v>57.0</v>
      </c>
      <c r="J1365" s="1" t="s">
        <v>5255</v>
      </c>
      <c r="K1365" s="5" t="s">
        <v>5256</v>
      </c>
    </row>
    <row r="1366">
      <c r="A1366" s="1" t="s">
        <v>5257</v>
      </c>
      <c r="B1366" s="1" t="s">
        <v>5258</v>
      </c>
      <c r="C1366" s="1" t="s">
        <v>3852</v>
      </c>
      <c r="D1366" s="2">
        <v>295.0</v>
      </c>
      <c r="E1366" s="2">
        <v>599.0</v>
      </c>
      <c r="F1366" s="3">
        <f t="shared" si="9"/>
        <v>0.5075125209</v>
      </c>
      <c r="G1366" s="4">
        <f>IFERROR(__xludf.DUMMYFUNCTION("GOOGLEFINANCE(""CURRENCY:INRBRL"")*D1366"),17.6402673734)</f>
        <v>17.64026737</v>
      </c>
      <c r="H1366" s="1">
        <v>4.0</v>
      </c>
      <c r="I1366" s="1">
        <v>1644.0</v>
      </c>
      <c r="J1366" s="1" t="s">
        <v>5259</v>
      </c>
      <c r="K1366" s="5" t="s">
        <v>5260</v>
      </c>
    </row>
    <row r="1367">
      <c r="A1367" s="1" t="s">
        <v>5261</v>
      </c>
      <c r="B1367" s="1" t="s">
        <v>5262</v>
      </c>
      <c r="C1367" s="1" t="s">
        <v>3928</v>
      </c>
      <c r="D1367" s="2">
        <v>479.0</v>
      </c>
      <c r="E1367" s="2">
        <v>1999.0</v>
      </c>
      <c r="F1367" s="3">
        <f t="shared" si="9"/>
        <v>0.7603801901</v>
      </c>
      <c r="G1367" s="4">
        <f>IFERROR(__xludf.DUMMYFUNCTION("GOOGLEFINANCE(""CURRENCY:INRBRL"")*D1367"),28.64301041308)</f>
        <v>28.64301041</v>
      </c>
      <c r="H1367" s="1">
        <v>4.0</v>
      </c>
      <c r="I1367" s="1">
        <v>1066.0</v>
      </c>
      <c r="J1367" s="1" t="s">
        <v>5263</v>
      </c>
      <c r="K1367" s="5" t="s">
        <v>5264</v>
      </c>
    </row>
    <row r="1368">
      <c r="A1368" s="1" t="s">
        <v>5265</v>
      </c>
      <c r="B1368" s="1" t="s">
        <v>5266</v>
      </c>
      <c r="C1368" s="1" t="s">
        <v>3910</v>
      </c>
      <c r="D1368" s="2">
        <v>2949.0</v>
      </c>
      <c r="E1368" s="2">
        <v>4849.0</v>
      </c>
      <c r="F1368" s="3">
        <f t="shared" si="9"/>
        <v>0.3918333677</v>
      </c>
      <c r="G1368" s="4">
        <f>IFERROR(__xludf.DUMMYFUNCTION("GOOGLEFINANCE(""CURRENCY:INRBRL"")*D1368"),176.34287621747998)</f>
        <v>176.3428762</v>
      </c>
      <c r="H1368" s="1">
        <v>4.0</v>
      </c>
      <c r="I1368" s="1">
        <v>7968.0</v>
      </c>
      <c r="J1368" s="1" t="s">
        <v>5267</v>
      </c>
      <c r="K1368" s="5" t="s">
        <v>5268</v>
      </c>
    </row>
    <row r="1369">
      <c r="A1369" s="1" t="s">
        <v>5269</v>
      </c>
      <c r="B1369" s="1" t="s">
        <v>5270</v>
      </c>
      <c r="C1369" s="1" t="s">
        <v>3962</v>
      </c>
      <c r="D1369" s="2">
        <v>335.0</v>
      </c>
      <c r="E1369" s="2">
        <v>510.0</v>
      </c>
      <c r="F1369" s="3">
        <f t="shared" si="9"/>
        <v>0.3431372549</v>
      </c>
      <c r="G1369" s="4">
        <f>IFERROR(__xludf.DUMMYFUNCTION("GOOGLEFINANCE(""CURRENCY:INRBRL"")*D1369"),20.032168034199998)</f>
        <v>20.03216803</v>
      </c>
      <c r="H1369" s="1">
        <v>4.0</v>
      </c>
      <c r="I1369" s="1">
        <v>3195.0</v>
      </c>
      <c r="J1369" s="1" t="s">
        <v>5271</v>
      </c>
      <c r="K1369" s="5" t="s">
        <v>5272</v>
      </c>
    </row>
    <row r="1370">
      <c r="A1370" s="1" t="s">
        <v>5273</v>
      </c>
      <c r="B1370" s="1" t="s">
        <v>5274</v>
      </c>
      <c r="C1370" s="1" t="s">
        <v>4281</v>
      </c>
      <c r="D1370" s="2">
        <v>293.0</v>
      </c>
      <c r="E1370" s="2">
        <v>499.0</v>
      </c>
      <c r="F1370" s="3">
        <f t="shared" si="9"/>
        <v>0.4128256513</v>
      </c>
      <c r="G1370" s="4">
        <f>IFERROR(__xludf.DUMMYFUNCTION("GOOGLEFINANCE(""CURRENCY:INRBRL"")*D1370"),17.520672340359997)</f>
        <v>17.52067234</v>
      </c>
      <c r="H1370" s="1">
        <v>4.0</v>
      </c>
      <c r="I1370" s="1">
        <v>1456.0</v>
      </c>
      <c r="J1370" s="1" t="s">
        <v>5275</v>
      </c>
      <c r="K1370" s="5" t="s">
        <v>5276</v>
      </c>
    </row>
    <row r="1371">
      <c r="A1371" s="1" t="s">
        <v>5277</v>
      </c>
      <c r="B1371" s="1" t="s">
        <v>5278</v>
      </c>
      <c r="C1371" s="1" t="s">
        <v>5279</v>
      </c>
      <c r="D1371" s="2">
        <v>599.0</v>
      </c>
      <c r="E1371" s="2">
        <v>1299.0</v>
      </c>
      <c r="F1371" s="3">
        <f t="shared" si="9"/>
        <v>0.5388760585</v>
      </c>
      <c r="G1371" s="4">
        <f>IFERROR(__xludf.DUMMYFUNCTION("GOOGLEFINANCE(""CURRENCY:INRBRL"")*D1371"),35.81871239548)</f>
        <v>35.8187124</v>
      </c>
      <c r="H1371" s="1">
        <v>4.0</v>
      </c>
      <c r="I1371" s="1">
        <v>590.0</v>
      </c>
      <c r="J1371" s="1" t="s">
        <v>5280</v>
      </c>
      <c r="K1371" s="5" t="s">
        <v>5281</v>
      </c>
    </row>
    <row r="1372">
      <c r="A1372" s="1" t="s">
        <v>5282</v>
      </c>
      <c r="B1372" s="1" t="s">
        <v>5283</v>
      </c>
      <c r="C1372" s="1" t="s">
        <v>4290</v>
      </c>
      <c r="D1372" s="2">
        <v>499.0</v>
      </c>
      <c r="E1372" s="2">
        <v>999.0</v>
      </c>
      <c r="F1372" s="3">
        <f t="shared" si="9"/>
        <v>0.5005005005</v>
      </c>
      <c r="G1372" s="4">
        <f>IFERROR(__xludf.DUMMYFUNCTION("GOOGLEFINANCE(""CURRENCY:INRBRL"")*D1372"),29.838960743479998)</f>
        <v>29.83896074</v>
      </c>
      <c r="H1372" s="1">
        <v>4.0</v>
      </c>
      <c r="I1372" s="1">
        <v>1436.0</v>
      </c>
      <c r="J1372" s="1" t="s">
        <v>5284</v>
      </c>
      <c r="K1372" s="5" t="s">
        <v>5285</v>
      </c>
    </row>
    <row r="1373">
      <c r="A1373" s="1" t="s">
        <v>5286</v>
      </c>
      <c r="B1373" s="1" t="s">
        <v>5287</v>
      </c>
      <c r="C1373" s="1" t="s">
        <v>3900</v>
      </c>
      <c r="D1373" s="2">
        <v>849.0</v>
      </c>
      <c r="E1373" s="2">
        <v>1189.0</v>
      </c>
      <c r="F1373" s="3">
        <f t="shared" si="9"/>
        <v>0.2859545837</v>
      </c>
      <c r="G1373" s="4">
        <f>IFERROR(__xludf.DUMMYFUNCTION("GOOGLEFINANCE(""CURRENCY:INRBRL"")*D1373"),50.768091525479996)</f>
        <v>50.76809153</v>
      </c>
      <c r="H1373" s="1">
        <v>4.0</v>
      </c>
      <c r="I1373" s="1">
        <v>4184.0</v>
      </c>
      <c r="J1373" s="1" t="s">
        <v>5288</v>
      </c>
      <c r="K1373" s="5" t="s">
        <v>5289</v>
      </c>
    </row>
    <row r="1374">
      <c r="A1374" s="1" t="s">
        <v>5290</v>
      </c>
      <c r="B1374" s="1" t="s">
        <v>5291</v>
      </c>
      <c r="C1374" s="1" t="s">
        <v>4281</v>
      </c>
      <c r="D1374" s="2">
        <v>249.0</v>
      </c>
      <c r="E1374" s="2">
        <v>400.0</v>
      </c>
      <c r="F1374" s="3">
        <f t="shared" si="9"/>
        <v>0.3775</v>
      </c>
      <c r="G1374" s="4">
        <f>IFERROR(__xludf.DUMMYFUNCTION("GOOGLEFINANCE(""CURRENCY:INRBRL"")*D1374"),14.889581613479999)</f>
        <v>14.88958161</v>
      </c>
      <c r="H1374" s="1">
        <v>4.0</v>
      </c>
      <c r="I1374" s="1">
        <v>693.0</v>
      </c>
      <c r="J1374" s="1" t="s">
        <v>5292</v>
      </c>
      <c r="K1374" s="5" t="s">
        <v>5293</v>
      </c>
    </row>
    <row r="1375">
      <c r="A1375" s="1" t="s">
        <v>5294</v>
      </c>
      <c r="B1375" s="1" t="s">
        <v>5295</v>
      </c>
      <c r="C1375" s="1" t="s">
        <v>4290</v>
      </c>
      <c r="D1375" s="2">
        <v>185.0</v>
      </c>
      <c r="E1375" s="2">
        <v>599.0</v>
      </c>
      <c r="F1375" s="3">
        <f t="shared" si="9"/>
        <v>0.6911519199</v>
      </c>
      <c r="G1375" s="4">
        <f>IFERROR(__xludf.DUMMYFUNCTION("GOOGLEFINANCE(""CURRENCY:INRBRL"")*D1375"),11.0625405562)</f>
        <v>11.06254056</v>
      </c>
      <c r="H1375" s="1">
        <v>4.0</v>
      </c>
      <c r="I1375" s="1">
        <v>1306.0</v>
      </c>
      <c r="J1375" s="1" t="s">
        <v>5296</v>
      </c>
      <c r="K1375" s="5" t="s">
        <v>5297</v>
      </c>
    </row>
    <row r="1376">
      <c r="A1376" s="1" t="s">
        <v>5298</v>
      </c>
      <c r="B1376" s="1" t="s">
        <v>5299</v>
      </c>
      <c r="C1376" s="1" t="s">
        <v>3842</v>
      </c>
      <c r="D1376" s="2">
        <v>778.0</v>
      </c>
      <c r="E1376" s="2">
        <v>999.0</v>
      </c>
      <c r="F1376" s="3">
        <f t="shared" si="9"/>
        <v>0.2212212212</v>
      </c>
      <c r="G1376" s="4">
        <f>IFERROR(__xludf.DUMMYFUNCTION("GOOGLEFINANCE(""CURRENCY:INRBRL"")*D1376"),46.52246785256)</f>
        <v>46.52246785</v>
      </c>
      <c r="H1376" s="1">
        <v>4.0</v>
      </c>
      <c r="I1376" s="1">
        <v>8.0</v>
      </c>
      <c r="J1376" s="1" t="s">
        <v>5300</v>
      </c>
      <c r="K1376" s="5" t="s">
        <v>5301</v>
      </c>
    </row>
    <row r="1377">
      <c r="A1377" s="1" t="s">
        <v>5302</v>
      </c>
      <c r="B1377" s="1" t="s">
        <v>5303</v>
      </c>
      <c r="C1377" s="1" t="s">
        <v>5304</v>
      </c>
      <c r="D1377" s="2">
        <v>279.0</v>
      </c>
      <c r="E1377" s="2">
        <v>699.0</v>
      </c>
      <c r="F1377" s="3">
        <f t="shared" si="9"/>
        <v>0.6008583691</v>
      </c>
      <c r="G1377" s="4">
        <f>IFERROR(__xludf.DUMMYFUNCTION("GOOGLEFINANCE(""CURRENCY:INRBRL"")*D1377"),16.68350710908)</f>
        <v>16.68350711</v>
      </c>
      <c r="H1377" s="1">
        <v>4.0</v>
      </c>
      <c r="I1377" s="1">
        <v>2326.0</v>
      </c>
      <c r="J1377" s="1" t="s">
        <v>5305</v>
      </c>
      <c r="K1377" s="5" t="s">
        <v>5306</v>
      </c>
    </row>
    <row r="1378">
      <c r="A1378" s="1" t="s">
        <v>5307</v>
      </c>
      <c r="B1378" s="1" t="s">
        <v>5308</v>
      </c>
      <c r="C1378" s="1" t="s">
        <v>4290</v>
      </c>
      <c r="D1378" s="2">
        <v>215.0</v>
      </c>
      <c r="E1378" s="2">
        <v>1499.0</v>
      </c>
      <c r="F1378" s="3">
        <f t="shared" si="9"/>
        <v>0.8565710474</v>
      </c>
      <c r="G1378" s="4">
        <f>IFERROR(__xludf.DUMMYFUNCTION("GOOGLEFINANCE(""CURRENCY:INRBRL"")*D1378"),12.8564660518)</f>
        <v>12.85646605</v>
      </c>
      <c r="H1378" s="1">
        <v>4.0</v>
      </c>
      <c r="I1378" s="1">
        <v>1004.0</v>
      </c>
      <c r="J1378" s="1" t="s">
        <v>5309</v>
      </c>
      <c r="K1378" s="5" t="s">
        <v>5310</v>
      </c>
    </row>
    <row r="1379">
      <c r="A1379" s="1" t="s">
        <v>5311</v>
      </c>
      <c r="B1379" s="1" t="s">
        <v>5312</v>
      </c>
      <c r="C1379" s="1" t="s">
        <v>3900</v>
      </c>
      <c r="D1379" s="2">
        <v>889.0</v>
      </c>
      <c r="E1379" s="2">
        <v>1295.0</v>
      </c>
      <c r="F1379" s="3">
        <f t="shared" si="9"/>
        <v>0.3135135135</v>
      </c>
      <c r="G1379" s="4">
        <f>IFERROR(__xludf.DUMMYFUNCTION("GOOGLEFINANCE(""CURRENCY:INRBRL"")*D1379"),53.15999218628)</f>
        <v>53.15999219</v>
      </c>
      <c r="H1379" s="1">
        <v>4.0</v>
      </c>
      <c r="I1379" s="1">
        <v>64.0</v>
      </c>
      <c r="J1379" s="1" t="s">
        <v>5313</v>
      </c>
      <c r="K1379" s="5" t="s">
        <v>5314</v>
      </c>
    </row>
    <row r="1380">
      <c r="A1380" s="1" t="s">
        <v>5315</v>
      </c>
      <c r="B1380" s="1" t="s">
        <v>5316</v>
      </c>
      <c r="C1380" s="1" t="s">
        <v>3910</v>
      </c>
      <c r="D1380" s="2">
        <v>1449.0</v>
      </c>
      <c r="E1380" s="2">
        <v>4999.0</v>
      </c>
      <c r="F1380" s="3">
        <f t="shared" si="9"/>
        <v>0.7101420284</v>
      </c>
      <c r="G1380" s="4">
        <f>IFERROR(__xludf.DUMMYFUNCTION("GOOGLEFINANCE(""CURRENCY:INRBRL"")*D1380"),86.64660143748)</f>
        <v>86.64660144</v>
      </c>
      <c r="H1380" s="1">
        <v>4.0</v>
      </c>
      <c r="I1380" s="1">
        <v>63.0</v>
      </c>
      <c r="J1380" s="1" t="s">
        <v>5317</v>
      </c>
      <c r="K1380" s="5" t="s">
        <v>5318</v>
      </c>
    </row>
    <row r="1381">
      <c r="A1381" s="1" t="s">
        <v>5319</v>
      </c>
      <c r="B1381" s="1" t="s">
        <v>5320</v>
      </c>
      <c r="C1381" s="1" t="s">
        <v>3910</v>
      </c>
      <c r="D1381" s="2">
        <v>1189.0</v>
      </c>
      <c r="E1381" s="2">
        <v>2549.0</v>
      </c>
      <c r="F1381" s="3">
        <f t="shared" si="9"/>
        <v>0.5335425657</v>
      </c>
      <c r="G1381" s="4">
        <f>IFERROR(__xludf.DUMMYFUNCTION("GOOGLEFINANCE(""CURRENCY:INRBRL"")*D1381"),71.09924714227999)</f>
        <v>71.09924714</v>
      </c>
      <c r="H1381" s="1">
        <v>4.0</v>
      </c>
      <c r="I1381" s="1">
        <v>1181.0</v>
      </c>
      <c r="J1381" s="1" t="s">
        <v>5321</v>
      </c>
      <c r="K1381" s="5" t="s">
        <v>5322</v>
      </c>
    </row>
    <row r="1382">
      <c r="A1382" s="1" t="s">
        <v>5323</v>
      </c>
      <c r="B1382" s="1" t="s">
        <v>5324</v>
      </c>
      <c r="C1382" s="1" t="s">
        <v>4479</v>
      </c>
      <c r="D1382" s="2">
        <v>1799.0</v>
      </c>
      <c r="E1382" s="2">
        <v>1949.0</v>
      </c>
      <c r="F1382" s="3">
        <f t="shared" si="9"/>
        <v>0.07696254489</v>
      </c>
      <c r="G1382" s="4">
        <f>IFERROR(__xludf.DUMMYFUNCTION("GOOGLEFINANCE(""CURRENCY:INRBRL"")*D1382"),107.57573221947999)</f>
        <v>107.5757322</v>
      </c>
      <c r="H1382" s="1">
        <v>4.0</v>
      </c>
      <c r="I1382" s="1">
        <v>1888.0</v>
      </c>
      <c r="J1382" s="1" t="s">
        <v>5325</v>
      </c>
      <c r="K1382" s="5" t="s">
        <v>5326</v>
      </c>
    </row>
    <row r="1383">
      <c r="A1383" s="1" t="s">
        <v>5327</v>
      </c>
      <c r="B1383" s="1" t="s">
        <v>5328</v>
      </c>
      <c r="C1383" s="1" t="s">
        <v>3905</v>
      </c>
      <c r="D1383" s="2">
        <v>6119.0</v>
      </c>
      <c r="E1383" s="2">
        <v>8478.0</v>
      </c>
      <c r="F1383" s="3">
        <f t="shared" si="9"/>
        <v>0.2782495872</v>
      </c>
      <c r="G1383" s="4">
        <f>IFERROR(__xludf.DUMMYFUNCTION("GOOGLEFINANCE(""CURRENCY:INRBRL"")*D1383"),365.90100358588)</f>
        <v>365.9010036</v>
      </c>
      <c r="H1383" s="1">
        <v>4.0</v>
      </c>
      <c r="I1383" s="1">
        <v>655.0</v>
      </c>
      <c r="J1383" s="1" t="s">
        <v>5329</v>
      </c>
      <c r="K1383" s="5" t="s">
        <v>5330</v>
      </c>
    </row>
    <row r="1384">
      <c r="A1384" s="1" t="s">
        <v>5331</v>
      </c>
      <c r="B1384" s="1" t="s">
        <v>5332</v>
      </c>
      <c r="C1384" s="1" t="s">
        <v>3905</v>
      </c>
      <c r="D1384" s="2">
        <v>1799.0</v>
      </c>
      <c r="E1384" s="2">
        <v>3299.0</v>
      </c>
      <c r="F1384" s="3">
        <f t="shared" si="9"/>
        <v>0.4546832373</v>
      </c>
      <c r="G1384" s="4">
        <f>IFERROR(__xludf.DUMMYFUNCTION("GOOGLEFINANCE(""CURRENCY:INRBRL"")*D1384"),107.57573221947999)</f>
        <v>107.5757322</v>
      </c>
      <c r="H1384" s="1">
        <v>4.0</v>
      </c>
      <c r="I1384" s="1">
        <v>1846.0</v>
      </c>
      <c r="J1384" s="1" t="s">
        <v>5333</v>
      </c>
      <c r="K1384" s="5" t="s">
        <v>5334</v>
      </c>
    </row>
    <row r="1385">
      <c r="A1385" s="1" t="s">
        <v>5335</v>
      </c>
      <c r="B1385" s="1" t="s">
        <v>5336</v>
      </c>
      <c r="C1385" s="1" t="s">
        <v>3905</v>
      </c>
      <c r="D1385" s="2">
        <v>2199.0</v>
      </c>
      <c r="E1385" s="2">
        <v>3895.0</v>
      </c>
      <c r="F1385" s="3">
        <f t="shared" si="9"/>
        <v>0.4354300385</v>
      </c>
      <c r="G1385" s="4">
        <f>IFERROR(__xludf.DUMMYFUNCTION("GOOGLEFINANCE(""CURRENCY:INRBRL"")*D1385"),131.49473882748)</f>
        <v>131.4947388</v>
      </c>
      <c r="H1385" s="1">
        <v>4.0</v>
      </c>
      <c r="I1385" s="1">
        <v>1085.0</v>
      </c>
      <c r="J1385" s="1" t="s">
        <v>5337</v>
      </c>
      <c r="K1385" s="5" t="s">
        <v>5338</v>
      </c>
    </row>
    <row r="1386">
      <c r="A1386" s="1" t="s">
        <v>5339</v>
      </c>
      <c r="B1386" s="1" t="s">
        <v>5340</v>
      </c>
      <c r="C1386" s="1" t="s">
        <v>4316</v>
      </c>
      <c r="D1386" s="2">
        <v>3685.0</v>
      </c>
      <c r="E1386" s="2">
        <v>5495.0</v>
      </c>
      <c r="F1386" s="3">
        <f t="shared" si="9"/>
        <v>0.3293903549</v>
      </c>
      <c r="G1386" s="4">
        <f>IFERROR(__xludf.DUMMYFUNCTION("GOOGLEFINANCE(""CURRENCY:INRBRL"")*D1386"),220.35384837619998)</f>
        <v>220.3538484</v>
      </c>
      <c r="H1386" s="1">
        <v>4.0</v>
      </c>
      <c r="I1386" s="1">
        <v>290.0</v>
      </c>
      <c r="J1386" s="1" t="s">
        <v>5341</v>
      </c>
      <c r="K1386" s="5" t="s">
        <v>5342</v>
      </c>
    </row>
    <row r="1387">
      <c r="A1387" s="1" t="s">
        <v>5343</v>
      </c>
      <c r="B1387" s="1" t="s">
        <v>5344</v>
      </c>
      <c r="C1387" s="1" t="s">
        <v>4002</v>
      </c>
      <c r="D1387" s="2">
        <v>649.0</v>
      </c>
      <c r="E1387" s="2">
        <v>999.0</v>
      </c>
      <c r="F1387" s="3">
        <f t="shared" si="9"/>
        <v>0.3503503504</v>
      </c>
      <c r="G1387" s="4">
        <f>IFERROR(__xludf.DUMMYFUNCTION("GOOGLEFINANCE(""CURRENCY:INRBRL"")*D1387"),38.80858822148)</f>
        <v>38.80858822</v>
      </c>
      <c r="H1387" s="1">
        <v>4.0</v>
      </c>
      <c r="I1387" s="1">
        <v>4.0</v>
      </c>
      <c r="J1387" s="1" t="s">
        <v>5345</v>
      </c>
      <c r="K1387" s="5" t="s">
        <v>5346</v>
      </c>
    </row>
    <row r="1388">
      <c r="A1388" s="1" t="s">
        <v>5347</v>
      </c>
      <c r="B1388" s="1" t="s">
        <v>5348</v>
      </c>
      <c r="C1388" s="1" t="s">
        <v>4613</v>
      </c>
      <c r="D1388" s="2">
        <v>8599.0</v>
      </c>
      <c r="E1388" s="2">
        <v>8995.0</v>
      </c>
      <c r="F1388" s="3">
        <f t="shared" si="9"/>
        <v>0.04402445803</v>
      </c>
      <c r="G1388" s="4">
        <f>IFERROR(__xludf.DUMMYFUNCTION("GOOGLEFINANCE(""CURRENCY:INRBRL"")*D1388"),514.1988445554799)</f>
        <v>514.1988446</v>
      </c>
      <c r="H1388" s="1">
        <v>4.0</v>
      </c>
      <c r="I1388" s="1">
        <v>9734.0</v>
      </c>
      <c r="J1388" s="1" t="s">
        <v>5349</v>
      </c>
      <c r="K1388" s="5" t="s">
        <v>5350</v>
      </c>
    </row>
    <row r="1389">
      <c r="A1389" s="1" t="s">
        <v>5351</v>
      </c>
      <c r="B1389" s="1" t="s">
        <v>5352</v>
      </c>
      <c r="C1389" s="1" t="s">
        <v>3900</v>
      </c>
      <c r="D1389" s="2">
        <v>1109.0</v>
      </c>
      <c r="E1389" s="2">
        <v>1599.0</v>
      </c>
      <c r="F1389" s="3">
        <f t="shared" si="9"/>
        <v>0.306441526</v>
      </c>
      <c r="G1389" s="4">
        <f>IFERROR(__xludf.DUMMYFUNCTION("GOOGLEFINANCE(""CURRENCY:INRBRL"")*D1389"),66.31544582068)</f>
        <v>66.31544582</v>
      </c>
      <c r="H1389" s="1">
        <v>4.0</v>
      </c>
      <c r="I1389" s="1">
        <v>4022.0</v>
      </c>
      <c r="J1389" s="1" t="s">
        <v>5353</v>
      </c>
      <c r="K1389" s="5" t="s">
        <v>5354</v>
      </c>
    </row>
    <row r="1390">
      <c r="A1390" s="1" t="s">
        <v>5355</v>
      </c>
      <c r="B1390" s="1" t="s">
        <v>5356</v>
      </c>
      <c r="C1390" s="1" t="s">
        <v>3910</v>
      </c>
      <c r="D1390" s="2">
        <v>1499.0</v>
      </c>
      <c r="E1390" s="2">
        <v>3499.0</v>
      </c>
      <c r="F1390" s="3">
        <f t="shared" si="9"/>
        <v>0.5715918834</v>
      </c>
      <c r="G1390" s="4">
        <f>IFERROR(__xludf.DUMMYFUNCTION("GOOGLEFINANCE(""CURRENCY:INRBRL"")*D1390"),89.63647726347999)</f>
        <v>89.63647726</v>
      </c>
      <c r="H1390" s="1">
        <v>4.0</v>
      </c>
      <c r="I1390" s="1">
        <v>2591.0</v>
      </c>
      <c r="J1390" s="1" t="s">
        <v>5357</v>
      </c>
      <c r="K1390" s="5" t="s">
        <v>5358</v>
      </c>
    </row>
    <row r="1391">
      <c r="A1391" s="1" t="s">
        <v>5359</v>
      </c>
      <c r="B1391" s="1" t="s">
        <v>5360</v>
      </c>
      <c r="C1391" s="1" t="s">
        <v>3852</v>
      </c>
      <c r="D1391" s="2">
        <v>759.0</v>
      </c>
      <c r="E1391" s="2">
        <v>1999.0</v>
      </c>
      <c r="F1391" s="3">
        <f t="shared" si="9"/>
        <v>0.6203101551</v>
      </c>
      <c r="G1391" s="4">
        <f>IFERROR(__xludf.DUMMYFUNCTION("GOOGLEFINANCE(""CURRENCY:INRBRL"")*D1391"),45.386315038679996)</f>
        <v>45.38631504</v>
      </c>
      <c r="H1391" s="1">
        <v>4.0</v>
      </c>
      <c r="I1391" s="1">
        <v>532.0</v>
      </c>
      <c r="J1391" s="1" t="s">
        <v>5361</v>
      </c>
      <c r="K1391" s="5" t="s">
        <v>5362</v>
      </c>
    </row>
    <row r="1392">
      <c r="A1392" s="1" t="s">
        <v>5363</v>
      </c>
      <c r="B1392" s="1" t="s">
        <v>5364</v>
      </c>
      <c r="C1392" s="1" t="s">
        <v>4015</v>
      </c>
      <c r="D1392" s="2">
        <v>2669.0</v>
      </c>
      <c r="E1392" s="2">
        <v>3199.0</v>
      </c>
      <c r="F1392" s="3">
        <f t="shared" si="9"/>
        <v>0.165676774</v>
      </c>
      <c r="G1392" s="4">
        <f>IFERROR(__xludf.DUMMYFUNCTION("GOOGLEFINANCE(""CURRENCY:INRBRL"")*D1392"),159.59957159188)</f>
        <v>159.5995716</v>
      </c>
      <c r="H1392" s="1">
        <v>4.0</v>
      </c>
      <c r="I1392" s="1">
        <v>260.0</v>
      </c>
      <c r="J1392" s="1" t="s">
        <v>5365</v>
      </c>
      <c r="K1392" s="5" t="s">
        <v>5366</v>
      </c>
    </row>
    <row r="1393">
      <c r="A1393" s="1" t="s">
        <v>5367</v>
      </c>
      <c r="B1393" s="1" t="s">
        <v>5368</v>
      </c>
      <c r="C1393" s="1" t="s">
        <v>4053</v>
      </c>
      <c r="D1393" s="2">
        <v>929.0</v>
      </c>
      <c r="E1393" s="2">
        <v>1299.0</v>
      </c>
      <c r="F1393" s="3">
        <f t="shared" si="9"/>
        <v>0.2848344881</v>
      </c>
      <c r="G1393" s="4">
        <f>IFERROR(__xludf.DUMMYFUNCTION("GOOGLEFINANCE(""CURRENCY:INRBRL"")*D1393"),55.55189284708)</f>
        <v>55.55189285</v>
      </c>
      <c r="H1393" s="1">
        <v>4.0</v>
      </c>
      <c r="I1393" s="1">
        <v>1672.0</v>
      </c>
      <c r="J1393" s="1" t="s">
        <v>5369</v>
      </c>
      <c r="K1393" s="5" t="s">
        <v>5370</v>
      </c>
    </row>
    <row r="1394">
      <c r="A1394" s="1" t="s">
        <v>5371</v>
      </c>
      <c r="B1394" s="1" t="s">
        <v>5372</v>
      </c>
      <c r="C1394" s="1" t="s">
        <v>3980</v>
      </c>
      <c r="D1394" s="2">
        <v>199.0</v>
      </c>
      <c r="E1394" s="2">
        <v>399.0</v>
      </c>
      <c r="F1394" s="3">
        <f t="shared" si="9"/>
        <v>0.5012531328</v>
      </c>
      <c r="G1394" s="4">
        <f>IFERROR(__xludf.DUMMYFUNCTION("GOOGLEFINANCE(""CURRENCY:INRBRL"")*D1394"),11.899705787479999)</f>
        <v>11.89970579</v>
      </c>
      <c r="H1394" s="1">
        <v>4.0</v>
      </c>
      <c r="I1394" s="1">
        <v>7945.0</v>
      </c>
      <c r="J1394" s="1" t="s">
        <v>5373</v>
      </c>
      <c r="K1394" s="5" t="s">
        <v>5374</v>
      </c>
    </row>
    <row r="1395">
      <c r="A1395" s="1" t="s">
        <v>5375</v>
      </c>
      <c r="B1395" s="1" t="s">
        <v>5376</v>
      </c>
      <c r="C1395" s="1" t="s">
        <v>3847</v>
      </c>
      <c r="D1395" s="2">
        <v>279.0</v>
      </c>
      <c r="E1395" s="2">
        <v>599.0</v>
      </c>
      <c r="F1395" s="3">
        <f t="shared" si="9"/>
        <v>0.5342237062</v>
      </c>
      <c r="G1395" s="4">
        <f>IFERROR(__xludf.DUMMYFUNCTION("GOOGLEFINANCE(""CURRENCY:INRBRL"")*D1395"),16.68350710908)</f>
        <v>16.68350711</v>
      </c>
      <c r="H1395" s="1">
        <v>4.0</v>
      </c>
      <c r="I1395" s="1">
        <v>1367.0</v>
      </c>
      <c r="J1395" s="1" t="s">
        <v>5377</v>
      </c>
      <c r="K1395" s="5" t="s">
        <v>5378</v>
      </c>
    </row>
    <row r="1396">
      <c r="A1396" s="1" t="s">
        <v>5379</v>
      </c>
      <c r="B1396" s="1" t="s">
        <v>5380</v>
      </c>
      <c r="C1396" s="1" t="s">
        <v>3895</v>
      </c>
      <c r="D1396" s="2">
        <v>549.0</v>
      </c>
      <c r="E1396" s="2">
        <v>999.0</v>
      </c>
      <c r="F1396" s="3">
        <f t="shared" si="9"/>
        <v>0.4504504505</v>
      </c>
      <c r="G1396" s="4">
        <f>IFERROR(__xludf.DUMMYFUNCTION("GOOGLEFINANCE(""CURRENCY:INRBRL"")*D1396"),32.828836569479996)</f>
        <v>32.82883657</v>
      </c>
      <c r="H1396" s="1">
        <v>4.0</v>
      </c>
      <c r="I1396" s="1">
        <v>1313.0</v>
      </c>
      <c r="J1396" s="1" t="s">
        <v>5381</v>
      </c>
      <c r="K1396" s="5" t="s">
        <v>5382</v>
      </c>
    </row>
    <row r="1397">
      <c r="A1397" s="1" t="s">
        <v>5383</v>
      </c>
      <c r="B1397" s="1" t="s">
        <v>5384</v>
      </c>
      <c r="C1397" s="1" t="s">
        <v>4574</v>
      </c>
      <c r="D1397" s="2">
        <v>85.0</v>
      </c>
      <c r="E1397" s="2">
        <v>199.0</v>
      </c>
      <c r="F1397" s="3">
        <f t="shared" si="9"/>
        <v>0.5728643216</v>
      </c>
      <c r="G1397" s="4">
        <f>IFERROR(__xludf.DUMMYFUNCTION("GOOGLEFINANCE(""CURRENCY:INRBRL"")*D1397"),5.0827889042)</f>
        <v>5.082788904</v>
      </c>
      <c r="H1397" s="1">
        <v>4.0</v>
      </c>
      <c r="I1397" s="1">
        <v>212.0</v>
      </c>
      <c r="J1397" s="1" t="s">
        <v>5385</v>
      </c>
      <c r="K1397" s="5" t="s">
        <v>5386</v>
      </c>
    </row>
    <row r="1398">
      <c r="A1398" s="1" t="s">
        <v>5387</v>
      </c>
      <c r="B1398" s="1" t="s">
        <v>5388</v>
      </c>
      <c r="C1398" s="1" t="s">
        <v>4002</v>
      </c>
      <c r="D1398" s="2">
        <v>499.0</v>
      </c>
      <c r="E1398" s="2">
        <v>1299.0</v>
      </c>
      <c r="F1398" s="3">
        <f t="shared" si="9"/>
        <v>0.6158583526</v>
      </c>
      <c r="G1398" s="4">
        <f>IFERROR(__xludf.DUMMYFUNCTION("GOOGLEFINANCE(""CURRENCY:INRBRL"")*D1398"),29.838960743479998)</f>
        <v>29.83896074</v>
      </c>
      <c r="H1398" s="1">
        <v>4.0</v>
      </c>
      <c r="I1398" s="1">
        <v>65.0</v>
      </c>
      <c r="J1398" s="1" t="s">
        <v>5389</v>
      </c>
      <c r="K1398" s="5" t="s">
        <v>5390</v>
      </c>
    </row>
    <row r="1399">
      <c r="A1399" s="1" t="s">
        <v>5391</v>
      </c>
      <c r="B1399" s="1" t="s">
        <v>5392</v>
      </c>
      <c r="C1399" s="1" t="s">
        <v>4002</v>
      </c>
      <c r="D1399" s="2">
        <v>5865.0</v>
      </c>
      <c r="E1399" s="2">
        <v>7776.0</v>
      </c>
      <c r="F1399" s="3">
        <f t="shared" si="9"/>
        <v>0.2457561728</v>
      </c>
      <c r="G1399" s="4">
        <f>IFERROR(__xludf.DUMMYFUNCTION("GOOGLEFINANCE(""CURRENCY:INRBRL"")*D1399"),350.71243438979997)</f>
        <v>350.7124344</v>
      </c>
      <c r="H1399" s="1">
        <v>4.0</v>
      </c>
      <c r="I1399" s="1">
        <v>2737.0</v>
      </c>
      <c r="J1399" s="1" t="s">
        <v>5393</v>
      </c>
      <c r="K1399" s="5" t="s">
        <v>5394</v>
      </c>
    </row>
    <row r="1400">
      <c r="A1400" s="1" t="s">
        <v>5395</v>
      </c>
      <c r="B1400" s="1" t="s">
        <v>5396</v>
      </c>
      <c r="C1400" s="1" t="s">
        <v>3832</v>
      </c>
      <c r="D1400" s="2">
        <v>1259.0</v>
      </c>
      <c r="E1400" s="2">
        <v>2299.0</v>
      </c>
      <c r="F1400" s="3">
        <f t="shared" si="9"/>
        <v>0.4523705959</v>
      </c>
      <c r="G1400" s="4">
        <f>IFERROR(__xludf.DUMMYFUNCTION("GOOGLEFINANCE(""CURRENCY:INRBRL"")*D1400"),75.28507329867999)</f>
        <v>75.2850733</v>
      </c>
      <c r="H1400" s="1">
        <v>4.0</v>
      </c>
      <c r="I1400" s="1">
        <v>55.0</v>
      </c>
      <c r="J1400" s="1" t="s">
        <v>5397</v>
      </c>
      <c r="K1400" s="5" t="s">
        <v>5398</v>
      </c>
    </row>
    <row r="1401">
      <c r="A1401" s="1" t="s">
        <v>5399</v>
      </c>
      <c r="B1401" s="1" t="s">
        <v>5400</v>
      </c>
      <c r="C1401" s="1" t="s">
        <v>5401</v>
      </c>
      <c r="D1401" s="2">
        <v>1099.0</v>
      </c>
      <c r="E1401" s="2">
        <v>1499.0</v>
      </c>
      <c r="F1401" s="3">
        <f t="shared" si="9"/>
        <v>0.266844563</v>
      </c>
      <c r="G1401" s="4">
        <f>IFERROR(__xludf.DUMMYFUNCTION("GOOGLEFINANCE(""CURRENCY:INRBRL"")*D1401"),65.71747065548)</f>
        <v>65.71747066</v>
      </c>
      <c r="H1401" s="1">
        <v>4.0</v>
      </c>
      <c r="I1401" s="1">
        <v>1065.0</v>
      </c>
      <c r="J1401" s="1" t="s">
        <v>5402</v>
      </c>
      <c r="K1401" s="5" t="s">
        <v>5403</v>
      </c>
    </row>
    <row r="1402">
      <c r="A1402" s="1" t="s">
        <v>5404</v>
      </c>
      <c r="B1402" s="1" t="s">
        <v>5405</v>
      </c>
      <c r="C1402" s="1" t="s">
        <v>4053</v>
      </c>
      <c r="D1402" s="2">
        <v>1928.0</v>
      </c>
      <c r="E1402" s="2">
        <v>2589.0</v>
      </c>
      <c r="F1402" s="3">
        <f t="shared" si="9"/>
        <v>0.2553109309</v>
      </c>
      <c r="G1402" s="4">
        <f>IFERROR(__xludf.DUMMYFUNCTION("GOOGLEFINANCE(""CURRENCY:INRBRL"")*D1402"),115.28961185056)</f>
        <v>115.2896119</v>
      </c>
      <c r="H1402" s="1">
        <v>4.0</v>
      </c>
      <c r="I1402" s="1">
        <v>2377.0</v>
      </c>
      <c r="J1402" s="1" t="s">
        <v>5406</v>
      </c>
      <c r="K1402" s="5" t="s">
        <v>5407</v>
      </c>
    </row>
    <row r="1403">
      <c r="A1403" s="1" t="s">
        <v>5408</v>
      </c>
      <c r="B1403" s="1" t="s">
        <v>5409</v>
      </c>
      <c r="C1403" s="1" t="s">
        <v>3933</v>
      </c>
      <c r="D1403" s="2">
        <v>3249.0</v>
      </c>
      <c r="E1403" s="2">
        <v>6299.0</v>
      </c>
      <c r="F1403" s="3">
        <f t="shared" si="9"/>
        <v>0.4842038419</v>
      </c>
      <c r="G1403" s="4">
        <f>IFERROR(__xludf.DUMMYFUNCTION("GOOGLEFINANCE(""CURRENCY:INRBRL"")*D1403"),194.28213117348)</f>
        <v>194.2821312</v>
      </c>
      <c r="H1403" s="1">
        <v>4.0</v>
      </c>
      <c r="I1403" s="1">
        <v>2569.0</v>
      </c>
      <c r="J1403" s="1" t="s">
        <v>5410</v>
      </c>
      <c r="K1403" s="5" t="s">
        <v>5411</v>
      </c>
    </row>
    <row r="1404">
      <c r="A1404" s="1" t="s">
        <v>5412</v>
      </c>
      <c r="B1404" s="1" t="s">
        <v>5413</v>
      </c>
      <c r="C1404" s="1" t="s">
        <v>4053</v>
      </c>
      <c r="D1404" s="2">
        <v>1199.0</v>
      </c>
      <c r="E1404" s="2">
        <v>1795.0</v>
      </c>
      <c r="F1404" s="3">
        <f t="shared" si="9"/>
        <v>0.3320334262</v>
      </c>
      <c r="G1404" s="4">
        <f>IFERROR(__xludf.DUMMYFUNCTION("GOOGLEFINANCE(""CURRENCY:INRBRL"")*D1404"),71.69722230747999)</f>
        <v>71.69722231</v>
      </c>
      <c r="H1404" s="1">
        <v>4.0</v>
      </c>
      <c r="I1404" s="1">
        <v>5967.0</v>
      </c>
      <c r="J1404" s="1" t="s">
        <v>5414</v>
      </c>
      <c r="K1404" s="5" t="s">
        <v>5415</v>
      </c>
    </row>
    <row r="1405">
      <c r="A1405" s="1" t="s">
        <v>5416</v>
      </c>
      <c r="B1405" s="1" t="s">
        <v>5417</v>
      </c>
      <c r="C1405" s="1" t="s">
        <v>3832</v>
      </c>
      <c r="D1405" s="2">
        <v>1456.0</v>
      </c>
      <c r="E1405" s="2">
        <v>3189.0</v>
      </c>
      <c r="F1405" s="3">
        <f t="shared" si="9"/>
        <v>0.5434305425</v>
      </c>
      <c r="G1405" s="4">
        <f>IFERROR(__xludf.DUMMYFUNCTION("GOOGLEFINANCE(""CURRENCY:INRBRL"")*D1405"),87.06518405311999)</f>
        <v>87.06518405</v>
      </c>
      <c r="H1405" s="1">
        <v>4.0</v>
      </c>
      <c r="I1405" s="1">
        <v>1776.0</v>
      </c>
      <c r="J1405" s="1" t="s">
        <v>5418</v>
      </c>
      <c r="K1405" s="5" t="s">
        <v>5419</v>
      </c>
    </row>
    <row r="1406">
      <c r="A1406" s="1" t="s">
        <v>5420</v>
      </c>
      <c r="B1406" s="1" t="s">
        <v>5421</v>
      </c>
      <c r="C1406" s="1" t="s">
        <v>4002</v>
      </c>
      <c r="D1406" s="2">
        <v>3349.0</v>
      </c>
      <c r="E1406" s="2">
        <v>4799.0</v>
      </c>
      <c r="F1406" s="3">
        <f t="shared" si="9"/>
        <v>0.3021462805</v>
      </c>
      <c r="G1406" s="4">
        <f>IFERROR(__xludf.DUMMYFUNCTION("GOOGLEFINANCE(""CURRENCY:INRBRL"")*D1406"),200.26188282548)</f>
        <v>200.2618828</v>
      </c>
      <c r="H1406" s="1">
        <v>4.0</v>
      </c>
      <c r="I1406" s="1">
        <v>42.0</v>
      </c>
      <c r="J1406" s="1" t="s">
        <v>5422</v>
      </c>
      <c r="K1406" s="5" t="s">
        <v>5423</v>
      </c>
    </row>
    <row r="1407">
      <c r="A1407" s="1" t="s">
        <v>5424</v>
      </c>
      <c r="B1407" s="1" t="s">
        <v>5425</v>
      </c>
      <c r="C1407" s="1" t="s">
        <v>4187</v>
      </c>
      <c r="D1407" s="2">
        <v>4899.0</v>
      </c>
      <c r="E1407" s="2">
        <v>8999.0</v>
      </c>
      <c r="F1407" s="3">
        <f t="shared" si="9"/>
        <v>0.4556061785</v>
      </c>
      <c r="G1407" s="4">
        <f>IFERROR(__xludf.DUMMYFUNCTION("GOOGLEFINANCE(""CURRENCY:INRBRL"")*D1407"),292.94803343148)</f>
        <v>292.9480334</v>
      </c>
      <c r="H1407" s="1">
        <v>4.0</v>
      </c>
      <c r="I1407" s="1">
        <v>297.0</v>
      </c>
      <c r="J1407" s="1" t="s">
        <v>5426</v>
      </c>
      <c r="K1407" s="5" t="s">
        <v>5427</v>
      </c>
    </row>
    <row r="1408">
      <c r="A1408" s="1" t="s">
        <v>5428</v>
      </c>
      <c r="B1408" s="1" t="s">
        <v>5429</v>
      </c>
      <c r="C1408" s="1" t="s">
        <v>3928</v>
      </c>
      <c r="D1408" s="2">
        <v>1199.0</v>
      </c>
      <c r="E1408" s="2">
        <v>1899.0</v>
      </c>
      <c r="F1408" s="3">
        <f t="shared" si="9"/>
        <v>0.3686150606</v>
      </c>
      <c r="G1408" s="4">
        <f>IFERROR(__xludf.DUMMYFUNCTION("GOOGLEFINANCE(""CURRENCY:INRBRL"")*D1408"),71.69722230747999)</f>
        <v>71.69722231</v>
      </c>
      <c r="H1408" s="1">
        <v>4.0</v>
      </c>
      <c r="I1408" s="1">
        <v>3858.0</v>
      </c>
      <c r="J1408" s="1" t="s">
        <v>5430</v>
      </c>
      <c r="K1408" s="5" t="s">
        <v>5431</v>
      </c>
    </row>
    <row r="1409">
      <c r="A1409" s="1" t="s">
        <v>5432</v>
      </c>
      <c r="B1409" s="1" t="s">
        <v>5433</v>
      </c>
      <c r="C1409" s="1" t="s">
        <v>4892</v>
      </c>
      <c r="D1409" s="2">
        <v>3289.0</v>
      </c>
      <c r="E1409" s="2">
        <v>5799.0</v>
      </c>
      <c r="F1409" s="3">
        <f t="shared" si="9"/>
        <v>0.4328332471</v>
      </c>
      <c r="G1409" s="4">
        <f>IFERROR(__xludf.DUMMYFUNCTION("GOOGLEFINANCE(""CURRENCY:INRBRL"")*D1409"),196.67403183428)</f>
        <v>196.6740318</v>
      </c>
      <c r="H1409" s="1">
        <v>4.0</v>
      </c>
      <c r="I1409" s="1">
        <v>168.0</v>
      </c>
      <c r="J1409" s="1" t="s">
        <v>5434</v>
      </c>
      <c r="K1409" s="5" t="s">
        <v>5435</v>
      </c>
    </row>
    <row r="1410">
      <c r="A1410" s="1" t="s">
        <v>5436</v>
      </c>
      <c r="B1410" s="1" t="s">
        <v>5437</v>
      </c>
      <c r="C1410" s="1" t="s">
        <v>3847</v>
      </c>
      <c r="D1410" s="2">
        <v>179.0</v>
      </c>
      <c r="E1410" s="2">
        <v>799.0</v>
      </c>
      <c r="F1410" s="3">
        <f t="shared" si="9"/>
        <v>0.7759699625</v>
      </c>
      <c r="G1410" s="4">
        <f>IFERROR(__xludf.DUMMYFUNCTION("GOOGLEFINANCE(""CURRENCY:INRBRL"")*D1410"),10.70375545708)</f>
        <v>10.70375546</v>
      </c>
      <c r="H1410" s="1">
        <v>4.0</v>
      </c>
      <c r="I1410" s="1">
        <v>101.0</v>
      </c>
      <c r="J1410" s="1" t="s">
        <v>5438</v>
      </c>
      <c r="K1410" s="5" t="s">
        <v>5439</v>
      </c>
    </row>
    <row r="1411">
      <c r="A1411" s="1" t="s">
        <v>5440</v>
      </c>
      <c r="B1411" s="1" t="s">
        <v>5441</v>
      </c>
      <c r="C1411" s="1" t="s">
        <v>5304</v>
      </c>
      <c r="D1411" s="2">
        <v>149.0</v>
      </c>
      <c r="E1411" s="2">
        <v>300.0</v>
      </c>
      <c r="F1411" s="3">
        <f t="shared" si="9"/>
        <v>0.5033333333</v>
      </c>
      <c r="G1411" s="4">
        <f>IFERROR(__xludf.DUMMYFUNCTION("GOOGLEFINANCE(""CURRENCY:INRBRL"")*D1411"),8.90982996148)</f>
        <v>8.909829961</v>
      </c>
      <c r="H1411" s="1">
        <v>4.0</v>
      </c>
      <c r="I1411" s="1">
        <v>4074.0</v>
      </c>
      <c r="J1411" s="1" t="s">
        <v>5442</v>
      </c>
      <c r="K1411" s="5" t="s">
        <v>5443</v>
      </c>
    </row>
    <row r="1412">
      <c r="A1412" s="1" t="s">
        <v>5444</v>
      </c>
      <c r="B1412" s="1" t="s">
        <v>5445</v>
      </c>
      <c r="C1412" s="1" t="s">
        <v>3905</v>
      </c>
      <c r="D1412" s="2">
        <v>5489.0</v>
      </c>
      <c r="E1412" s="2">
        <v>7199.0</v>
      </c>
      <c r="F1412" s="3">
        <f t="shared" si="9"/>
        <v>0.2375329907</v>
      </c>
      <c r="G1412" s="4">
        <f>IFERROR(__xludf.DUMMYFUNCTION("GOOGLEFINANCE(""CURRENCY:INRBRL"")*D1412"),328.22856817828)</f>
        <v>328.2285682</v>
      </c>
      <c r="H1412" s="1">
        <v>4.0</v>
      </c>
      <c r="I1412" s="1">
        <v>1408.0</v>
      </c>
      <c r="J1412" s="1" t="s">
        <v>5446</v>
      </c>
      <c r="K1412" s="5" t="s">
        <v>5447</v>
      </c>
    </row>
    <row r="1413">
      <c r="A1413" s="1" t="s">
        <v>5448</v>
      </c>
      <c r="B1413" s="1" t="s">
        <v>5449</v>
      </c>
      <c r="C1413" s="1" t="s">
        <v>3852</v>
      </c>
      <c r="D1413" s="2">
        <v>379.0</v>
      </c>
      <c r="E1413" s="2">
        <v>389.0</v>
      </c>
      <c r="F1413" s="3">
        <f t="shared" si="9"/>
        <v>0.02570694087</v>
      </c>
      <c r="G1413" s="4">
        <f>IFERROR(__xludf.DUMMYFUNCTION("GOOGLEFINANCE(""CURRENCY:INRBRL"")*D1413"),22.663258761079998)</f>
        <v>22.66325876</v>
      </c>
      <c r="H1413" s="1">
        <v>4.0</v>
      </c>
      <c r="I1413" s="1">
        <v>3739.0</v>
      </c>
      <c r="J1413" s="1" t="s">
        <v>5450</v>
      </c>
      <c r="K1413" s="5" t="s">
        <v>5451</v>
      </c>
    </row>
    <row r="1414">
      <c r="A1414" s="1" t="s">
        <v>5452</v>
      </c>
      <c r="B1414" s="1" t="s">
        <v>5453</v>
      </c>
      <c r="C1414" s="1" t="s">
        <v>4479</v>
      </c>
      <c r="D1414" s="2">
        <v>8699.0</v>
      </c>
      <c r="E1414" s="2">
        <v>13049.0</v>
      </c>
      <c r="F1414" s="3">
        <f t="shared" si="9"/>
        <v>0.3333588781</v>
      </c>
      <c r="G1414" s="4">
        <f>IFERROR(__xludf.DUMMYFUNCTION("GOOGLEFINANCE(""CURRENCY:INRBRL"")*D1414"),520.1785962074799)</f>
        <v>520.1785962</v>
      </c>
      <c r="H1414" s="1">
        <v>4.0</v>
      </c>
      <c r="I1414" s="1">
        <v>5891.0</v>
      </c>
      <c r="J1414" s="1" t="s">
        <v>5454</v>
      </c>
      <c r="K1414" s="5" t="s">
        <v>5455</v>
      </c>
    </row>
    <row r="1415">
      <c r="A1415" s="1" t="s">
        <v>5456</v>
      </c>
      <c r="B1415" s="1" t="s">
        <v>5457</v>
      </c>
      <c r="C1415" s="1" t="s">
        <v>3905</v>
      </c>
      <c r="D1415" s="2">
        <v>3041.67</v>
      </c>
      <c r="E1415" s="2">
        <v>5999.0</v>
      </c>
      <c r="F1415" s="3">
        <f t="shared" si="9"/>
        <v>0.4929704951</v>
      </c>
      <c r="G1415" s="4">
        <f>IFERROR(__xludf.DUMMYFUNCTION("GOOGLEFINANCE(""CURRENCY:INRBRL"")*D1415"),181.8843120733884)</f>
        <v>181.8843121</v>
      </c>
      <c r="H1415" s="1">
        <v>4.0</v>
      </c>
      <c r="I1415" s="1">
        <v>777.0</v>
      </c>
      <c r="J1415" s="1" t="s">
        <v>5458</v>
      </c>
      <c r="K1415" s="5" t="s">
        <v>5459</v>
      </c>
    </row>
    <row r="1416">
      <c r="A1416" s="1" t="s">
        <v>5460</v>
      </c>
      <c r="B1416" s="1" t="s">
        <v>5461</v>
      </c>
      <c r="C1416" s="1" t="s">
        <v>3895</v>
      </c>
      <c r="D1416" s="2">
        <v>1745.0</v>
      </c>
      <c r="E1416" s="2">
        <v>2399.0</v>
      </c>
      <c r="F1416" s="3">
        <f t="shared" si="9"/>
        <v>0.272613589</v>
      </c>
      <c r="G1416" s="4">
        <f>IFERROR(__xludf.DUMMYFUNCTION("GOOGLEFINANCE(""CURRENCY:INRBRL"")*D1416"),104.34666632739999)</f>
        <v>104.3466663</v>
      </c>
      <c r="H1416" s="1">
        <v>4.0</v>
      </c>
      <c r="I1416" s="1">
        <v>1416.0</v>
      </c>
      <c r="J1416" s="1" t="s">
        <v>5462</v>
      </c>
      <c r="K1416" s="5" t="s">
        <v>5463</v>
      </c>
    </row>
    <row r="1417">
      <c r="A1417" s="1" t="s">
        <v>5464</v>
      </c>
      <c r="B1417" s="1" t="s">
        <v>5465</v>
      </c>
      <c r="C1417" s="1" t="s">
        <v>3878</v>
      </c>
      <c r="D1417" s="2">
        <v>3179.0</v>
      </c>
      <c r="E1417" s="2">
        <v>5295.0</v>
      </c>
      <c r="F1417" s="3">
        <f t="shared" si="9"/>
        <v>0.3996222852</v>
      </c>
      <c r="G1417" s="4">
        <f>IFERROR(__xludf.DUMMYFUNCTION("GOOGLEFINANCE(""CURRENCY:INRBRL"")*D1417"),190.09630501708)</f>
        <v>190.096305</v>
      </c>
      <c r="H1417" s="1">
        <v>4.0</v>
      </c>
      <c r="I1417" s="1">
        <v>6919.0</v>
      </c>
      <c r="J1417" s="1" t="s">
        <v>5466</v>
      </c>
      <c r="K1417" s="5" t="s">
        <v>5467</v>
      </c>
    </row>
    <row r="1418">
      <c r="A1418" s="1" t="s">
        <v>5468</v>
      </c>
      <c r="B1418" s="1" t="s">
        <v>5469</v>
      </c>
      <c r="C1418" s="1" t="s">
        <v>4479</v>
      </c>
      <c r="D1418" s="2">
        <v>4999.0</v>
      </c>
      <c r="E1418" s="2">
        <v>24999.0</v>
      </c>
      <c r="F1418" s="3">
        <f t="shared" si="9"/>
        <v>0.8000320013</v>
      </c>
      <c r="G1418" s="4">
        <f>IFERROR(__xludf.DUMMYFUNCTION("GOOGLEFINANCE(""CURRENCY:INRBRL"")*D1418"),298.92778508348)</f>
        <v>298.9277851</v>
      </c>
      <c r="H1418" s="1">
        <v>4.0</v>
      </c>
      <c r="I1418" s="1">
        <v>287.0</v>
      </c>
      <c r="J1418" s="1" t="s">
        <v>5470</v>
      </c>
      <c r="K1418" s="5" t="s">
        <v>5471</v>
      </c>
    </row>
    <row r="1419">
      <c r="A1419" s="1" t="s">
        <v>5472</v>
      </c>
      <c r="B1419" s="1" t="s">
        <v>5473</v>
      </c>
      <c r="C1419" s="1" t="s">
        <v>3980</v>
      </c>
      <c r="D1419" s="2">
        <v>390.0</v>
      </c>
      <c r="E1419" s="2">
        <v>799.0</v>
      </c>
      <c r="F1419" s="3">
        <f t="shared" si="9"/>
        <v>0.5118898623</v>
      </c>
      <c r="G1419" s="4">
        <f>IFERROR(__xludf.DUMMYFUNCTION("GOOGLEFINANCE(""CURRENCY:INRBRL"")*D1419"),23.3210314428)</f>
        <v>23.32103144</v>
      </c>
      <c r="H1419" s="1">
        <v>4.0</v>
      </c>
      <c r="I1419" s="1">
        <v>287.0</v>
      </c>
      <c r="J1419" s="1" t="s">
        <v>5474</v>
      </c>
      <c r="K1419" s="5" t="s">
        <v>5475</v>
      </c>
    </row>
    <row r="1420">
      <c r="A1420" s="1" t="s">
        <v>5476</v>
      </c>
      <c r="B1420" s="1" t="s">
        <v>5477</v>
      </c>
      <c r="C1420" s="1" t="s">
        <v>5478</v>
      </c>
      <c r="D1420" s="2">
        <v>1999.0</v>
      </c>
      <c r="E1420" s="2">
        <v>2999.0</v>
      </c>
      <c r="F1420" s="3">
        <f t="shared" si="9"/>
        <v>0.3334444815</v>
      </c>
      <c r="G1420" s="4">
        <f>IFERROR(__xludf.DUMMYFUNCTION("GOOGLEFINANCE(""CURRENCY:INRBRL"")*D1420"),119.53523552348)</f>
        <v>119.5352355</v>
      </c>
      <c r="H1420" s="1">
        <v>4.0</v>
      </c>
      <c r="I1420" s="1">
        <v>388.0</v>
      </c>
      <c r="J1420" s="1" t="s">
        <v>5479</v>
      </c>
      <c r="K1420" s="5" t="s">
        <v>5480</v>
      </c>
    </row>
    <row r="1421">
      <c r="A1421" s="1" t="s">
        <v>5481</v>
      </c>
      <c r="B1421" s="1" t="s">
        <v>5482</v>
      </c>
      <c r="C1421" s="1" t="s">
        <v>4040</v>
      </c>
      <c r="D1421" s="2">
        <v>1624.0</v>
      </c>
      <c r="E1421" s="2">
        <v>2495.0</v>
      </c>
      <c r="F1421" s="3">
        <f t="shared" si="9"/>
        <v>0.3490981964</v>
      </c>
      <c r="G1421" s="4">
        <f>IFERROR(__xludf.DUMMYFUNCTION("GOOGLEFINANCE(""CURRENCY:INRBRL"")*D1421"),97.11116682848)</f>
        <v>97.11116683</v>
      </c>
      <c r="H1421" s="1">
        <v>4.0</v>
      </c>
      <c r="I1421" s="1">
        <v>827.0</v>
      </c>
      <c r="J1421" s="1" t="s">
        <v>5483</v>
      </c>
      <c r="K1421" s="5" t="s">
        <v>5484</v>
      </c>
    </row>
    <row r="1422">
      <c r="A1422" s="1" t="s">
        <v>5485</v>
      </c>
      <c r="B1422" s="1" t="s">
        <v>5486</v>
      </c>
      <c r="C1422" s="1" t="s">
        <v>5304</v>
      </c>
      <c r="D1422" s="2">
        <v>184.0</v>
      </c>
      <c r="E1422" s="2">
        <v>450.0</v>
      </c>
      <c r="F1422" s="3">
        <f t="shared" si="9"/>
        <v>0.5911111111</v>
      </c>
      <c r="G1422" s="4">
        <f>IFERROR(__xludf.DUMMYFUNCTION("GOOGLEFINANCE(""CURRENCY:INRBRL"")*D1422"),11.002743039679999)</f>
        <v>11.00274304</v>
      </c>
      <c r="H1422" s="1">
        <v>4.0</v>
      </c>
      <c r="I1422" s="1">
        <v>4971.0</v>
      </c>
      <c r="J1422" s="1" t="s">
        <v>5487</v>
      </c>
      <c r="K1422" s="5" t="s">
        <v>5488</v>
      </c>
    </row>
    <row r="1423">
      <c r="A1423" s="1" t="s">
        <v>5489</v>
      </c>
      <c r="B1423" s="1" t="s">
        <v>5490</v>
      </c>
      <c r="C1423" s="1" t="s">
        <v>3847</v>
      </c>
      <c r="D1423" s="2">
        <v>445.0</v>
      </c>
      <c r="E1423" s="2">
        <v>999.0</v>
      </c>
      <c r="F1423" s="3">
        <f t="shared" si="9"/>
        <v>0.5545545546</v>
      </c>
      <c r="G1423" s="4">
        <f>IFERROR(__xludf.DUMMYFUNCTION("GOOGLEFINANCE(""CURRENCY:INRBRL"")*D1423"),26.6098948514)</f>
        <v>26.60989485</v>
      </c>
      <c r="H1423" s="1">
        <v>4.0</v>
      </c>
      <c r="I1423" s="1">
        <v>229.0</v>
      </c>
      <c r="J1423" s="1" t="s">
        <v>5491</v>
      </c>
      <c r="K1423" s="5" t="s">
        <v>5492</v>
      </c>
    </row>
    <row r="1424">
      <c r="A1424" s="1" t="s">
        <v>5493</v>
      </c>
      <c r="B1424" s="1" t="s">
        <v>5494</v>
      </c>
      <c r="C1424" s="1" t="s">
        <v>5495</v>
      </c>
      <c r="D1424" s="2">
        <v>699.0</v>
      </c>
      <c r="E1424" s="2">
        <v>1689.0</v>
      </c>
      <c r="F1424" s="3">
        <f t="shared" si="9"/>
        <v>0.5861456483</v>
      </c>
      <c r="G1424" s="4">
        <f>IFERROR(__xludf.DUMMYFUNCTION("GOOGLEFINANCE(""CURRENCY:INRBRL"")*D1424"),41.798464047479996)</f>
        <v>41.79846405</v>
      </c>
      <c r="H1424" s="1">
        <v>4.0</v>
      </c>
      <c r="I1424" s="1">
        <v>3524.0</v>
      </c>
      <c r="J1424" s="1" t="s">
        <v>5496</v>
      </c>
      <c r="K1424" s="5" t="s">
        <v>5497</v>
      </c>
    </row>
    <row r="1425">
      <c r="A1425" s="1" t="s">
        <v>5498</v>
      </c>
      <c r="B1425" s="1" t="s">
        <v>5499</v>
      </c>
      <c r="C1425" s="1" t="s">
        <v>3878</v>
      </c>
      <c r="D1425" s="2">
        <v>1601.0</v>
      </c>
      <c r="E1425" s="2">
        <v>3889.0</v>
      </c>
      <c r="F1425" s="3">
        <f t="shared" si="9"/>
        <v>0.5883260478</v>
      </c>
      <c r="G1425" s="4">
        <f>IFERROR(__xludf.DUMMYFUNCTION("GOOGLEFINANCE(""CURRENCY:INRBRL"")*D1425"),95.73582394852)</f>
        <v>95.73582395</v>
      </c>
      <c r="H1425" s="1">
        <v>4.0</v>
      </c>
      <c r="I1425" s="1">
        <v>156.0</v>
      </c>
      <c r="J1425" s="1" t="s">
        <v>5500</v>
      </c>
      <c r="K1425" s="5" t="s">
        <v>5501</v>
      </c>
    </row>
    <row r="1426">
      <c r="A1426" s="1" t="s">
        <v>5502</v>
      </c>
      <c r="B1426" s="1" t="s">
        <v>5503</v>
      </c>
      <c r="C1426" s="1" t="s">
        <v>4290</v>
      </c>
      <c r="D1426" s="2">
        <v>231.0</v>
      </c>
      <c r="E1426" s="2">
        <v>260.0</v>
      </c>
      <c r="F1426" s="3">
        <f t="shared" si="9"/>
        <v>0.1115384615</v>
      </c>
      <c r="G1426" s="4">
        <f>IFERROR(__xludf.DUMMYFUNCTION("GOOGLEFINANCE(""CURRENCY:INRBRL"")*D1426"),13.81322631612)</f>
        <v>13.81322632</v>
      </c>
      <c r="H1426" s="1">
        <v>4.0</v>
      </c>
      <c r="I1426" s="1">
        <v>490.0</v>
      </c>
      <c r="J1426" s="1" t="s">
        <v>5504</v>
      </c>
      <c r="K1426" s="5" t="s">
        <v>5505</v>
      </c>
    </row>
    <row r="1427">
      <c r="A1427" s="1" t="s">
        <v>5506</v>
      </c>
      <c r="B1427" s="1" t="s">
        <v>5507</v>
      </c>
      <c r="C1427" s="1" t="s">
        <v>3847</v>
      </c>
      <c r="D1427" s="2">
        <v>369.0</v>
      </c>
      <c r="E1427" s="2">
        <v>599.0</v>
      </c>
      <c r="F1427" s="3">
        <f t="shared" si="9"/>
        <v>0.3839732888</v>
      </c>
      <c r="G1427" s="4">
        <f>IFERROR(__xludf.DUMMYFUNCTION("GOOGLEFINANCE(""CURRENCY:INRBRL"")*D1427"),22.06528359588)</f>
        <v>22.0652836</v>
      </c>
      <c r="H1427" s="1">
        <v>4.0</v>
      </c>
      <c r="I1427" s="1">
        <v>82.0</v>
      </c>
      <c r="J1427" s="1" t="s">
        <v>5508</v>
      </c>
      <c r="K1427" s="5" t="s">
        <v>5509</v>
      </c>
    </row>
    <row r="1428">
      <c r="A1428" s="1" t="s">
        <v>5510</v>
      </c>
      <c r="B1428" s="1" t="s">
        <v>5511</v>
      </c>
      <c r="C1428" s="1" t="s">
        <v>3832</v>
      </c>
      <c r="D1428" s="2">
        <v>809.0</v>
      </c>
      <c r="E1428" s="2">
        <v>1949.0</v>
      </c>
      <c r="F1428" s="3">
        <f t="shared" si="9"/>
        <v>0.5849153412</v>
      </c>
      <c r="G1428" s="4">
        <f>IFERROR(__xludf.DUMMYFUNCTION("GOOGLEFINANCE(""CURRENCY:INRBRL"")*D1428"),48.37619086468)</f>
        <v>48.37619086</v>
      </c>
      <c r="H1428" s="1">
        <v>4.0</v>
      </c>
      <c r="I1428" s="1">
        <v>710.0</v>
      </c>
      <c r="J1428" s="1" t="s">
        <v>5512</v>
      </c>
      <c r="K1428" s="5" t="s">
        <v>5513</v>
      </c>
    </row>
    <row r="1429">
      <c r="A1429" s="1" t="s">
        <v>5514</v>
      </c>
      <c r="B1429" s="1" t="s">
        <v>5515</v>
      </c>
      <c r="C1429" s="1" t="s">
        <v>3905</v>
      </c>
      <c r="D1429" s="2">
        <v>1199.0</v>
      </c>
      <c r="E1429" s="2">
        <v>2989.0</v>
      </c>
      <c r="F1429" s="3">
        <f t="shared" si="9"/>
        <v>0.5988624958</v>
      </c>
      <c r="G1429" s="4">
        <f>IFERROR(__xludf.DUMMYFUNCTION("GOOGLEFINANCE(""CURRENCY:INRBRL"")*D1429"),71.69722230747999)</f>
        <v>71.69722231</v>
      </c>
      <c r="H1429" s="1">
        <v>4.0</v>
      </c>
      <c r="I1429" s="1">
        <v>133.0</v>
      </c>
      <c r="J1429" s="1" t="s">
        <v>5516</v>
      </c>
      <c r="K1429" s="5" t="s">
        <v>5517</v>
      </c>
    </row>
    <row r="1430">
      <c r="A1430" s="1" t="s">
        <v>5518</v>
      </c>
      <c r="B1430" s="1" t="s">
        <v>5519</v>
      </c>
      <c r="C1430" s="1" t="s">
        <v>3905</v>
      </c>
      <c r="D1430" s="2">
        <v>6119.0</v>
      </c>
      <c r="E1430" s="2">
        <v>8073.0</v>
      </c>
      <c r="F1430" s="3">
        <f t="shared" si="9"/>
        <v>0.2420413725</v>
      </c>
      <c r="G1430" s="4">
        <f>IFERROR(__xludf.DUMMYFUNCTION("GOOGLEFINANCE(""CURRENCY:INRBRL"")*D1430"),365.90100358588)</f>
        <v>365.9010036</v>
      </c>
      <c r="H1430" s="1">
        <v>4.0</v>
      </c>
      <c r="I1430" s="1">
        <v>2751.0</v>
      </c>
      <c r="J1430" s="1" t="s">
        <v>5520</v>
      </c>
      <c r="K1430" s="5" t="s">
        <v>5521</v>
      </c>
    </row>
    <row r="1431">
      <c r="A1431" s="1" t="s">
        <v>5522</v>
      </c>
      <c r="B1431" s="1" t="s">
        <v>5523</v>
      </c>
      <c r="C1431" s="1" t="s">
        <v>3985</v>
      </c>
      <c r="D1431" s="2">
        <v>1799.0</v>
      </c>
      <c r="E1431" s="2">
        <v>2599.0</v>
      </c>
      <c r="F1431" s="3">
        <f t="shared" si="9"/>
        <v>0.3078106964</v>
      </c>
      <c r="G1431" s="4">
        <f>IFERROR(__xludf.DUMMYFUNCTION("GOOGLEFINANCE(""CURRENCY:INRBRL"")*D1431"),107.57573221947999)</f>
        <v>107.5757322</v>
      </c>
      <c r="H1431" s="1">
        <v>4.0</v>
      </c>
      <c r="I1431" s="1">
        <v>771.0</v>
      </c>
      <c r="J1431" s="1" t="s">
        <v>5524</v>
      </c>
      <c r="K1431" s="5" t="s">
        <v>5525</v>
      </c>
    </row>
    <row r="1432">
      <c r="A1432" s="1" t="s">
        <v>5526</v>
      </c>
      <c r="B1432" s="1" t="s">
        <v>5527</v>
      </c>
      <c r="C1432" s="1" t="s">
        <v>5022</v>
      </c>
      <c r="D1432" s="2">
        <v>18999.0</v>
      </c>
      <c r="E1432" s="2">
        <v>29999.0</v>
      </c>
      <c r="F1432" s="3">
        <f t="shared" si="9"/>
        <v>0.3666788893</v>
      </c>
      <c r="G1432" s="4">
        <f>IFERROR(__xludf.DUMMYFUNCTION("GOOGLEFINANCE(""CURRENCY:INRBRL"")*D1432"),1136.0930163634798)</f>
        <v>1136.093016</v>
      </c>
      <c r="H1432" s="1">
        <v>4.0</v>
      </c>
      <c r="I1432" s="1">
        <v>2536.0</v>
      </c>
      <c r="J1432" s="1" t="s">
        <v>5528</v>
      </c>
      <c r="K1432" s="5" t="s">
        <v>5529</v>
      </c>
    </row>
    <row r="1433">
      <c r="A1433" s="1" t="s">
        <v>5530</v>
      </c>
      <c r="B1433" s="1" t="s">
        <v>5531</v>
      </c>
      <c r="C1433" s="1" t="s">
        <v>4272</v>
      </c>
      <c r="D1433" s="2">
        <v>1999.0</v>
      </c>
      <c r="E1433" s="2">
        <v>2359.0</v>
      </c>
      <c r="F1433" s="3">
        <f t="shared" si="9"/>
        <v>0.1526070369</v>
      </c>
      <c r="G1433" s="4">
        <f>IFERROR(__xludf.DUMMYFUNCTION("GOOGLEFINANCE(""CURRENCY:INRBRL"")*D1433"),119.53523552348)</f>
        <v>119.5352355</v>
      </c>
      <c r="H1433" s="1">
        <v>4.0</v>
      </c>
      <c r="I1433" s="1">
        <v>7801.0</v>
      </c>
      <c r="J1433" s="1" t="s">
        <v>5532</v>
      </c>
      <c r="K1433" s="5" t="s">
        <v>5533</v>
      </c>
    </row>
    <row r="1434">
      <c r="A1434" s="1" t="s">
        <v>5534</v>
      </c>
      <c r="B1434" s="1" t="s">
        <v>5535</v>
      </c>
      <c r="C1434" s="1" t="s">
        <v>5536</v>
      </c>
      <c r="D1434" s="2">
        <v>5999.0</v>
      </c>
      <c r="E1434" s="2">
        <v>11495.0</v>
      </c>
      <c r="F1434" s="3">
        <f t="shared" si="9"/>
        <v>0.4781209221</v>
      </c>
      <c r="G1434" s="4">
        <f>IFERROR(__xludf.DUMMYFUNCTION("GOOGLEFINANCE(""CURRENCY:INRBRL"")*D1434"),358.72530160348)</f>
        <v>358.7253016</v>
      </c>
      <c r="H1434" s="1">
        <v>4.0</v>
      </c>
      <c r="I1434" s="1">
        <v>534.0</v>
      </c>
      <c r="J1434" s="1" t="s">
        <v>5537</v>
      </c>
      <c r="K1434" s="5" t="s">
        <v>5538</v>
      </c>
    </row>
    <row r="1435">
      <c r="A1435" s="1" t="s">
        <v>5539</v>
      </c>
      <c r="B1435" s="1" t="s">
        <v>5540</v>
      </c>
      <c r="C1435" s="1" t="s">
        <v>4149</v>
      </c>
      <c r="D1435" s="2">
        <v>2599.0</v>
      </c>
      <c r="E1435" s="2">
        <v>4779.0</v>
      </c>
      <c r="F1435" s="3">
        <f t="shared" si="9"/>
        <v>0.4561623771</v>
      </c>
      <c r="G1435" s="4">
        <f>IFERROR(__xludf.DUMMYFUNCTION("GOOGLEFINANCE(""CURRENCY:INRBRL"")*D1435"),155.41374543548)</f>
        <v>155.4137454</v>
      </c>
      <c r="H1435" s="1">
        <v>4.0</v>
      </c>
      <c r="I1435" s="1">
        <v>898.0</v>
      </c>
      <c r="J1435" s="1" t="s">
        <v>5541</v>
      </c>
      <c r="K1435" s="5" t="s">
        <v>5542</v>
      </c>
    </row>
    <row r="1436">
      <c r="A1436" s="1" t="s">
        <v>5543</v>
      </c>
      <c r="B1436" s="1" t="s">
        <v>5544</v>
      </c>
      <c r="C1436" s="1" t="s">
        <v>5250</v>
      </c>
      <c r="D1436" s="2">
        <v>1199.0</v>
      </c>
      <c r="E1436" s="2">
        <v>2399.0</v>
      </c>
      <c r="F1436" s="3">
        <f t="shared" si="9"/>
        <v>0.5002084202</v>
      </c>
      <c r="G1436" s="4">
        <f>IFERROR(__xludf.DUMMYFUNCTION("GOOGLEFINANCE(""CURRENCY:INRBRL"")*D1436"),71.69722230747999)</f>
        <v>71.69722231</v>
      </c>
      <c r="H1436" s="1">
        <v>4.0</v>
      </c>
      <c r="I1436" s="1">
        <v>1202.0</v>
      </c>
      <c r="J1436" s="1" t="s">
        <v>5545</v>
      </c>
      <c r="K1436" s="5" t="s">
        <v>5546</v>
      </c>
    </row>
    <row r="1437">
      <c r="A1437" s="1" t="s">
        <v>5547</v>
      </c>
      <c r="B1437" s="1" t="s">
        <v>5548</v>
      </c>
      <c r="C1437" s="1" t="s">
        <v>3980</v>
      </c>
      <c r="D1437" s="2">
        <v>219.0</v>
      </c>
      <c r="E1437" s="2">
        <v>249.0</v>
      </c>
      <c r="F1437" s="3">
        <f t="shared" si="9"/>
        <v>0.1204819277</v>
      </c>
      <c r="G1437" s="4">
        <f>IFERROR(__xludf.DUMMYFUNCTION("GOOGLEFINANCE(""CURRENCY:INRBRL"")*D1437"),13.095656117879999)</f>
        <v>13.09565612</v>
      </c>
      <c r="H1437" s="1">
        <v>4.0</v>
      </c>
      <c r="I1437" s="1">
        <v>1108.0</v>
      </c>
      <c r="J1437" s="1" t="s">
        <v>5549</v>
      </c>
      <c r="K1437" s="5" t="s">
        <v>5550</v>
      </c>
    </row>
    <row r="1438">
      <c r="A1438" s="1" t="s">
        <v>5551</v>
      </c>
      <c r="B1438" s="1" t="s">
        <v>5552</v>
      </c>
      <c r="C1438" s="1" t="s">
        <v>3842</v>
      </c>
      <c r="D1438" s="2">
        <v>799.0</v>
      </c>
      <c r="E1438" s="2">
        <v>1199.0</v>
      </c>
      <c r="F1438" s="3">
        <f t="shared" si="9"/>
        <v>0.3336113428</v>
      </c>
      <c r="G1438" s="4">
        <f>IFERROR(__xludf.DUMMYFUNCTION("GOOGLEFINANCE(""CURRENCY:INRBRL"")*D1438"),47.77821569948)</f>
        <v>47.7782157</v>
      </c>
      <c r="H1438" s="1">
        <v>4.0</v>
      </c>
      <c r="I1438" s="1">
        <v>17.0</v>
      </c>
      <c r="J1438" s="1" t="s">
        <v>4086</v>
      </c>
      <c r="K1438" s="5" t="s">
        <v>5553</v>
      </c>
    </row>
    <row r="1439">
      <c r="A1439" s="1" t="s">
        <v>5554</v>
      </c>
      <c r="B1439" s="1" t="s">
        <v>5555</v>
      </c>
      <c r="C1439" s="1" t="s">
        <v>4418</v>
      </c>
      <c r="D1439" s="2">
        <v>6199.0</v>
      </c>
      <c r="E1439" s="2">
        <v>10999.0</v>
      </c>
      <c r="F1439" s="3">
        <f t="shared" si="9"/>
        <v>0.4364033094</v>
      </c>
      <c r="G1439" s="4">
        <f>IFERROR(__xludf.DUMMYFUNCTION("GOOGLEFINANCE(""CURRENCY:INRBRL"")*D1439"),370.68480490748)</f>
        <v>370.6848049</v>
      </c>
      <c r="H1439" s="1">
        <v>4.0</v>
      </c>
      <c r="I1439" s="1">
        <v>10429.0</v>
      </c>
      <c r="J1439" s="1" t="s">
        <v>5556</v>
      </c>
      <c r="K1439" s="5" t="s">
        <v>5557</v>
      </c>
    </row>
    <row r="1440">
      <c r="A1440" s="1" t="s">
        <v>5558</v>
      </c>
      <c r="B1440" s="1" t="s">
        <v>5559</v>
      </c>
      <c r="C1440" s="1" t="s">
        <v>3975</v>
      </c>
      <c r="D1440" s="2">
        <v>6789.0</v>
      </c>
      <c r="E1440" s="2">
        <v>10995.0</v>
      </c>
      <c r="F1440" s="3">
        <f t="shared" si="9"/>
        <v>0.3825375171</v>
      </c>
      <c r="G1440" s="4">
        <f>IFERROR(__xludf.DUMMYFUNCTION("GOOGLEFINANCE(""CURRENCY:INRBRL"")*D1440"),405.96533965428)</f>
        <v>405.9653397</v>
      </c>
      <c r="H1440" s="1">
        <v>4.0</v>
      </c>
      <c r="I1440" s="1">
        <v>3192.0</v>
      </c>
      <c r="J1440" s="1" t="s">
        <v>5560</v>
      </c>
      <c r="K1440" s="5" t="s">
        <v>5561</v>
      </c>
    </row>
    <row r="1441">
      <c r="A1441" s="1" t="s">
        <v>5562</v>
      </c>
      <c r="B1441" s="1" t="s">
        <v>5563</v>
      </c>
      <c r="C1441" s="1" t="s">
        <v>5564</v>
      </c>
      <c r="D1441" s="2">
        <v>1982.84</v>
      </c>
      <c r="E1441" s="2">
        <v>3299.0</v>
      </c>
      <c r="F1441" s="3">
        <f>((D1441-E1441)/E1441)*-1</f>
        <v>0.3989572598</v>
      </c>
      <c r="G1441" s="4">
        <f>IFERROR(__xludf.DUMMYFUNCTION("GOOGLEFINANCE(""CURRENCY:INRBRL"")*D1441"),118.56890765651679)</f>
        <v>118.5689077</v>
      </c>
      <c r="H1441" s="1">
        <v>4.0</v>
      </c>
      <c r="I1441" s="1">
        <v>5873.0</v>
      </c>
      <c r="J1441" s="1" t="s">
        <v>5565</v>
      </c>
      <c r="K1441" s="5" t="s">
        <v>5566</v>
      </c>
    </row>
    <row r="1442">
      <c r="A1442" s="1" t="s">
        <v>5567</v>
      </c>
      <c r="B1442" s="1" t="s">
        <v>5568</v>
      </c>
      <c r="C1442" s="1" t="s">
        <v>4290</v>
      </c>
      <c r="D1442" s="2">
        <v>199.0</v>
      </c>
      <c r="E1442" s="2">
        <v>400.0</v>
      </c>
      <c r="F1442" s="3">
        <f t="shared" ref="F1442:F1466" si="10">((D1442-E1442)/-E1442)</f>
        <v>0.5025</v>
      </c>
      <c r="G1442" s="4">
        <f>IFERROR(__xludf.DUMMYFUNCTION("GOOGLEFINANCE(""CURRENCY:INRBRL"")*D1442"),11.899705787479999)</f>
        <v>11.89970579</v>
      </c>
      <c r="H1442" s="1">
        <v>4.0</v>
      </c>
      <c r="I1442" s="1">
        <v>1379.0</v>
      </c>
      <c r="J1442" s="1" t="s">
        <v>5569</v>
      </c>
      <c r="K1442" s="5" t="s">
        <v>5570</v>
      </c>
    </row>
    <row r="1443">
      <c r="A1443" s="1" t="s">
        <v>5571</v>
      </c>
      <c r="B1443" s="1" t="s">
        <v>5572</v>
      </c>
      <c r="C1443" s="1" t="s">
        <v>3832</v>
      </c>
      <c r="D1443" s="2">
        <v>1179.0</v>
      </c>
      <c r="E1443" s="2">
        <v>1439.0</v>
      </c>
      <c r="F1443" s="3">
        <f t="shared" si="10"/>
        <v>0.1806810285</v>
      </c>
      <c r="G1443" s="4">
        <f>IFERROR(__xludf.DUMMYFUNCTION("GOOGLEFINANCE(""CURRENCY:INRBRL"")*D1443"),70.50127197708)</f>
        <v>70.50127198</v>
      </c>
      <c r="H1443" s="1">
        <v>4.0</v>
      </c>
      <c r="I1443" s="1">
        <v>1527.0</v>
      </c>
      <c r="J1443" s="1" t="s">
        <v>5573</v>
      </c>
      <c r="K1443" s="5" t="s">
        <v>5574</v>
      </c>
    </row>
    <row r="1444">
      <c r="A1444" s="1" t="s">
        <v>5575</v>
      </c>
      <c r="B1444" s="1" t="s">
        <v>5576</v>
      </c>
      <c r="C1444" s="1" t="s">
        <v>4149</v>
      </c>
      <c r="D1444" s="2">
        <v>2199.0</v>
      </c>
      <c r="E1444" s="2">
        <v>3045.0</v>
      </c>
      <c r="F1444" s="3">
        <f t="shared" si="10"/>
        <v>0.2778325123</v>
      </c>
      <c r="G1444" s="4">
        <f>IFERROR(__xludf.DUMMYFUNCTION("GOOGLEFINANCE(""CURRENCY:INRBRL"")*D1444"),131.49473882748)</f>
        <v>131.4947388</v>
      </c>
      <c r="H1444" s="1">
        <v>4.0</v>
      </c>
      <c r="I1444" s="1">
        <v>2686.0</v>
      </c>
      <c r="J1444" s="1" t="s">
        <v>5577</v>
      </c>
      <c r="K1444" s="5" t="s">
        <v>5578</v>
      </c>
    </row>
    <row r="1445">
      <c r="A1445" s="1" t="s">
        <v>5579</v>
      </c>
      <c r="B1445" s="1" t="s">
        <v>5580</v>
      </c>
      <c r="C1445" s="1" t="s">
        <v>4281</v>
      </c>
      <c r="D1445" s="2">
        <v>2999.0</v>
      </c>
      <c r="E1445" s="2">
        <v>3595.0</v>
      </c>
      <c r="F1445" s="3">
        <f t="shared" si="10"/>
        <v>0.1657858136</v>
      </c>
      <c r="G1445" s="4">
        <f>IFERROR(__xludf.DUMMYFUNCTION("GOOGLEFINANCE(""CURRENCY:INRBRL"")*D1445"),179.33275204347999)</f>
        <v>179.332752</v>
      </c>
      <c r="H1445" s="1">
        <v>4.0</v>
      </c>
      <c r="I1445" s="1">
        <v>178.0</v>
      </c>
      <c r="J1445" s="1" t="s">
        <v>5581</v>
      </c>
      <c r="K1445" s="5" t="s">
        <v>5582</v>
      </c>
    </row>
    <row r="1446">
      <c r="A1446" s="1" t="s">
        <v>5583</v>
      </c>
      <c r="B1446" s="1" t="s">
        <v>5584</v>
      </c>
      <c r="C1446" s="1" t="s">
        <v>5585</v>
      </c>
      <c r="D1446" s="2">
        <v>253.0</v>
      </c>
      <c r="E1446" s="2">
        <v>500.0</v>
      </c>
      <c r="F1446" s="3">
        <f t="shared" si="10"/>
        <v>0.494</v>
      </c>
      <c r="G1446" s="4">
        <f>IFERROR(__xludf.DUMMYFUNCTION("GOOGLEFINANCE(""CURRENCY:INRBRL"")*D1446"),15.12877167956)</f>
        <v>15.12877168</v>
      </c>
      <c r="H1446" s="1">
        <v>4.0</v>
      </c>
      <c r="I1446" s="1">
        <v>2664.0</v>
      </c>
      <c r="J1446" s="1" t="s">
        <v>5586</v>
      </c>
      <c r="K1446" s="5" t="s">
        <v>5587</v>
      </c>
    </row>
    <row r="1447">
      <c r="A1447" s="1" t="s">
        <v>5588</v>
      </c>
      <c r="B1447" s="1" t="s">
        <v>5589</v>
      </c>
      <c r="C1447" s="1" t="s">
        <v>4892</v>
      </c>
      <c r="D1447" s="2">
        <v>499.0</v>
      </c>
      <c r="E1447" s="2">
        <v>799.0</v>
      </c>
      <c r="F1447" s="3">
        <f t="shared" si="10"/>
        <v>0.3754693367</v>
      </c>
      <c r="G1447" s="4">
        <f>IFERROR(__xludf.DUMMYFUNCTION("GOOGLEFINANCE(""CURRENCY:INRBRL"")*D1447"),29.838960743479998)</f>
        <v>29.83896074</v>
      </c>
      <c r="H1447" s="1">
        <v>4.0</v>
      </c>
      <c r="I1447" s="1">
        <v>212.0</v>
      </c>
      <c r="J1447" s="1" t="s">
        <v>5590</v>
      </c>
      <c r="K1447" s="5" t="s">
        <v>5591</v>
      </c>
    </row>
    <row r="1448">
      <c r="A1448" s="1" t="s">
        <v>5592</v>
      </c>
      <c r="B1448" s="1" t="s">
        <v>5593</v>
      </c>
      <c r="C1448" s="1" t="s">
        <v>3837</v>
      </c>
      <c r="D1448" s="2">
        <v>1149.0</v>
      </c>
      <c r="E1448" s="2">
        <v>1899.0</v>
      </c>
      <c r="F1448" s="3">
        <f t="shared" si="10"/>
        <v>0.3949447077</v>
      </c>
      <c r="G1448" s="4">
        <f>IFERROR(__xludf.DUMMYFUNCTION("GOOGLEFINANCE(""CURRENCY:INRBRL"")*D1448"),68.70734648148)</f>
        <v>68.70734648</v>
      </c>
      <c r="H1448" s="1">
        <v>4.0</v>
      </c>
      <c r="I1448" s="1">
        <v>24.0</v>
      </c>
      <c r="J1448" s="1" t="s">
        <v>5594</v>
      </c>
      <c r="K1448" s="5" t="s">
        <v>5595</v>
      </c>
    </row>
    <row r="1449">
      <c r="A1449" s="1" t="s">
        <v>5596</v>
      </c>
      <c r="B1449" s="1" t="s">
        <v>5597</v>
      </c>
      <c r="C1449" s="1" t="s">
        <v>3900</v>
      </c>
      <c r="D1449" s="2">
        <v>457.0</v>
      </c>
      <c r="E1449" s="2">
        <v>799.0</v>
      </c>
      <c r="F1449" s="3">
        <f t="shared" si="10"/>
        <v>0.4280350438</v>
      </c>
      <c r="G1449" s="4">
        <f>IFERROR(__xludf.DUMMYFUNCTION("GOOGLEFINANCE(""CURRENCY:INRBRL"")*D1449"),27.327465049639997)</f>
        <v>27.32746505</v>
      </c>
      <c r="H1449" s="1">
        <v>4.0</v>
      </c>
      <c r="I1449" s="1">
        <v>1868.0</v>
      </c>
      <c r="J1449" s="1" t="s">
        <v>5598</v>
      </c>
      <c r="K1449" s="5" t="s">
        <v>5599</v>
      </c>
    </row>
    <row r="1450">
      <c r="A1450" s="1" t="s">
        <v>5600</v>
      </c>
      <c r="B1450" s="1" t="s">
        <v>5601</v>
      </c>
      <c r="C1450" s="1" t="s">
        <v>4875</v>
      </c>
      <c r="D1450" s="2">
        <v>229.0</v>
      </c>
      <c r="E1450" s="2">
        <v>399.0</v>
      </c>
      <c r="F1450" s="3">
        <f t="shared" si="10"/>
        <v>0.4260651629</v>
      </c>
      <c r="G1450" s="4">
        <f>IFERROR(__xludf.DUMMYFUNCTION("GOOGLEFINANCE(""CURRENCY:INRBRL"")*D1450"),13.693631283079998)</f>
        <v>13.69363128</v>
      </c>
      <c r="H1450" s="1">
        <v>4.0</v>
      </c>
      <c r="I1450" s="1">
        <v>451.0</v>
      </c>
      <c r="J1450" s="1" t="s">
        <v>5602</v>
      </c>
      <c r="K1450" s="5" t="s">
        <v>5603</v>
      </c>
    </row>
    <row r="1451">
      <c r="A1451" s="1" t="s">
        <v>5604</v>
      </c>
      <c r="B1451" s="1" t="s">
        <v>5605</v>
      </c>
      <c r="C1451" s="1" t="s">
        <v>4290</v>
      </c>
      <c r="D1451" s="2">
        <v>199.0</v>
      </c>
      <c r="E1451" s="2">
        <v>699.0</v>
      </c>
      <c r="F1451" s="3">
        <f t="shared" si="10"/>
        <v>0.7153075823</v>
      </c>
      <c r="G1451" s="4">
        <f>IFERROR(__xludf.DUMMYFUNCTION("GOOGLEFINANCE(""CURRENCY:INRBRL"")*D1451"),11.899705787479999)</f>
        <v>11.89970579</v>
      </c>
      <c r="H1451" s="1">
        <v>4.0</v>
      </c>
      <c r="I1451" s="1">
        <v>159.0</v>
      </c>
      <c r="J1451" s="1" t="s">
        <v>5606</v>
      </c>
      <c r="K1451" s="5" t="s">
        <v>5607</v>
      </c>
    </row>
    <row r="1452">
      <c r="A1452" s="1" t="s">
        <v>5608</v>
      </c>
      <c r="B1452" s="1" t="s">
        <v>5609</v>
      </c>
      <c r="C1452" s="1" t="s">
        <v>5250</v>
      </c>
      <c r="D1452" s="2">
        <v>899.0</v>
      </c>
      <c r="E1452" s="2">
        <v>1999.0</v>
      </c>
      <c r="F1452" s="3">
        <f t="shared" si="10"/>
        <v>0.5502751376</v>
      </c>
      <c r="G1452" s="4">
        <f>IFERROR(__xludf.DUMMYFUNCTION("GOOGLEFINANCE(""CURRENCY:INRBRL"")*D1452"),53.75796735148)</f>
        <v>53.75796735</v>
      </c>
      <c r="H1452" s="1">
        <v>4.0</v>
      </c>
      <c r="I1452" s="1">
        <v>39.0</v>
      </c>
      <c r="J1452" s="1" t="s">
        <v>5610</v>
      </c>
      <c r="K1452" s="5" t="s">
        <v>5611</v>
      </c>
    </row>
    <row r="1453">
      <c r="A1453" s="1" t="s">
        <v>5612</v>
      </c>
      <c r="B1453" s="1" t="s">
        <v>5613</v>
      </c>
      <c r="C1453" s="1" t="s">
        <v>4587</v>
      </c>
      <c r="D1453" s="2">
        <v>1499.0</v>
      </c>
      <c r="E1453" s="2">
        <v>2199.0</v>
      </c>
      <c r="F1453" s="3">
        <f t="shared" si="10"/>
        <v>0.3183265121</v>
      </c>
      <c r="G1453" s="4">
        <f>IFERROR(__xludf.DUMMYFUNCTION("GOOGLEFINANCE(""CURRENCY:INRBRL"")*D1453"),89.63647726347999)</f>
        <v>89.63647726</v>
      </c>
      <c r="H1453" s="1">
        <v>4.0</v>
      </c>
      <c r="I1453" s="1">
        <v>6531.0</v>
      </c>
      <c r="J1453" s="1" t="s">
        <v>5614</v>
      </c>
      <c r="K1453" s="5" t="s">
        <v>5615</v>
      </c>
    </row>
    <row r="1454">
      <c r="A1454" s="1" t="s">
        <v>5616</v>
      </c>
      <c r="B1454" s="1" t="s">
        <v>5617</v>
      </c>
      <c r="C1454" s="1" t="s">
        <v>3895</v>
      </c>
      <c r="D1454" s="2">
        <v>426.0</v>
      </c>
      <c r="E1454" s="2">
        <v>999.0</v>
      </c>
      <c r="F1454" s="3">
        <f t="shared" si="10"/>
        <v>0.5735735736</v>
      </c>
      <c r="G1454" s="4">
        <f>IFERROR(__xludf.DUMMYFUNCTION("GOOGLEFINANCE(""CURRENCY:INRBRL"")*D1454"),25.473742037519997)</f>
        <v>25.47374204</v>
      </c>
      <c r="H1454" s="1">
        <v>4.0</v>
      </c>
      <c r="I1454" s="1">
        <v>222.0</v>
      </c>
      <c r="J1454" s="1" t="s">
        <v>5618</v>
      </c>
      <c r="K1454" s="5" t="s">
        <v>5619</v>
      </c>
    </row>
    <row r="1455">
      <c r="A1455" s="1" t="s">
        <v>5620</v>
      </c>
      <c r="B1455" s="1" t="s">
        <v>5621</v>
      </c>
      <c r="C1455" s="1" t="s">
        <v>3842</v>
      </c>
      <c r="D1455" s="2">
        <v>2319.0</v>
      </c>
      <c r="E1455" s="2">
        <v>3289.0</v>
      </c>
      <c r="F1455" s="3">
        <f t="shared" si="10"/>
        <v>0.2949224688</v>
      </c>
      <c r="G1455" s="4">
        <f>IFERROR(__xludf.DUMMYFUNCTION("GOOGLEFINANCE(""CURRENCY:INRBRL"")*D1455"),138.67044080987998)</f>
        <v>138.6704408</v>
      </c>
      <c r="H1455" s="1">
        <v>4.0</v>
      </c>
      <c r="I1455" s="1">
        <v>195.0</v>
      </c>
      <c r="J1455" s="1" t="s">
        <v>5622</v>
      </c>
      <c r="K1455" s="5" t="s">
        <v>5623</v>
      </c>
    </row>
    <row r="1456">
      <c r="A1456" s="1" t="s">
        <v>5624</v>
      </c>
      <c r="B1456" s="1" t="s">
        <v>5625</v>
      </c>
      <c r="C1456" s="1" t="s">
        <v>4549</v>
      </c>
      <c r="D1456" s="2">
        <v>1563.0</v>
      </c>
      <c r="E1456" s="2">
        <v>3098.0</v>
      </c>
      <c r="F1456" s="3">
        <f t="shared" si="10"/>
        <v>0.4954809555</v>
      </c>
      <c r="G1456" s="4">
        <f>IFERROR(__xludf.DUMMYFUNCTION("GOOGLEFINANCE(""CURRENCY:INRBRL"")*D1456"),93.46351832075999)</f>
        <v>93.46351832</v>
      </c>
      <c r="H1456" s="1">
        <v>4.0</v>
      </c>
      <c r="I1456" s="1">
        <v>2283.0</v>
      </c>
      <c r="J1456" s="1" t="s">
        <v>5626</v>
      </c>
      <c r="K1456" s="5" t="s">
        <v>5627</v>
      </c>
    </row>
    <row r="1457">
      <c r="A1457" s="1" t="s">
        <v>5628</v>
      </c>
      <c r="B1457" s="1" t="s">
        <v>5629</v>
      </c>
      <c r="C1457" s="1" t="s">
        <v>3837</v>
      </c>
      <c r="D1457" s="2">
        <v>3487.77</v>
      </c>
      <c r="E1457" s="2">
        <v>4989.0</v>
      </c>
      <c r="F1457" s="3">
        <f t="shared" si="10"/>
        <v>0.3009079976</v>
      </c>
      <c r="G1457" s="4">
        <f>IFERROR(__xludf.DUMMYFUNCTION("GOOGLEFINANCE(""CURRENCY:INRBRL"")*D1457"),208.5599841929604)</f>
        <v>208.5599842</v>
      </c>
      <c r="H1457" s="1">
        <v>4.0</v>
      </c>
      <c r="I1457" s="1">
        <v>1127.0</v>
      </c>
      <c r="J1457" s="1" t="s">
        <v>5630</v>
      </c>
      <c r="K1457" s="5" t="s">
        <v>5631</v>
      </c>
    </row>
    <row r="1458">
      <c r="A1458" s="1" t="s">
        <v>5632</v>
      </c>
      <c r="B1458" s="1" t="s">
        <v>5633</v>
      </c>
      <c r="C1458" s="1" t="s">
        <v>4106</v>
      </c>
      <c r="D1458" s="2">
        <v>498.0</v>
      </c>
      <c r="E1458" s="2">
        <v>1199.0</v>
      </c>
      <c r="F1458" s="3">
        <f t="shared" si="10"/>
        <v>0.5846538782</v>
      </c>
      <c r="G1458" s="4">
        <f>IFERROR(__xludf.DUMMYFUNCTION("GOOGLEFINANCE(""CURRENCY:INRBRL"")*D1458"),29.779163226959998)</f>
        <v>29.77916323</v>
      </c>
      <c r="H1458" s="1">
        <v>4.0</v>
      </c>
      <c r="I1458" s="1">
        <v>113.0</v>
      </c>
      <c r="J1458" s="1" t="s">
        <v>5634</v>
      </c>
      <c r="K1458" s="5" t="s">
        <v>5635</v>
      </c>
    </row>
    <row r="1459">
      <c r="A1459" s="1" t="s">
        <v>5636</v>
      </c>
      <c r="B1459" s="1" t="s">
        <v>5637</v>
      </c>
      <c r="C1459" s="1" t="s">
        <v>3832</v>
      </c>
      <c r="D1459" s="2">
        <v>2695.0</v>
      </c>
      <c r="E1459" s="2">
        <v>2695.0</v>
      </c>
      <c r="F1459" s="3">
        <f t="shared" si="10"/>
        <v>0</v>
      </c>
      <c r="G1459" s="4">
        <f>IFERROR(__xludf.DUMMYFUNCTION("GOOGLEFINANCE(""CURRENCY:INRBRL"")*D1459"),161.1543070214)</f>
        <v>161.154307</v>
      </c>
      <c r="H1459" s="1">
        <v>4.0</v>
      </c>
      <c r="I1459" s="1">
        <v>2518.0</v>
      </c>
      <c r="J1459" s="1" t="s">
        <v>5638</v>
      </c>
      <c r="K1459" s="5" t="s">
        <v>5639</v>
      </c>
    </row>
    <row r="1460">
      <c r="A1460" s="1" t="s">
        <v>5640</v>
      </c>
      <c r="B1460" s="1" t="s">
        <v>5641</v>
      </c>
      <c r="C1460" s="1" t="s">
        <v>3837</v>
      </c>
      <c r="D1460" s="2">
        <v>949.0</v>
      </c>
      <c r="E1460" s="2">
        <v>2299.0</v>
      </c>
      <c r="F1460" s="3">
        <f t="shared" si="10"/>
        <v>0.5872118312</v>
      </c>
      <c r="G1460" s="4">
        <f>IFERROR(__xludf.DUMMYFUNCTION("GOOGLEFINANCE(""CURRENCY:INRBRL"")*D1460"),56.74784317748)</f>
        <v>56.74784318</v>
      </c>
      <c r="H1460" s="1">
        <v>4.0</v>
      </c>
      <c r="I1460" s="1">
        <v>550.0</v>
      </c>
      <c r="J1460" s="1" t="s">
        <v>5642</v>
      </c>
      <c r="K1460" s="5" t="s">
        <v>5643</v>
      </c>
    </row>
    <row r="1461">
      <c r="A1461" s="1" t="s">
        <v>5644</v>
      </c>
      <c r="B1461" s="1" t="s">
        <v>5645</v>
      </c>
      <c r="C1461" s="1" t="s">
        <v>3847</v>
      </c>
      <c r="D1461" s="2">
        <v>199.0</v>
      </c>
      <c r="E1461" s="2">
        <v>999.0</v>
      </c>
      <c r="F1461" s="3">
        <f t="shared" si="10"/>
        <v>0.8008008008</v>
      </c>
      <c r="G1461" s="4">
        <f>IFERROR(__xludf.DUMMYFUNCTION("GOOGLEFINANCE(""CURRENCY:INRBRL"")*D1461"),11.899705787479999)</f>
        <v>11.89970579</v>
      </c>
      <c r="H1461" s="1">
        <v>3.0</v>
      </c>
      <c r="I1461" s="1">
        <v>2.0</v>
      </c>
      <c r="J1461" s="1" t="s">
        <v>5646</v>
      </c>
      <c r="K1461" s="5" t="s">
        <v>5647</v>
      </c>
    </row>
    <row r="1462">
      <c r="A1462" s="1" t="s">
        <v>5648</v>
      </c>
      <c r="B1462" s="1" t="s">
        <v>5649</v>
      </c>
      <c r="C1462" s="1" t="s">
        <v>4290</v>
      </c>
      <c r="D1462" s="2">
        <v>379.0</v>
      </c>
      <c r="E1462" s="2">
        <v>919.0</v>
      </c>
      <c r="F1462" s="3">
        <f t="shared" si="10"/>
        <v>0.5875952122</v>
      </c>
      <c r="G1462" s="4">
        <f>IFERROR(__xludf.DUMMYFUNCTION("GOOGLEFINANCE(""CURRENCY:INRBRL"")*D1462"),22.663258761079998)</f>
        <v>22.66325876</v>
      </c>
      <c r="H1462" s="1">
        <v>3.0</v>
      </c>
      <c r="I1462" s="1">
        <v>109.0</v>
      </c>
      <c r="J1462" s="1" t="s">
        <v>5650</v>
      </c>
      <c r="K1462" s="5" t="s">
        <v>5651</v>
      </c>
    </row>
    <row r="1463">
      <c r="A1463" s="1" t="s">
        <v>5652</v>
      </c>
      <c r="B1463" s="1" t="s">
        <v>5653</v>
      </c>
      <c r="C1463" s="1" t="s">
        <v>4316</v>
      </c>
      <c r="D1463" s="2">
        <v>2279.0</v>
      </c>
      <c r="E1463" s="2">
        <v>3045.0</v>
      </c>
      <c r="F1463" s="3">
        <f t="shared" si="10"/>
        <v>0.2515599343</v>
      </c>
      <c r="G1463" s="4">
        <f>IFERROR(__xludf.DUMMYFUNCTION("GOOGLEFINANCE(""CURRENCY:INRBRL"")*D1463"),136.27854014908)</f>
        <v>136.2785401</v>
      </c>
      <c r="H1463" s="1">
        <v>3.0</v>
      </c>
      <c r="I1463" s="1">
        <v>4118.0</v>
      </c>
      <c r="J1463" s="1" t="s">
        <v>5654</v>
      </c>
      <c r="K1463" s="5" t="s">
        <v>5655</v>
      </c>
    </row>
    <row r="1464">
      <c r="A1464" s="1" t="s">
        <v>5656</v>
      </c>
      <c r="B1464" s="1" t="s">
        <v>5657</v>
      </c>
      <c r="C1464" s="1" t="s">
        <v>4226</v>
      </c>
      <c r="D1464" s="2">
        <v>2219.0</v>
      </c>
      <c r="E1464" s="2">
        <v>3079.0</v>
      </c>
      <c r="F1464" s="3">
        <f t="shared" si="10"/>
        <v>0.2793114648</v>
      </c>
      <c r="G1464" s="4">
        <f>IFERROR(__xludf.DUMMYFUNCTION("GOOGLEFINANCE(""CURRENCY:INRBRL"")*D1464"),132.69068915788)</f>
        <v>132.6906892</v>
      </c>
      <c r="H1464" s="1">
        <v>3.0</v>
      </c>
      <c r="I1464" s="1">
        <v>468.0</v>
      </c>
      <c r="J1464" s="1" t="s">
        <v>5658</v>
      </c>
      <c r="K1464" s="5" t="s">
        <v>5659</v>
      </c>
    </row>
    <row r="1465">
      <c r="A1465" s="1" t="s">
        <v>5660</v>
      </c>
      <c r="B1465" s="1" t="s">
        <v>5661</v>
      </c>
      <c r="C1465" s="1" t="s">
        <v>4272</v>
      </c>
      <c r="D1465" s="2">
        <v>1399.0</v>
      </c>
      <c r="E1465" s="2">
        <v>1889.0</v>
      </c>
      <c r="F1465" s="3">
        <f t="shared" si="10"/>
        <v>0.2593965061</v>
      </c>
      <c r="G1465" s="4">
        <f>IFERROR(__xludf.DUMMYFUNCTION("GOOGLEFINANCE(""CURRENCY:INRBRL"")*D1465"),83.65672561148)</f>
        <v>83.65672561</v>
      </c>
      <c r="H1465" s="1">
        <v>2.0</v>
      </c>
      <c r="I1465" s="1">
        <v>8031.0</v>
      </c>
      <c r="J1465" s="1" t="s">
        <v>5662</v>
      </c>
      <c r="K1465" s="5" t="s">
        <v>5663</v>
      </c>
    </row>
    <row r="1466">
      <c r="A1466" s="1" t="s">
        <v>5664</v>
      </c>
      <c r="B1466" s="1" t="s">
        <v>5665</v>
      </c>
      <c r="C1466" s="1" t="s">
        <v>4053</v>
      </c>
      <c r="D1466" s="2">
        <v>2863.0</v>
      </c>
      <c r="E1466" s="2">
        <v>3689.0</v>
      </c>
      <c r="F1466" s="3">
        <f t="shared" si="10"/>
        <v>0.2239089184</v>
      </c>
      <c r="G1466" s="4">
        <f>IFERROR(__xludf.DUMMYFUNCTION("GOOGLEFINANCE(""CURRENCY:INRBRL"")*D1466"),171.20028979676)</f>
        <v>171.2002898</v>
      </c>
      <c r="H1466" s="1">
        <v>0.0</v>
      </c>
      <c r="I1466" s="1">
        <v>6987.0</v>
      </c>
      <c r="J1466" s="1" t="s">
        <v>5666</v>
      </c>
      <c r="K1466" s="5" t="s">
        <v>5667</v>
      </c>
    </row>
    <row r="1467">
      <c r="D1467" s="6"/>
      <c r="E1467" s="6"/>
      <c r="F1467" s="3"/>
      <c r="G1467" s="4"/>
      <c r="H1467" s="7"/>
      <c r="I1467" s="8"/>
    </row>
    <row r="1468">
      <c r="D1468" s="6"/>
      <c r="E1468" s="6"/>
      <c r="F1468" s="3"/>
      <c r="G1468" s="4"/>
      <c r="H1468" s="7"/>
      <c r="I1468" s="8"/>
    </row>
  </sheetData>
  <conditionalFormatting sqref="H1:H1468">
    <cfRule type="colorScale" priority="1">
      <colorScale>
        <cfvo type="formula" val="0"/>
        <cfvo type="formula" val="3"/>
        <cfvo type="formula" val="5"/>
        <color rgb="FFFF0000"/>
        <color rgb="FFFFFF00"/>
        <color rgb="FF00FF00"/>
      </colorScale>
    </cfRule>
  </conditionalFormatting>
  <hyperlinks>
    <hyperlink r:id="rId2" ref="K2"/>
    <hyperlink r:id="rId3" ref="K3"/>
    <hyperlink r:id="rId4" ref="K4"/>
    <hyperlink r:id="rId5" ref="K5"/>
    <hyperlink r:id="rId6" ref="K6"/>
    <hyperlink r:id="rId7" ref="K7"/>
    <hyperlink r:id="rId8" ref="K8"/>
    <hyperlink r:id="rId9" ref="K9"/>
    <hyperlink r:id="rId10" ref="K10"/>
    <hyperlink r:id="rId11" ref="K11"/>
    <hyperlink r:id="rId12" ref="K12"/>
    <hyperlink r:id="rId13" ref="K13"/>
    <hyperlink r:id="rId14" ref="K14"/>
    <hyperlink r:id="rId15" ref="K15"/>
    <hyperlink r:id="rId16" ref="K16"/>
    <hyperlink r:id="rId17" ref="K17"/>
    <hyperlink r:id="rId18" ref="K18"/>
    <hyperlink r:id="rId19" ref="K19"/>
    <hyperlink r:id="rId20" ref="K20"/>
    <hyperlink r:id="rId21" ref="K21"/>
    <hyperlink r:id="rId22" ref="K22"/>
    <hyperlink r:id="rId23" ref="K23"/>
    <hyperlink r:id="rId24" ref="K24"/>
    <hyperlink r:id="rId25" ref="K25"/>
    <hyperlink r:id="rId26" ref="K26"/>
    <hyperlink r:id="rId27" ref="K27"/>
    <hyperlink r:id="rId28" ref="K28"/>
    <hyperlink r:id="rId29" ref="K29"/>
    <hyperlink r:id="rId30" ref="K30"/>
    <hyperlink r:id="rId31" ref="K31"/>
    <hyperlink r:id="rId32" ref="K32"/>
    <hyperlink r:id="rId33" ref="K33"/>
    <hyperlink r:id="rId34" ref="K34"/>
    <hyperlink r:id="rId35" ref="K35"/>
    <hyperlink r:id="rId36" ref="K36"/>
    <hyperlink r:id="rId37" ref="K37"/>
    <hyperlink r:id="rId38" ref="K38"/>
    <hyperlink r:id="rId39" ref="K39"/>
    <hyperlink r:id="rId40" ref="K40"/>
    <hyperlink r:id="rId41" ref="K41"/>
    <hyperlink r:id="rId42" ref="K42"/>
    <hyperlink r:id="rId43" ref="K43"/>
    <hyperlink r:id="rId44" ref="K44"/>
    <hyperlink r:id="rId45" ref="K45"/>
    <hyperlink r:id="rId46" ref="K46"/>
    <hyperlink r:id="rId47" ref="K47"/>
    <hyperlink r:id="rId48" ref="K48"/>
    <hyperlink r:id="rId49" ref="K49"/>
    <hyperlink r:id="rId50" ref="K50"/>
    <hyperlink r:id="rId51" ref="K51"/>
    <hyperlink r:id="rId52" ref="K52"/>
    <hyperlink r:id="rId53" ref="K53"/>
    <hyperlink r:id="rId54" ref="K54"/>
    <hyperlink r:id="rId55" ref="K55"/>
    <hyperlink r:id="rId56" ref="K56"/>
    <hyperlink r:id="rId57" ref="K57"/>
    <hyperlink r:id="rId58" ref="K58"/>
    <hyperlink r:id="rId59" ref="K59"/>
    <hyperlink r:id="rId60" ref="K60"/>
    <hyperlink r:id="rId61" ref="K61"/>
    <hyperlink r:id="rId62" ref="K62"/>
    <hyperlink r:id="rId63" ref="K63"/>
    <hyperlink r:id="rId64" ref="K64"/>
    <hyperlink r:id="rId65" ref="K65"/>
    <hyperlink r:id="rId66" ref="K66"/>
    <hyperlink r:id="rId67" ref="K67"/>
    <hyperlink r:id="rId68" ref="K68"/>
    <hyperlink r:id="rId69" ref="K69"/>
    <hyperlink r:id="rId70" ref="K70"/>
    <hyperlink r:id="rId71" ref="K71"/>
    <hyperlink r:id="rId72" ref="K72"/>
    <hyperlink r:id="rId73" ref="K73"/>
    <hyperlink r:id="rId74" ref="K74"/>
    <hyperlink r:id="rId75" ref="K75"/>
    <hyperlink r:id="rId76" ref="K76"/>
    <hyperlink r:id="rId77" ref="K77"/>
    <hyperlink r:id="rId78" ref="K78"/>
    <hyperlink r:id="rId79" ref="K79"/>
    <hyperlink r:id="rId80" ref="K80"/>
    <hyperlink r:id="rId81" ref="K81"/>
    <hyperlink r:id="rId82" ref="K82"/>
    <hyperlink r:id="rId83" ref="K83"/>
    <hyperlink r:id="rId84" ref="K84"/>
    <hyperlink r:id="rId85" ref="K85"/>
    <hyperlink r:id="rId86" ref="K86"/>
    <hyperlink r:id="rId87" ref="K87"/>
    <hyperlink r:id="rId88" ref="K88"/>
    <hyperlink r:id="rId89" ref="K89"/>
    <hyperlink r:id="rId90" ref="K90"/>
    <hyperlink r:id="rId91" ref="K91"/>
    <hyperlink r:id="rId92" ref="K92"/>
    <hyperlink r:id="rId93" ref="K93"/>
    <hyperlink r:id="rId94" ref="K94"/>
    <hyperlink r:id="rId95" ref="K95"/>
    <hyperlink r:id="rId96" ref="K96"/>
    <hyperlink r:id="rId97" ref="K97"/>
    <hyperlink r:id="rId98" ref="K98"/>
    <hyperlink r:id="rId99" ref="K99"/>
    <hyperlink r:id="rId100" ref="K100"/>
    <hyperlink r:id="rId101" ref="K101"/>
    <hyperlink r:id="rId102" ref="K102"/>
    <hyperlink r:id="rId103" ref="K103"/>
    <hyperlink r:id="rId104" ref="K104"/>
    <hyperlink r:id="rId105" ref="K105"/>
    <hyperlink r:id="rId106" ref="K106"/>
    <hyperlink r:id="rId107" ref="K107"/>
    <hyperlink r:id="rId108" ref="K108"/>
    <hyperlink r:id="rId109" ref="K109"/>
    <hyperlink r:id="rId110" ref="K110"/>
    <hyperlink r:id="rId111" ref="K111"/>
    <hyperlink r:id="rId112" ref="K112"/>
    <hyperlink r:id="rId113" ref="K113"/>
    <hyperlink r:id="rId114" ref="K114"/>
    <hyperlink r:id="rId115" ref="K115"/>
    <hyperlink r:id="rId116" ref="K116"/>
    <hyperlink r:id="rId117" ref="K117"/>
    <hyperlink r:id="rId118" ref="K118"/>
    <hyperlink r:id="rId119" ref="K119"/>
    <hyperlink r:id="rId120" ref="K120"/>
    <hyperlink r:id="rId121" ref="K121"/>
    <hyperlink r:id="rId122" ref="K122"/>
    <hyperlink r:id="rId123" ref="K123"/>
    <hyperlink r:id="rId124" ref="K124"/>
    <hyperlink r:id="rId125" ref="K125"/>
    <hyperlink r:id="rId126" ref="K126"/>
    <hyperlink r:id="rId127" ref="K127"/>
    <hyperlink r:id="rId128" ref="K128"/>
    <hyperlink r:id="rId129" ref="K129"/>
    <hyperlink r:id="rId130" ref="K130"/>
    <hyperlink r:id="rId131" ref="K131"/>
    <hyperlink r:id="rId132" ref="K132"/>
    <hyperlink r:id="rId133" ref="K133"/>
    <hyperlink r:id="rId134" ref="K134"/>
    <hyperlink r:id="rId135" ref="K135"/>
    <hyperlink r:id="rId136" ref="K136"/>
    <hyperlink r:id="rId137" ref="K137"/>
    <hyperlink r:id="rId138" ref="K138"/>
    <hyperlink r:id="rId139" ref="K139"/>
    <hyperlink r:id="rId140" ref="K140"/>
    <hyperlink r:id="rId141" ref="K141"/>
    <hyperlink r:id="rId142" ref="K142"/>
    <hyperlink r:id="rId143" ref="K143"/>
    <hyperlink r:id="rId144" ref="K144"/>
    <hyperlink r:id="rId145" ref="K145"/>
    <hyperlink r:id="rId146" ref="K146"/>
    <hyperlink r:id="rId147" ref="K147"/>
    <hyperlink r:id="rId148" ref="K148"/>
    <hyperlink r:id="rId149" ref="K149"/>
    <hyperlink r:id="rId150" ref="K150"/>
    <hyperlink r:id="rId151" ref="K151"/>
    <hyperlink r:id="rId152" ref="K152"/>
    <hyperlink r:id="rId153" ref="K153"/>
    <hyperlink r:id="rId154" ref="K154"/>
    <hyperlink r:id="rId155" ref="K155"/>
    <hyperlink r:id="rId156" ref="K156"/>
    <hyperlink r:id="rId157" ref="K157"/>
    <hyperlink r:id="rId158" ref="K158"/>
    <hyperlink r:id="rId159" ref="K159"/>
    <hyperlink r:id="rId160" ref="K160"/>
    <hyperlink r:id="rId161" ref="K161"/>
    <hyperlink r:id="rId162" ref="K162"/>
    <hyperlink r:id="rId163" ref="K163"/>
    <hyperlink r:id="rId164" ref="K164"/>
    <hyperlink r:id="rId165" ref="K165"/>
    <hyperlink r:id="rId166" ref="K166"/>
    <hyperlink r:id="rId167" ref="K167"/>
    <hyperlink r:id="rId168" ref="K168"/>
    <hyperlink r:id="rId169" ref="K169"/>
    <hyperlink r:id="rId170" ref="K170"/>
    <hyperlink r:id="rId171" ref="K171"/>
    <hyperlink r:id="rId172" ref="K172"/>
    <hyperlink r:id="rId173" ref="K173"/>
    <hyperlink r:id="rId174" ref="K174"/>
    <hyperlink r:id="rId175" ref="K175"/>
    <hyperlink r:id="rId176" ref="K176"/>
    <hyperlink r:id="rId177" ref="K177"/>
    <hyperlink r:id="rId178" ref="K178"/>
    <hyperlink r:id="rId179" ref="K179"/>
    <hyperlink r:id="rId180" ref="K180"/>
    <hyperlink r:id="rId181" ref="K181"/>
    <hyperlink r:id="rId182" ref="K182"/>
    <hyperlink r:id="rId183" ref="K183"/>
    <hyperlink r:id="rId184" ref="K184"/>
    <hyperlink r:id="rId185" ref="K185"/>
    <hyperlink r:id="rId186" ref="K186"/>
    <hyperlink r:id="rId187" ref="K187"/>
    <hyperlink r:id="rId188" ref="K188"/>
    <hyperlink r:id="rId189" ref="K189"/>
    <hyperlink r:id="rId190" ref="K190"/>
    <hyperlink r:id="rId191" ref="K191"/>
    <hyperlink r:id="rId192" ref="K192"/>
    <hyperlink r:id="rId193" ref="K193"/>
    <hyperlink r:id="rId194" ref="K194"/>
    <hyperlink r:id="rId195" ref="K195"/>
    <hyperlink r:id="rId196" ref="K196"/>
    <hyperlink r:id="rId197" ref="K197"/>
    <hyperlink r:id="rId198" ref="K198"/>
    <hyperlink r:id="rId199" ref="K199"/>
    <hyperlink r:id="rId200" ref="K200"/>
    <hyperlink r:id="rId201" ref="K201"/>
    <hyperlink r:id="rId202" ref="K202"/>
    <hyperlink r:id="rId203" ref="K203"/>
    <hyperlink r:id="rId204" ref="K204"/>
    <hyperlink r:id="rId205" ref="K205"/>
    <hyperlink r:id="rId206" ref="K206"/>
    <hyperlink r:id="rId207" ref="K207"/>
    <hyperlink r:id="rId208" ref="K208"/>
    <hyperlink r:id="rId209" ref="K209"/>
    <hyperlink r:id="rId210" ref="K210"/>
    <hyperlink r:id="rId211" ref="K211"/>
    <hyperlink r:id="rId212" ref="K212"/>
    <hyperlink r:id="rId213" ref="K213"/>
    <hyperlink r:id="rId214" ref="K214"/>
    <hyperlink r:id="rId215" ref="K215"/>
    <hyperlink r:id="rId216" ref="K216"/>
    <hyperlink r:id="rId217" ref="K217"/>
    <hyperlink r:id="rId218" ref="K218"/>
    <hyperlink r:id="rId219" ref="K219"/>
    <hyperlink r:id="rId220" ref="K220"/>
    <hyperlink r:id="rId221" ref="K221"/>
    <hyperlink r:id="rId222" ref="K222"/>
    <hyperlink r:id="rId223" ref="K223"/>
    <hyperlink r:id="rId224" ref="K224"/>
    <hyperlink r:id="rId225" ref="K225"/>
    <hyperlink r:id="rId226" ref="K226"/>
    <hyperlink r:id="rId227" ref="K227"/>
    <hyperlink r:id="rId228" ref="K228"/>
    <hyperlink r:id="rId229" ref="K229"/>
    <hyperlink r:id="rId230" ref="K230"/>
    <hyperlink r:id="rId231" ref="K231"/>
    <hyperlink r:id="rId232" ref="K232"/>
    <hyperlink r:id="rId233" ref="K233"/>
    <hyperlink r:id="rId234" ref="K234"/>
    <hyperlink r:id="rId235" ref="K235"/>
    <hyperlink r:id="rId236" ref="K236"/>
    <hyperlink r:id="rId237" ref="K237"/>
    <hyperlink r:id="rId238" ref="K238"/>
    <hyperlink r:id="rId239" ref="K239"/>
    <hyperlink r:id="rId240" ref="K240"/>
    <hyperlink r:id="rId241" ref="K241"/>
    <hyperlink r:id="rId242" ref="K242"/>
    <hyperlink r:id="rId243" ref="K243"/>
    <hyperlink r:id="rId244" ref="K244"/>
    <hyperlink r:id="rId245" ref="K245"/>
    <hyperlink r:id="rId246" ref="K246"/>
    <hyperlink r:id="rId247" ref="K247"/>
    <hyperlink r:id="rId248" ref="K248"/>
    <hyperlink r:id="rId249" ref="K249"/>
    <hyperlink r:id="rId250" ref="K250"/>
    <hyperlink r:id="rId251" ref="K251"/>
    <hyperlink r:id="rId252" ref="K252"/>
    <hyperlink r:id="rId253" ref="K253"/>
    <hyperlink r:id="rId254" ref="K254"/>
    <hyperlink r:id="rId255" ref="K255"/>
    <hyperlink r:id="rId256" ref="K256"/>
    <hyperlink r:id="rId257" ref="K257"/>
    <hyperlink r:id="rId258" ref="K258"/>
    <hyperlink r:id="rId259" ref="K259"/>
    <hyperlink r:id="rId260" ref="K260"/>
    <hyperlink r:id="rId261" ref="K261"/>
    <hyperlink r:id="rId262" ref="K262"/>
    <hyperlink r:id="rId263" ref="K263"/>
    <hyperlink r:id="rId264" ref="K264"/>
    <hyperlink r:id="rId265" ref="K265"/>
    <hyperlink r:id="rId266" ref="K266"/>
    <hyperlink r:id="rId267" ref="K267"/>
    <hyperlink r:id="rId268" ref="K268"/>
    <hyperlink r:id="rId269" ref="K269"/>
    <hyperlink r:id="rId270" ref="K270"/>
    <hyperlink r:id="rId271" ref="K271"/>
    <hyperlink r:id="rId272" ref="K272"/>
    <hyperlink r:id="rId273" ref="K273"/>
    <hyperlink r:id="rId274" ref="K274"/>
    <hyperlink r:id="rId275" ref="K275"/>
    <hyperlink r:id="rId276" ref="K276"/>
    <hyperlink r:id="rId277" ref="K277"/>
    <hyperlink r:id="rId278" ref="K278"/>
    <hyperlink r:id="rId279" ref="K279"/>
    <hyperlink r:id="rId280" ref="K280"/>
    <hyperlink r:id="rId281" ref="K281"/>
    <hyperlink r:id="rId282" ref="K282"/>
    <hyperlink r:id="rId283" ref="K283"/>
    <hyperlink r:id="rId284" ref="K284"/>
    <hyperlink r:id="rId285" ref="K285"/>
    <hyperlink r:id="rId286" ref="K286"/>
    <hyperlink r:id="rId287" ref="K287"/>
    <hyperlink r:id="rId288" ref="K288"/>
    <hyperlink r:id="rId289" ref="K289"/>
    <hyperlink r:id="rId290" ref="K290"/>
    <hyperlink r:id="rId291" ref="K291"/>
    <hyperlink r:id="rId292" ref="K292"/>
    <hyperlink r:id="rId293" ref="K293"/>
    <hyperlink r:id="rId294" ref="K294"/>
    <hyperlink r:id="rId295" ref="K295"/>
    <hyperlink r:id="rId296" ref="K296"/>
    <hyperlink r:id="rId297" ref="K297"/>
    <hyperlink r:id="rId298" ref="K298"/>
    <hyperlink r:id="rId299" ref="K299"/>
    <hyperlink r:id="rId300" ref="K300"/>
    <hyperlink r:id="rId301" ref="K301"/>
    <hyperlink r:id="rId302" ref="K302"/>
    <hyperlink r:id="rId303" ref="K303"/>
    <hyperlink r:id="rId304" ref="K304"/>
    <hyperlink r:id="rId305" ref="K305"/>
    <hyperlink r:id="rId306" ref="K306"/>
    <hyperlink r:id="rId307" ref="K307"/>
    <hyperlink r:id="rId308" ref="K308"/>
    <hyperlink r:id="rId309" ref="K309"/>
    <hyperlink r:id="rId310" ref="K310"/>
    <hyperlink r:id="rId311" ref="K311"/>
    <hyperlink r:id="rId312" ref="K312"/>
    <hyperlink r:id="rId313" ref="K313"/>
    <hyperlink r:id="rId314" ref="K314"/>
    <hyperlink r:id="rId315" ref="K315"/>
    <hyperlink r:id="rId316" ref="K316"/>
    <hyperlink r:id="rId317" ref="K317"/>
    <hyperlink r:id="rId318" ref="K318"/>
    <hyperlink r:id="rId319" ref="K319"/>
    <hyperlink r:id="rId320" ref="K320"/>
    <hyperlink r:id="rId321" ref="K321"/>
    <hyperlink r:id="rId322" ref="K322"/>
    <hyperlink r:id="rId323" ref="K323"/>
    <hyperlink r:id="rId324" ref="K324"/>
    <hyperlink r:id="rId325" ref="K325"/>
    <hyperlink r:id="rId326" ref="K326"/>
    <hyperlink r:id="rId327" ref="K327"/>
    <hyperlink r:id="rId328" ref="K328"/>
    <hyperlink r:id="rId329" ref="K329"/>
    <hyperlink r:id="rId330" ref="K330"/>
    <hyperlink r:id="rId331" ref="K331"/>
    <hyperlink r:id="rId332" ref="K332"/>
    <hyperlink r:id="rId333" ref="K333"/>
    <hyperlink r:id="rId334" ref="K334"/>
    <hyperlink r:id="rId335" ref="K335"/>
    <hyperlink r:id="rId336" ref="K336"/>
    <hyperlink r:id="rId337" ref="K337"/>
    <hyperlink r:id="rId338" ref="K338"/>
    <hyperlink r:id="rId339" ref="K339"/>
    <hyperlink r:id="rId340" ref="K340"/>
    <hyperlink r:id="rId341" ref="K341"/>
    <hyperlink r:id="rId342" ref="K342"/>
    <hyperlink r:id="rId343" ref="K343"/>
    <hyperlink r:id="rId344" ref="K344"/>
    <hyperlink r:id="rId345" ref="K345"/>
    <hyperlink r:id="rId346" ref="K346"/>
    <hyperlink r:id="rId347" ref="K347"/>
    <hyperlink r:id="rId348" ref="K348"/>
    <hyperlink r:id="rId349" ref="K349"/>
    <hyperlink r:id="rId350" ref="K350"/>
    <hyperlink r:id="rId351" ref="K351"/>
    <hyperlink r:id="rId352" ref="K352"/>
    <hyperlink r:id="rId353" ref="K353"/>
    <hyperlink r:id="rId354" ref="K354"/>
    <hyperlink r:id="rId355" ref="K355"/>
    <hyperlink r:id="rId356" ref="K356"/>
    <hyperlink r:id="rId357" ref="K357"/>
    <hyperlink r:id="rId358" ref="K358"/>
    <hyperlink r:id="rId359" ref="K359"/>
    <hyperlink r:id="rId360" ref="K360"/>
    <hyperlink r:id="rId361" ref="K361"/>
    <hyperlink r:id="rId362" ref="K362"/>
    <hyperlink r:id="rId363" ref="K363"/>
    <hyperlink r:id="rId364" ref="K364"/>
    <hyperlink r:id="rId365" ref="K365"/>
    <hyperlink r:id="rId366" ref="K366"/>
    <hyperlink r:id="rId367" ref="K367"/>
    <hyperlink r:id="rId368" ref="K368"/>
    <hyperlink r:id="rId369" ref="K369"/>
    <hyperlink r:id="rId370" ref="K370"/>
    <hyperlink r:id="rId371" ref="K371"/>
    <hyperlink r:id="rId372" ref="K372"/>
    <hyperlink r:id="rId373" ref="K373"/>
    <hyperlink r:id="rId374" ref="K374"/>
    <hyperlink r:id="rId375" ref="K375"/>
    <hyperlink r:id="rId376" ref="K376"/>
    <hyperlink r:id="rId377" ref="K377"/>
    <hyperlink r:id="rId378" ref="K378"/>
    <hyperlink r:id="rId379" ref="K379"/>
    <hyperlink r:id="rId380" ref="K380"/>
    <hyperlink r:id="rId381" ref="K381"/>
    <hyperlink r:id="rId382" ref="K382"/>
    <hyperlink r:id="rId383" ref="K383"/>
    <hyperlink r:id="rId384" ref="K384"/>
    <hyperlink r:id="rId385" ref="K385"/>
    <hyperlink r:id="rId386" ref="K386"/>
    <hyperlink r:id="rId387" ref="K387"/>
    <hyperlink r:id="rId388" ref="K388"/>
    <hyperlink r:id="rId389" ref="K389"/>
    <hyperlink r:id="rId390" ref="K390"/>
    <hyperlink r:id="rId391" ref="K391"/>
    <hyperlink r:id="rId392" ref="K392"/>
    <hyperlink r:id="rId393" ref="K393"/>
    <hyperlink r:id="rId394" ref="K394"/>
    <hyperlink r:id="rId395" ref="K395"/>
    <hyperlink r:id="rId396" ref="K396"/>
    <hyperlink r:id="rId397" ref="K397"/>
    <hyperlink r:id="rId398" ref="K398"/>
    <hyperlink r:id="rId399" ref="K399"/>
    <hyperlink r:id="rId400" ref="K400"/>
    <hyperlink r:id="rId401" ref="K401"/>
    <hyperlink r:id="rId402" ref="K402"/>
    <hyperlink r:id="rId403" ref="K403"/>
    <hyperlink r:id="rId404" ref="K404"/>
    <hyperlink r:id="rId405" ref="K405"/>
    <hyperlink r:id="rId406" ref="K406"/>
    <hyperlink r:id="rId407" ref="K407"/>
    <hyperlink r:id="rId408" ref="K408"/>
    <hyperlink r:id="rId409" ref="K409"/>
    <hyperlink r:id="rId410" ref="K410"/>
    <hyperlink r:id="rId411" ref="K411"/>
    <hyperlink r:id="rId412" ref="K412"/>
    <hyperlink r:id="rId413" ref="K413"/>
    <hyperlink r:id="rId414" ref="K414"/>
    <hyperlink r:id="rId415" ref="K415"/>
    <hyperlink r:id="rId416" ref="K416"/>
    <hyperlink r:id="rId417" ref="K417"/>
    <hyperlink r:id="rId418" ref="K418"/>
    <hyperlink r:id="rId419" ref="K419"/>
    <hyperlink r:id="rId420" ref="K420"/>
    <hyperlink r:id="rId421" ref="K421"/>
    <hyperlink r:id="rId422" ref="K422"/>
    <hyperlink r:id="rId423" ref="K423"/>
    <hyperlink r:id="rId424" ref="K424"/>
    <hyperlink r:id="rId425" ref="K425"/>
    <hyperlink r:id="rId426" ref="K426"/>
    <hyperlink r:id="rId427" ref="K427"/>
    <hyperlink r:id="rId428" ref="K428"/>
    <hyperlink r:id="rId429" ref="K429"/>
    <hyperlink r:id="rId430" ref="K430"/>
    <hyperlink r:id="rId431" ref="K431"/>
    <hyperlink r:id="rId432" ref="K432"/>
    <hyperlink r:id="rId433" ref="K433"/>
    <hyperlink r:id="rId434" ref="K434"/>
    <hyperlink r:id="rId435" ref="K435"/>
    <hyperlink r:id="rId436" ref="K436"/>
    <hyperlink r:id="rId437" ref="K437"/>
    <hyperlink r:id="rId438" ref="K438"/>
    <hyperlink r:id="rId439" ref="K439"/>
    <hyperlink r:id="rId440" ref="K440"/>
    <hyperlink r:id="rId441" ref="K441"/>
    <hyperlink r:id="rId442" ref="K442"/>
    <hyperlink r:id="rId443" ref="K443"/>
    <hyperlink r:id="rId444" ref="K444"/>
    <hyperlink r:id="rId445" ref="K445"/>
    <hyperlink r:id="rId446" ref="K446"/>
    <hyperlink r:id="rId447" ref="K447"/>
    <hyperlink r:id="rId448" ref="K448"/>
    <hyperlink r:id="rId449" ref="K449"/>
    <hyperlink r:id="rId450" ref="K450"/>
    <hyperlink r:id="rId451" ref="K451"/>
    <hyperlink r:id="rId452" ref="K452"/>
    <hyperlink r:id="rId453" ref="K453"/>
    <hyperlink r:id="rId454" ref="K454"/>
    <hyperlink r:id="rId455" ref="K455"/>
    <hyperlink r:id="rId456" ref="K456"/>
    <hyperlink r:id="rId457" ref="K457"/>
    <hyperlink r:id="rId458" ref="K458"/>
    <hyperlink r:id="rId459" ref="K459"/>
    <hyperlink r:id="rId460" ref="K460"/>
    <hyperlink r:id="rId461" ref="K461"/>
    <hyperlink r:id="rId462" ref="K462"/>
    <hyperlink r:id="rId463" ref="K463"/>
    <hyperlink r:id="rId464" ref="K464"/>
    <hyperlink r:id="rId465" ref="K465"/>
    <hyperlink r:id="rId466" ref="K466"/>
    <hyperlink r:id="rId467" ref="K467"/>
    <hyperlink r:id="rId468" ref="K468"/>
    <hyperlink r:id="rId469" ref="K469"/>
    <hyperlink r:id="rId470" ref="K470"/>
    <hyperlink r:id="rId471" ref="K471"/>
    <hyperlink r:id="rId472" ref="K472"/>
    <hyperlink r:id="rId473" ref="K473"/>
    <hyperlink r:id="rId474" ref="K474"/>
    <hyperlink r:id="rId475" ref="K475"/>
    <hyperlink r:id="rId476" ref="K476"/>
    <hyperlink r:id="rId477" ref="K477"/>
    <hyperlink r:id="rId478" ref="K478"/>
    <hyperlink r:id="rId479" ref="K479"/>
    <hyperlink r:id="rId480" ref="K480"/>
    <hyperlink r:id="rId481" ref="K481"/>
    <hyperlink r:id="rId482" ref="K482"/>
    <hyperlink r:id="rId483" ref="K483"/>
    <hyperlink r:id="rId484" ref="K484"/>
    <hyperlink r:id="rId485" ref="K485"/>
    <hyperlink r:id="rId486" ref="K486"/>
    <hyperlink r:id="rId487" ref="K487"/>
    <hyperlink r:id="rId488" ref="K488"/>
    <hyperlink r:id="rId489" ref="K489"/>
    <hyperlink r:id="rId490" ref="K490"/>
    <hyperlink r:id="rId491" ref="K491"/>
    <hyperlink r:id="rId492" ref="K492"/>
    <hyperlink r:id="rId493" ref="K493"/>
    <hyperlink r:id="rId494" ref="K494"/>
    <hyperlink r:id="rId495" ref="K495"/>
    <hyperlink r:id="rId496" ref="K496"/>
    <hyperlink r:id="rId497" ref="K497"/>
    <hyperlink r:id="rId498" ref="K498"/>
    <hyperlink r:id="rId499" ref="K499"/>
    <hyperlink r:id="rId500" ref="K500"/>
    <hyperlink r:id="rId501" ref="K501"/>
    <hyperlink r:id="rId502" ref="K502"/>
    <hyperlink r:id="rId503" ref="K503"/>
    <hyperlink r:id="rId504" ref="K504"/>
    <hyperlink r:id="rId505" ref="K505"/>
    <hyperlink r:id="rId506" ref="K506"/>
    <hyperlink r:id="rId507" ref="K507"/>
    <hyperlink r:id="rId508" ref="K508"/>
    <hyperlink r:id="rId509" ref="K509"/>
    <hyperlink r:id="rId510" ref="K510"/>
    <hyperlink r:id="rId511" ref="K511"/>
    <hyperlink r:id="rId512" ref="K512"/>
    <hyperlink r:id="rId513" ref="K513"/>
    <hyperlink r:id="rId514" ref="K514"/>
    <hyperlink r:id="rId515" ref="K515"/>
    <hyperlink r:id="rId516" ref="K516"/>
    <hyperlink r:id="rId517" ref="K517"/>
    <hyperlink r:id="rId518" ref="K518"/>
    <hyperlink r:id="rId519" ref="K519"/>
    <hyperlink r:id="rId520" ref="K520"/>
    <hyperlink r:id="rId521" ref="K521"/>
    <hyperlink r:id="rId522" ref="K522"/>
    <hyperlink r:id="rId523" ref="K523"/>
    <hyperlink r:id="rId524" ref="K524"/>
    <hyperlink r:id="rId525" ref="K525"/>
    <hyperlink r:id="rId526" ref="K526"/>
    <hyperlink r:id="rId527" ref="K527"/>
    <hyperlink r:id="rId528" ref="K528"/>
    <hyperlink r:id="rId529" ref="K529"/>
    <hyperlink r:id="rId530" ref="K530"/>
    <hyperlink r:id="rId531" ref="K531"/>
    <hyperlink r:id="rId532" ref="K532"/>
    <hyperlink r:id="rId533" ref="K533"/>
    <hyperlink r:id="rId534" ref="K534"/>
    <hyperlink r:id="rId535" ref="K535"/>
    <hyperlink r:id="rId536" ref="K536"/>
    <hyperlink r:id="rId537" ref="K537"/>
    <hyperlink r:id="rId538" ref="K538"/>
    <hyperlink r:id="rId539" ref="K539"/>
    <hyperlink r:id="rId540" ref="K540"/>
    <hyperlink r:id="rId541" ref="K541"/>
    <hyperlink r:id="rId542" ref="K542"/>
    <hyperlink r:id="rId543" ref="K543"/>
    <hyperlink r:id="rId544" ref="K544"/>
    <hyperlink r:id="rId545" ref="K545"/>
    <hyperlink r:id="rId546" ref="K546"/>
    <hyperlink r:id="rId547" ref="K547"/>
    <hyperlink r:id="rId548" ref="K548"/>
    <hyperlink r:id="rId549" ref="K549"/>
    <hyperlink r:id="rId550" ref="K550"/>
    <hyperlink r:id="rId551" ref="K551"/>
    <hyperlink r:id="rId552" ref="K552"/>
    <hyperlink r:id="rId553" ref="K553"/>
    <hyperlink r:id="rId554" ref="K554"/>
    <hyperlink r:id="rId555" ref="K555"/>
    <hyperlink r:id="rId556" ref="K556"/>
    <hyperlink r:id="rId557" ref="K557"/>
    <hyperlink r:id="rId558" ref="K558"/>
    <hyperlink r:id="rId559" ref="K559"/>
    <hyperlink r:id="rId560" ref="K560"/>
    <hyperlink r:id="rId561" ref="K561"/>
    <hyperlink r:id="rId562" ref="K562"/>
    <hyperlink r:id="rId563" ref="K563"/>
    <hyperlink r:id="rId564" ref="K564"/>
    <hyperlink r:id="rId565" ref="K565"/>
    <hyperlink r:id="rId566" ref="K566"/>
    <hyperlink r:id="rId567" ref="K567"/>
    <hyperlink r:id="rId568" ref="K568"/>
    <hyperlink r:id="rId569" ref="K569"/>
    <hyperlink r:id="rId570" ref="K570"/>
    <hyperlink r:id="rId571" ref="K571"/>
    <hyperlink r:id="rId572" ref="K572"/>
    <hyperlink r:id="rId573" ref="K573"/>
    <hyperlink r:id="rId574" ref="K574"/>
    <hyperlink r:id="rId575" ref="K575"/>
    <hyperlink r:id="rId576" ref="K576"/>
    <hyperlink r:id="rId577" ref="K577"/>
    <hyperlink r:id="rId578" ref="K578"/>
    <hyperlink r:id="rId579" ref="K579"/>
    <hyperlink r:id="rId580" ref="K580"/>
    <hyperlink r:id="rId581" ref="K581"/>
    <hyperlink r:id="rId582" ref="K582"/>
    <hyperlink r:id="rId583" ref="K583"/>
    <hyperlink r:id="rId584" ref="K584"/>
    <hyperlink r:id="rId585" ref="K585"/>
    <hyperlink r:id="rId586" ref="K586"/>
    <hyperlink r:id="rId587" ref="K587"/>
    <hyperlink r:id="rId588" ref="K588"/>
    <hyperlink r:id="rId589" ref="K589"/>
    <hyperlink r:id="rId590" ref="K590"/>
    <hyperlink r:id="rId591" ref="K591"/>
    <hyperlink r:id="rId592" ref="K592"/>
    <hyperlink r:id="rId593" ref="K593"/>
    <hyperlink r:id="rId594" ref="K594"/>
    <hyperlink r:id="rId595" ref="K595"/>
    <hyperlink r:id="rId596" ref="K596"/>
    <hyperlink r:id="rId597" ref="K597"/>
    <hyperlink r:id="rId598" ref="K598"/>
    <hyperlink r:id="rId599" ref="K599"/>
    <hyperlink r:id="rId600" ref="K600"/>
    <hyperlink r:id="rId601" ref="K601"/>
    <hyperlink r:id="rId602" ref="K602"/>
    <hyperlink r:id="rId603" ref="K603"/>
    <hyperlink r:id="rId604" ref="K604"/>
    <hyperlink r:id="rId605" ref="K605"/>
    <hyperlink r:id="rId606" ref="K606"/>
    <hyperlink r:id="rId607" ref="K607"/>
    <hyperlink r:id="rId608" ref="K608"/>
    <hyperlink r:id="rId609" ref="K609"/>
    <hyperlink r:id="rId610" ref="K610"/>
    <hyperlink r:id="rId611" ref="K611"/>
    <hyperlink r:id="rId612" ref="K612"/>
    <hyperlink r:id="rId613" ref="K613"/>
    <hyperlink r:id="rId614" ref="K614"/>
    <hyperlink r:id="rId615" ref="K615"/>
    <hyperlink r:id="rId616" ref="K616"/>
    <hyperlink r:id="rId617" ref="K617"/>
    <hyperlink r:id="rId618" ref="K618"/>
    <hyperlink r:id="rId619" ref="K619"/>
    <hyperlink r:id="rId620" ref="K620"/>
    <hyperlink r:id="rId621" ref="K621"/>
    <hyperlink r:id="rId622" ref="K622"/>
    <hyperlink r:id="rId623" ref="K623"/>
    <hyperlink r:id="rId624" ref="K624"/>
    <hyperlink r:id="rId625" ref="K625"/>
    <hyperlink r:id="rId626" ref="K626"/>
    <hyperlink r:id="rId627" ref="K627"/>
    <hyperlink r:id="rId628" ref="K628"/>
    <hyperlink r:id="rId629" ref="K629"/>
    <hyperlink r:id="rId630" ref="K630"/>
    <hyperlink r:id="rId631" ref="K631"/>
    <hyperlink r:id="rId632" ref="K632"/>
    <hyperlink r:id="rId633" ref="K633"/>
    <hyperlink r:id="rId634" ref="K634"/>
    <hyperlink r:id="rId635" ref="K635"/>
    <hyperlink r:id="rId636" ref="K636"/>
    <hyperlink r:id="rId637" ref="K637"/>
    <hyperlink r:id="rId638" ref="K638"/>
    <hyperlink r:id="rId639" ref="K639"/>
    <hyperlink r:id="rId640" ref="K640"/>
    <hyperlink r:id="rId641" ref="K641"/>
    <hyperlink r:id="rId642" ref="K642"/>
    <hyperlink r:id="rId643" ref="K643"/>
    <hyperlink r:id="rId644" ref="K644"/>
    <hyperlink r:id="rId645" ref="K645"/>
    <hyperlink r:id="rId646" ref="K646"/>
    <hyperlink r:id="rId647" ref="K647"/>
    <hyperlink r:id="rId648" ref="K648"/>
    <hyperlink r:id="rId649" ref="K649"/>
    <hyperlink r:id="rId650" ref="K650"/>
    <hyperlink r:id="rId651" ref="K651"/>
    <hyperlink r:id="rId652" ref="K652"/>
    <hyperlink r:id="rId653" ref="K653"/>
    <hyperlink r:id="rId654" ref="K654"/>
    <hyperlink r:id="rId655" ref="K655"/>
    <hyperlink r:id="rId656" ref="K656"/>
    <hyperlink r:id="rId657" ref="K657"/>
    <hyperlink r:id="rId658" ref="K658"/>
    <hyperlink r:id="rId659" ref="K659"/>
    <hyperlink r:id="rId660" ref="K660"/>
    <hyperlink r:id="rId661" ref="K661"/>
    <hyperlink r:id="rId662" ref="K662"/>
    <hyperlink r:id="rId663" ref="K663"/>
    <hyperlink r:id="rId664" ref="K664"/>
    <hyperlink r:id="rId665" ref="K665"/>
    <hyperlink r:id="rId666" ref="K666"/>
    <hyperlink r:id="rId667" ref="K667"/>
    <hyperlink r:id="rId668" ref="K668"/>
    <hyperlink r:id="rId669" ref="K669"/>
    <hyperlink r:id="rId670" ref="K670"/>
    <hyperlink r:id="rId671" ref="K671"/>
    <hyperlink r:id="rId672" ref="K672"/>
    <hyperlink r:id="rId673" ref="K673"/>
    <hyperlink r:id="rId674" ref="K674"/>
    <hyperlink r:id="rId675" ref="K675"/>
    <hyperlink r:id="rId676" ref="K676"/>
    <hyperlink r:id="rId677" ref="K677"/>
    <hyperlink r:id="rId678" ref="K678"/>
    <hyperlink r:id="rId679" ref="K679"/>
    <hyperlink r:id="rId680" ref="K680"/>
    <hyperlink r:id="rId681" ref="K681"/>
    <hyperlink r:id="rId682" ref="K682"/>
    <hyperlink r:id="rId683" ref="K683"/>
    <hyperlink r:id="rId684" ref="K684"/>
    <hyperlink r:id="rId685" ref="K685"/>
    <hyperlink r:id="rId686" ref="K686"/>
    <hyperlink r:id="rId687" ref="K687"/>
    <hyperlink r:id="rId688" ref="K688"/>
    <hyperlink r:id="rId689" ref="K689"/>
    <hyperlink r:id="rId690" ref="K690"/>
    <hyperlink r:id="rId691" ref="K691"/>
    <hyperlink r:id="rId692" ref="K692"/>
    <hyperlink r:id="rId693" ref="K693"/>
    <hyperlink r:id="rId694" ref="K694"/>
    <hyperlink r:id="rId695" ref="K695"/>
    <hyperlink r:id="rId696" ref="K696"/>
    <hyperlink r:id="rId697" ref="K697"/>
    <hyperlink r:id="rId698" ref="K698"/>
    <hyperlink r:id="rId699" ref="K699"/>
    <hyperlink r:id="rId700" ref="K700"/>
    <hyperlink r:id="rId701" ref="K701"/>
    <hyperlink r:id="rId702" ref="K702"/>
    <hyperlink r:id="rId703" ref="K703"/>
    <hyperlink r:id="rId704" ref="K704"/>
    <hyperlink r:id="rId705" ref="K705"/>
    <hyperlink r:id="rId706" ref="K706"/>
    <hyperlink r:id="rId707" ref="K707"/>
    <hyperlink r:id="rId708" ref="K708"/>
    <hyperlink r:id="rId709" ref="K709"/>
    <hyperlink r:id="rId710" ref="K710"/>
    <hyperlink r:id="rId711" ref="K711"/>
    <hyperlink r:id="rId712" ref="K712"/>
    <hyperlink r:id="rId713" ref="K713"/>
    <hyperlink r:id="rId714" ref="K714"/>
    <hyperlink r:id="rId715" ref="K715"/>
    <hyperlink r:id="rId716" ref="K716"/>
    <hyperlink r:id="rId717" ref="K717"/>
    <hyperlink r:id="rId718" ref="K718"/>
    <hyperlink r:id="rId719" ref="K719"/>
    <hyperlink r:id="rId720" ref="K720"/>
    <hyperlink r:id="rId721" ref="K721"/>
    <hyperlink r:id="rId722" ref="K722"/>
    <hyperlink r:id="rId723" ref="K723"/>
    <hyperlink r:id="rId724" ref="K724"/>
    <hyperlink r:id="rId725" ref="K725"/>
    <hyperlink r:id="rId726" ref="K726"/>
    <hyperlink r:id="rId727" ref="K727"/>
    <hyperlink r:id="rId728" ref="K728"/>
    <hyperlink r:id="rId729" ref="K729"/>
    <hyperlink r:id="rId730" ref="K730"/>
    <hyperlink r:id="rId731" ref="K731"/>
    <hyperlink r:id="rId732" ref="K732"/>
    <hyperlink r:id="rId733" ref="K733"/>
    <hyperlink r:id="rId734" ref="K734"/>
    <hyperlink r:id="rId735" ref="K735"/>
    <hyperlink r:id="rId736" ref="K736"/>
    <hyperlink r:id="rId737" ref="K737"/>
    <hyperlink r:id="rId738" ref="K738"/>
    <hyperlink r:id="rId739" ref="K739"/>
    <hyperlink r:id="rId740" ref="K740"/>
    <hyperlink r:id="rId741" ref="K741"/>
    <hyperlink r:id="rId742" ref="K742"/>
    <hyperlink r:id="rId743" ref="K743"/>
    <hyperlink r:id="rId744" ref="K744"/>
    <hyperlink r:id="rId745" ref="K745"/>
    <hyperlink r:id="rId746" ref="K746"/>
    <hyperlink r:id="rId747" ref="K747"/>
    <hyperlink r:id="rId748" ref="K748"/>
    <hyperlink r:id="rId749" ref="K749"/>
    <hyperlink r:id="rId750" ref="K750"/>
    <hyperlink r:id="rId751" ref="K751"/>
    <hyperlink r:id="rId752" ref="K752"/>
    <hyperlink r:id="rId753" ref="K753"/>
    <hyperlink r:id="rId754" ref="K754"/>
    <hyperlink r:id="rId755" ref="K755"/>
    <hyperlink r:id="rId756" ref="K756"/>
    <hyperlink r:id="rId757" ref="K757"/>
    <hyperlink r:id="rId758" ref="K758"/>
    <hyperlink r:id="rId759" ref="K759"/>
    <hyperlink r:id="rId760" ref="K760"/>
    <hyperlink r:id="rId761" ref="K761"/>
    <hyperlink r:id="rId762" ref="K762"/>
    <hyperlink r:id="rId763" ref="K763"/>
    <hyperlink r:id="rId764" ref="K764"/>
    <hyperlink r:id="rId765" ref="K765"/>
    <hyperlink r:id="rId766" ref="K766"/>
    <hyperlink r:id="rId767" ref="K767"/>
    <hyperlink r:id="rId768" ref="K768"/>
    <hyperlink r:id="rId769" ref="K769"/>
    <hyperlink r:id="rId770" ref="K770"/>
    <hyperlink r:id="rId771" ref="K771"/>
    <hyperlink r:id="rId772" ref="K772"/>
    <hyperlink r:id="rId773" ref="K773"/>
    <hyperlink r:id="rId774" ref="K774"/>
    <hyperlink r:id="rId775" ref="K775"/>
    <hyperlink r:id="rId776" ref="K776"/>
    <hyperlink r:id="rId777" ref="K777"/>
    <hyperlink r:id="rId778" ref="K778"/>
    <hyperlink r:id="rId779" ref="K779"/>
    <hyperlink r:id="rId780" ref="K780"/>
    <hyperlink r:id="rId781" ref="K781"/>
    <hyperlink r:id="rId782" ref="K782"/>
    <hyperlink r:id="rId783" ref="K783"/>
    <hyperlink r:id="rId784" ref="K784"/>
    <hyperlink r:id="rId785" ref="K785"/>
    <hyperlink r:id="rId786" ref="K786"/>
    <hyperlink r:id="rId787" ref="K787"/>
    <hyperlink r:id="rId788" ref="K788"/>
    <hyperlink r:id="rId789" ref="K789"/>
    <hyperlink r:id="rId790" ref="K790"/>
    <hyperlink r:id="rId791" ref="K791"/>
    <hyperlink r:id="rId792" ref="K792"/>
    <hyperlink r:id="rId793" ref="K793"/>
    <hyperlink r:id="rId794" ref="K794"/>
    <hyperlink r:id="rId795" ref="K795"/>
    <hyperlink r:id="rId796" ref="K796"/>
    <hyperlink r:id="rId797" ref="K797"/>
    <hyperlink r:id="rId798" ref="K798"/>
    <hyperlink r:id="rId799" ref="K799"/>
    <hyperlink r:id="rId800" ref="K800"/>
    <hyperlink r:id="rId801" ref="K801"/>
    <hyperlink r:id="rId802" ref="K802"/>
    <hyperlink r:id="rId803" ref="K803"/>
    <hyperlink r:id="rId804" ref="K804"/>
    <hyperlink r:id="rId805" ref="K805"/>
    <hyperlink r:id="rId806" ref="K806"/>
    <hyperlink r:id="rId807" ref="K807"/>
    <hyperlink r:id="rId808" ref="K808"/>
    <hyperlink r:id="rId809" ref="K809"/>
    <hyperlink r:id="rId810" ref="K810"/>
    <hyperlink r:id="rId811" ref="K811"/>
    <hyperlink r:id="rId812" ref="K812"/>
    <hyperlink r:id="rId813" ref="K813"/>
    <hyperlink r:id="rId814" ref="K814"/>
    <hyperlink r:id="rId815" ref="K815"/>
    <hyperlink r:id="rId816" ref="K816"/>
    <hyperlink r:id="rId817" ref="K817"/>
    <hyperlink r:id="rId818" ref="K818"/>
    <hyperlink r:id="rId819" ref="K819"/>
    <hyperlink r:id="rId820" ref="K820"/>
    <hyperlink r:id="rId821" ref="K821"/>
    <hyperlink r:id="rId822" ref="K822"/>
    <hyperlink r:id="rId823" ref="K823"/>
    <hyperlink r:id="rId824" ref="K824"/>
    <hyperlink r:id="rId825" ref="K825"/>
    <hyperlink r:id="rId826" ref="K826"/>
    <hyperlink r:id="rId827" ref="K827"/>
    <hyperlink r:id="rId828" ref="K828"/>
    <hyperlink r:id="rId829" ref="K829"/>
    <hyperlink r:id="rId830" ref="K830"/>
    <hyperlink r:id="rId831" ref="K831"/>
    <hyperlink r:id="rId832" ref="K832"/>
    <hyperlink r:id="rId833" ref="K833"/>
    <hyperlink r:id="rId834" ref="K834"/>
    <hyperlink r:id="rId835" ref="K835"/>
    <hyperlink r:id="rId836" ref="K836"/>
    <hyperlink r:id="rId837" ref="K837"/>
    <hyperlink r:id="rId838" ref="K838"/>
    <hyperlink r:id="rId839" ref="K839"/>
    <hyperlink r:id="rId840" ref="K840"/>
    <hyperlink r:id="rId841" ref="K841"/>
    <hyperlink r:id="rId842" ref="K842"/>
    <hyperlink r:id="rId843" ref="K843"/>
    <hyperlink r:id="rId844" ref="K844"/>
    <hyperlink r:id="rId845" ref="K845"/>
    <hyperlink r:id="rId846" ref="K846"/>
    <hyperlink r:id="rId847" ref="K847"/>
    <hyperlink r:id="rId848" ref="K848"/>
    <hyperlink r:id="rId849" ref="K849"/>
    <hyperlink r:id="rId850" ref="K850"/>
    <hyperlink r:id="rId851" ref="K851"/>
    <hyperlink r:id="rId852" ref="K852"/>
    <hyperlink r:id="rId853" ref="K853"/>
    <hyperlink r:id="rId854" ref="K854"/>
    <hyperlink r:id="rId855" ref="K855"/>
    <hyperlink r:id="rId856" ref="K856"/>
    <hyperlink r:id="rId857" ref="K857"/>
    <hyperlink r:id="rId858" ref="K858"/>
    <hyperlink r:id="rId859" ref="K859"/>
    <hyperlink r:id="rId860" ref="K860"/>
    <hyperlink r:id="rId861" ref="K861"/>
    <hyperlink r:id="rId862" ref="K862"/>
    <hyperlink r:id="rId863" ref="K863"/>
    <hyperlink r:id="rId864" ref="K864"/>
    <hyperlink r:id="rId865" ref="K865"/>
    <hyperlink r:id="rId866" ref="K866"/>
    <hyperlink r:id="rId867" ref="K867"/>
    <hyperlink r:id="rId868" ref="K868"/>
    <hyperlink r:id="rId869" ref="K869"/>
    <hyperlink r:id="rId870" ref="K870"/>
    <hyperlink r:id="rId871" ref="K871"/>
    <hyperlink r:id="rId872" ref="K872"/>
    <hyperlink r:id="rId873" ref="K873"/>
    <hyperlink r:id="rId874" ref="K874"/>
    <hyperlink r:id="rId875" ref="K875"/>
    <hyperlink r:id="rId876" ref="K876"/>
    <hyperlink r:id="rId877" ref="K877"/>
    <hyperlink r:id="rId878" ref="K878"/>
    <hyperlink r:id="rId879" ref="K879"/>
    <hyperlink r:id="rId880" ref="K880"/>
    <hyperlink r:id="rId881" ref="K881"/>
    <hyperlink r:id="rId882" ref="K882"/>
    <hyperlink r:id="rId883" ref="K883"/>
    <hyperlink r:id="rId884" ref="K884"/>
    <hyperlink r:id="rId885" ref="K885"/>
    <hyperlink r:id="rId886" ref="K886"/>
    <hyperlink r:id="rId887" ref="K887"/>
    <hyperlink r:id="rId888" ref="K888"/>
    <hyperlink r:id="rId889" ref="K889"/>
    <hyperlink r:id="rId890" ref="K890"/>
    <hyperlink r:id="rId891" ref="K891"/>
    <hyperlink r:id="rId892" ref="K892"/>
    <hyperlink r:id="rId893" ref="K893"/>
    <hyperlink r:id="rId894" ref="K894"/>
    <hyperlink r:id="rId895" ref="K895"/>
    <hyperlink r:id="rId896" ref="K896"/>
    <hyperlink r:id="rId897" ref="K897"/>
    <hyperlink r:id="rId898" ref="K898"/>
    <hyperlink r:id="rId899" ref="K899"/>
    <hyperlink r:id="rId900" ref="K900"/>
    <hyperlink r:id="rId901" ref="K901"/>
    <hyperlink r:id="rId902" ref="K902"/>
    <hyperlink r:id="rId903" ref="K903"/>
    <hyperlink r:id="rId904" ref="K904"/>
    <hyperlink r:id="rId905" ref="K905"/>
    <hyperlink r:id="rId906" ref="K906"/>
    <hyperlink r:id="rId907" ref="K907"/>
    <hyperlink r:id="rId908" ref="K908"/>
    <hyperlink r:id="rId909" ref="K909"/>
    <hyperlink r:id="rId910" ref="K910"/>
    <hyperlink r:id="rId911" ref="K911"/>
    <hyperlink r:id="rId912" ref="K912"/>
    <hyperlink r:id="rId913" ref="K913"/>
    <hyperlink r:id="rId914" ref="K914"/>
    <hyperlink r:id="rId915" ref="K915"/>
    <hyperlink r:id="rId916" ref="K916"/>
    <hyperlink r:id="rId917" ref="K917"/>
    <hyperlink r:id="rId918" ref="K918"/>
    <hyperlink r:id="rId919" ref="K919"/>
    <hyperlink r:id="rId920" ref="K920"/>
    <hyperlink r:id="rId921" ref="K921"/>
    <hyperlink r:id="rId922" ref="K922"/>
    <hyperlink r:id="rId923" ref="K923"/>
    <hyperlink r:id="rId924" ref="K924"/>
    <hyperlink r:id="rId925" ref="K925"/>
    <hyperlink r:id="rId926" ref="K926"/>
    <hyperlink r:id="rId927" ref="K927"/>
    <hyperlink r:id="rId928" ref="K928"/>
    <hyperlink r:id="rId929" ref="K929"/>
    <hyperlink r:id="rId930" ref="K930"/>
    <hyperlink r:id="rId931" ref="K931"/>
    <hyperlink r:id="rId932" ref="K932"/>
    <hyperlink r:id="rId933" ref="K933"/>
    <hyperlink r:id="rId934" ref="K934"/>
    <hyperlink r:id="rId935" ref="K935"/>
    <hyperlink r:id="rId936" ref="K936"/>
    <hyperlink r:id="rId937" ref="K937"/>
    <hyperlink r:id="rId938" ref="K938"/>
    <hyperlink r:id="rId939" ref="K939"/>
    <hyperlink r:id="rId940" ref="K940"/>
    <hyperlink r:id="rId941" ref="K941"/>
    <hyperlink r:id="rId942" ref="K942"/>
    <hyperlink r:id="rId943" ref="K943"/>
    <hyperlink r:id="rId944" ref="K944"/>
    <hyperlink r:id="rId945" ref="K945"/>
    <hyperlink r:id="rId946" ref="K946"/>
    <hyperlink r:id="rId947" ref="K947"/>
    <hyperlink r:id="rId948" ref="K948"/>
    <hyperlink r:id="rId949" ref="K949"/>
    <hyperlink r:id="rId950" ref="K950"/>
    <hyperlink r:id="rId951" ref="K951"/>
    <hyperlink r:id="rId952" ref="K952"/>
    <hyperlink r:id="rId953" ref="K953"/>
    <hyperlink r:id="rId954" ref="K954"/>
    <hyperlink r:id="rId955" ref="K955"/>
    <hyperlink r:id="rId956" ref="K956"/>
    <hyperlink r:id="rId957" ref="K957"/>
    <hyperlink r:id="rId958" ref="K958"/>
    <hyperlink r:id="rId959" ref="K959"/>
    <hyperlink r:id="rId960" ref="K960"/>
    <hyperlink r:id="rId961" ref="K961"/>
    <hyperlink r:id="rId962" ref="K962"/>
    <hyperlink r:id="rId963" ref="K963"/>
    <hyperlink r:id="rId964" ref="K964"/>
    <hyperlink r:id="rId965" ref="K965"/>
    <hyperlink r:id="rId966" ref="K966"/>
    <hyperlink r:id="rId967" ref="K967"/>
    <hyperlink r:id="rId968" ref="K968"/>
    <hyperlink r:id="rId969" ref="K969"/>
    <hyperlink r:id="rId970" ref="K970"/>
    <hyperlink r:id="rId971" ref="K971"/>
    <hyperlink r:id="rId972" ref="K972"/>
    <hyperlink r:id="rId973" ref="K973"/>
    <hyperlink r:id="rId974" ref="K974"/>
    <hyperlink r:id="rId975" ref="K975"/>
    <hyperlink r:id="rId976" ref="K976"/>
    <hyperlink r:id="rId977" ref="K977"/>
    <hyperlink r:id="rId978" ref="K978"/>
    <hyperlink r:id="rId979" ref="K979"/>
    <hyperlink r:id="rId980" ref="K980"/>
    <hyperlink r:id="rId981" ref="K981"/>
    <hyperlink r:id="rId982" ref="K982"/>
    <hyperlink r:id="rId983" ref="K983"/>
    <hyperlink r:id="rId984" ref="K984"/>
    <hyperlink r:id="rId985" ref="K985"/>
    <hyperlink r:id="rId986" ref="K986"/>
    <hyperlink r:id="rId987" ref="K987"/>
    <hyperlink r:id="rId988" ref="K988"/>
    <hyperlink r:id="rId989" ref="K989"/>
    <hyperlink r:id="rId990" ref="K990"/>
    <hyperlink r:id="rId991" ref="K991"/>
    <hyperlink r:id="rId992" ref="K992"/>
    <hyperlink r:id="rId993" ref="K993"/>
    <hyperlink r:id="rId994" ref="K994"/>
    <hyperlink r:id="rId995" ref="K995"/>
    <hyperlink r:id="rId996" ref="K996"/>
    <hyperlink r:id="rId997" ref="K997"/>
    <hyperlink r:id="rId998" ref="K998"/>
    <hyperlink r:id="rId999" ref="K999"/>
    <hyperlink r:id="rId1000" ref="K1000"/>
    <hyperlink r:id="rId1001" ref="K1001"/>
    <hyperlink r:id="rId1002" ref="K1002"/>
    <hyperlink r:id="rId1003" ref="K1003"/>
    <hyperlink r:id="rId1004" ref="K1004"/>
    <hyperlink r:id="rId1005" ref="K1005"/>
    <hyperlink r:id="rId1006" ref="K1006"/>
    <hyperlink r:id="rId1007" ref="K1007"/>
    <hyperlink r:id="rId1008" ref="K1008"/>
    <hyperlink r:id="rId1009" ref="K1009"/>
    <hyperlink r:id="rId1010" ref="K1010"/>
    <hyperlink r:id="rId1011" ref="K1011"/>
    <hyperlink r:id="rId1012" ref="K1012"/>
    <hyperlink r:id="rId1013" ref="K1013"/>
    <hyperlink r:id="rId1014" ref="K1014"/>
    <hyperlink r:id="rId1015" ref="K1015"/>
    <hyperlink r:id="rId1016" ref="K1016"/>
    <hyperlink r:id="rId1017" ref="K1017"/>
    <hyperlink r:id="rId1018" ref="K1018"/>
    <hyperlink r:id="rId1019" ref="K1019"/>
    <hyperlink r:id="rId1020" ref="K1020"/>
    <hyperlink r:id="rId1021" ref="K1021"/>
    <hyperlink r:id="rId1022" ref="K1022"/>
    <hyperlink r:id="rId1023" ref="K1023"/>
    <hyperlink r:id="rId1024" ref="K1024"/>
    <hyperlink r:id="rId1025" ref="K1025"/>
    <hyperlink r:id="rId1026" ref="K1026"/>
    <hyperlink r:id="rId1027" ref="K1027"/>
    <hyperlink r:id="rId1028" ref="K1028"/>
    <hyperlink r:id="rId1029" ref="K1029"/>
    <hyperlink r:id="rId1030" ref="K1030"/>
    <hyperlink r:id="rId1031" ref="K1031"/>
    <hyperlink r:id="rId1032" ref="K1032"/>
    <hyperlink r:id="rId1033" ref="K1033"/>
    <hyperlink r:id="rId1034" ref="K1034"/>
    <hyperlink r:id="rId1035" ref="K1035"/>
    <hyperlink r:id="rId1036" ref="K1036"/>
    <hyperlink r:id="rId1037" ref="K1037"/>
    <hyperlink r:id="rId1038" ref="K1038"/>
    <hyperlink r:id="rId1039" ref="K1039"/>
    <hyperlink r:id="rId1040" ref="K1040"/>
    <hyperlink r:id="rId1041" ref="K1041"/>
    <hyperlink r:id="rId1042" ref="K1042"/>
    <hyperlink r:id="rId1043" ref="K1043"/>
    <hyperlink r:id="rId1044" ref="K1044"/>
    <hyperlink r:id="rId1045" ref="K1045"/>
    <hyperlink r:id="rId1046" ref="K1046"/>
    <hyperlink r:id="rId1047" ref="K1047"/>
    <hyperlink r:id="rId1048" ref="K1048"/>
    <hyperlink r:id="rId1049" ref="K1049"/>
    <hyperlink r:id="rId1050" ref="K1050"/>
    <hyperlink r:id="rId1051" ref="K1051"/>
    <hyperlink r:id="rId1052" ref="K1052"/>
    <hyperlink r:id="rId1053" ref="K1053"/>
    <hyperlink r:id="rId1054" ref="K1054"/>
    <hyperlink r:id="rId1055" ref="K1055"/>
    <hyperlink r:id="rId1056" ref="K1056"/>
    <hyperlink r:id="rId1057" ref="K1057"/>
    <hyperlink r:id="rId1058" ref="K1058"/>
    <hyperlink r:id="rId1059" ref="K1059"/>
    <hyperlink r:id="rId1060" ref="K1060"/>
    <hyperlink r:id="rId1061" ref="K1061"/>
    <hyperlink r:id="rId1062" ref="K1062"/>
    <hyperlink r:id="rId1063" ref="K1063"/>
    <hyperlink r:id="rId1064" ref="K1064"/>
    <hyperlink r:id="rId1065" ref="K1065"/>
    <hyperlink r:id="rId1066" ref="K1066"/>
    <hyperlink r:id="rId1067" ref="K1067"/>
    <hyperlink r:id="rId1068" ref="K1068"/>
    <hyperlink r:id="rId1069" ref="K1069"/>
    <hyperlink r:id="rId1070" ref="K1070"/>
    <hyperlink r:id="rId1071" ref="K1071"/>
    <hyperlink r:id="rId1072" ref="K1072"/>
    <hyperlink r:id="rId1073" ref="K1073"/>
    <hyperlink r:id="rId1074" ref="K1074"/>
    <hyperlink r:id="rId1075" ref="K1075"/>
    <hyperlink r:id="rId1076" ref="K1076"/>
    <hyperlink r:id="rId1077" ref="K1077"/>
    <hyperlink r:id="rId1078" ref="K1078"/>
    <hyperlink r:id="rId1079" ref="K1079"/>
    <hyperlink r:id="rId1080" ref="K1080"/>
    <hyperlink r:id="rId1081" ref="K1081"/>
    <hyperlink r:id="rId1082" ref="K1082"/>
    <hyperlink r:id="rId1083" ref="K1083"/>
    <hyperlink r:id="rId1084" ref="K1084"/>
    <hyperlink r:id="rId1085" ref="K1085"/>
    <hyperlink r:id="rId1086" ref="K1086"/>
    <hyperlink r:id="rId1087" ref="K1087"/>
    <hyperlink r:id="rId1088" ref="K1088"/>
    <hyperlink r:id="rId1089" ref="K1089"/>
    <hyperlink r:id="rId1090" ref="K1090"/>
    <hyperlink r:id="rId1091" ref="K1091"/>
    <hyperlink r:id="rId1092" ref="K1092"/>
    <hyperlink r:id="rId1093" ref="K1093"/>
    <hyperlink r:id="rId1094" ref="K1094"/>
    <hyperlink r:id="rId1095" ref="K1095"/>
    <hyperlink r:id="rId1096" ref="K1096"/>
    <hyperlink r:id="rId1097" ref="K1097"/>
    <hyperlink r:id="rId1098" ref="K1098"/>
    <hyperlink r:id="rId1099" ref="K1099"/>
    <hyperlink r:id="rId1100" ref="K1100"/>
    <hyperlink r:id="rId1101" ref="K1101"/>
    <hyperlink r:id="rId1102" ref="K1102"/>
    <hyperlink r:id="rId1103" ref="K1103"/>
    <hyperlink r:id="rId1104" ref="K1104"/>
    <hyperlink r:id="rId1105" ref="K1105"/>
    <hyperlink r:id="rId1106" ref="K1106"/>
    <hyperlink r:id="rId1107" ref="K1107"/>
    <hyperlink r:id="rId1108" ref="K1108"/>
    <hyperlink r:id="rId1109" ref="K1109"/>
    <hyperlink r:id="rId1110" ref="K1110"/>
    <hyperlink r:id="rId1111" ref="K1111"/>
    <hyperlink r:id="rId1112" ref="K1112"/>
    <hyperlink r:id="rId1113" ref="K1113"/>
    <hyperlink r:id="rId1114" ref="K1114"/>
    <hyperlink r:id="rId1115" ref="K1115"/>
    <hyperlink r:id="rId1116" ref="K1116"/>
    <hyperlink r:id="rId1117" ref="K1117"/>
    <hyperlink r:id="rId1118" ref="K1118"/>
    <hyperlink r:id="rId1119" ref="K1119"/>
    <hyperlink r:id="rId1120" ref="K1120"/>
    <hyperlink r:id="rId1121" ref="K1121"/>
    <hyperlink r:id="rId1122" ref="K1122"/>
    <hyperlink r:id="rId1123" ref="K1123"/>
    <hyperlink r:id="rId1124" ref="K1124"/>
    <hyperlink r:id="rId1125" ref="K1125"/>
    <hyperlink r:id="rId1126" ref="K1126"/>
    <hyperlink r:id="rId1127" ref="K1127"/>
    <hyperlink r:id="rId1128" ref="K1128"/>
    <hyperlink r:id="rId1129" ref="K1129"/>
    <hyperlink r:id="rId1130" ref="K1130"/>
    <hyperlink r:id="rId1131" ref="K1131"/>
    <hyperlink r:id="rId1132" ref="K1132"/>
    <hyperlink r:id="rId1133" ref="K1133"/>
    <hyperlink r:id="rId1134" ref="K1134"/>
    <hyperlink r:id="rId1135" ref="K1135"/>
    <hyperlink r:id="rId1136" ref="K1136"/>
    <hyperlink r:id="rId1137" ref="K1137"/>
    <hyperlink r:id="rId1138" ref="K1138"/>
    <hyperlink r:id="rId1139" ref="K1139"/>
    <hyperlink r:id="rId1140" ref="K1140"/>
    <hyperlink r:id="rId1141" ref="K1141"/>
    <hyperlink r:id="rId1142" ref="K1142"/>
    <hyperlink r:id="rId1143" ref="K1143"/>
    <hyperlink r:id="rId1144" ref="K1144"/>
    <hyperlink r:id="rId1145" ref="K1145"/>
    <hyperlink r:id="rId1146" ref="K1146"/>
    <hyperlink r:id="rId1147" ref="K1147"/>
    <hyperlink r:id="rId1148" ref="K1148"/>
    <hyperlink r:id="rId1149" ref="K1149"/>
    <hyperlink r:id="rId1150" ref="K1150"/>
    <hyperlink r:id="rId1151" ref="K1151"/>
    <hyperlink r:id="rId1152" ref="K1152"/>
    <hyperlink r:id="rId1153" ref="K1153"/>
    <hyperlink r:id="rId1154" ref="K1154"/>
    <hyperlink r:id="rId1155" ref="K1155"/>
    <hyperlink r:id="rId1156" ref="K1156"/>
    <hyperlink r:id="rId1157" ref="K1157"/>
    <hyperlink r:id="rId1158" ref="K1158"/>
    <hyperlink r:id="rId1159" ref="K1159"/>
    <hyperlink r:id="rId1160" ref="K1160"/>
    <hyperlink r:id="rId1161" ref="K1161"/>
    <hyperlink r:id="rId1162" ref="K1162"/>
    <hyperlink r:id="rId1163" ref="K1163"/>
    <hyperlink r:id="rId1164" ref="K1164"/>
    <hyperlink r:id="rId1165" ref="K1165"/>
    <hyperlink r:id="rId1166" ref="K1166"/>
    <hyperlink r:id="rId1167" ref="K1167"/>
    <hyperlink r:id="rId1168" ref="K1168"/>
    <hyperlink r:id="rId1169" ref="K1169"/>
    <hyperlink r:id="rId1170" ref="K1170"/>
    <hyperlink r:id="rId1171" ref="K1171"/>
    <hyperlink r:id="rId1172" ref="K1172"/>
    <hyperlink r:id="rId1173" ref="K1173"/>
    <hyperlink r:id="rId1174" ref="K1174"/>
    <hyperlink r:id="rId1175" ref="K1175"/>
    <hyperlink r:id="rId1176" ref="K1176"/>
    <hyperlink r:id="rId1177" ref="K1177"/>
    <hyperlink r:id="rId1178" ref="K1178"/>
    <hyperlink r:id="rId1179" ref="K1179"/>
    <hyperlink r:id="rId1180" ref="K1180"/>
    <hyperlink r:id="rId1181" ref="K1181"/>
    <hyperlink r:id="rId1182" ref="K1182"/>
    <hyperlink r:id="rId1183" ref="K1183"/>
    <hyperlink r:id="rId1184" ref="K1184"/>
    <hyperlink r:id="rId1185" ref="K1185"/>
    <hyperlink r:id="rId1186" ref="K1186"/>
    <hyperlink r:id="rId1187" ref="K1187"/>
    <hyperlink r:id="rId1188" ref="K1188"/>
    <hyperlink r:id="rId1189" ref="K1189"/>
    <hyperlink r:id="rId1190" ref="K1190"/>
    <hyperlink r:id="rId1191" ref="K1191"/>
    <hyperlink r:id="rId1192" ref="K1192"/>
    <hyperlink r:id="rId1193" ref="K1193"/>
    <hyperlink r:id="rId1194" ref="K1194"/>
    <hyperlink r:id="rId1195" ref="K1195"/>
    <hyperlink r:id="rId1196" ref="K1196"/>
    <hyperlink r:id="rId1197" ref="K1197"/>
    <hyperlink r:id="rId1198" ref="K1198"/>
    <hyperlink r:id="rId1199" ref="K1199"/>
    <hyperlink r:id="rId1200" ref="K1200"/>
    <hyperlink r:id="rId1201" ref="K1201"/>
    <hyperlink r:id="rId1202" ref="K1202"/>
    <hyperlink r:id="rId1203" ref="K1203"/>
    <hyperlink r:id="rId1204" ref="K1204"/>
    <hyperlink r:id="rId1205" ref="K1205"/>
    <hyperlink r:id="rId1206" ref="K1206"/>
    <hyperlink r:id="rId1207" ref="K1207"/>
    <hyperlink r:id="rId1208" ref="K1208"/>
    <hyperlink r:id="rId1209" ref="K1209"/>
    <hyperlink r:id="rId1210" ref="K1210"/>
    <hyperlink r:id="rId1211" ref="K1211"/>
    <hyperlink r:id="rId1212" ref="K1212"/>
    <hyperlink r:id="rId1213" ref="K1213"/>
    <hyperlink r:id="rId1214" ref="K1214"/>
    <hyperlink r:id="rId1215" ref="K1215"/>
    <hyperlink r:id="rId1216" ref="K1216"/>
    <hyperlink r:id="rId1217" ref="K1217"/>
    <hyperlink r:id="rId1218" ref="K1218"/>
    <hyperlink r:id="rId1219" ref="K1219"/>
    <hyperlink r:id="rId1220" ref="K1220"/>
    <hyperlink r:id="rId1221" ref="K1221"/>
    <hyperlink r:id="rId1222" ref="K1222"/>
    <hyperlink r:id="rId1223" ref="K1223"/>
    <hyperlink r:id="rId1224" ref="K1224"/>
    <hyperlink r:id="rId1225" ref="K1225"/>
    <hyperlink r:id="rId1226" ref="K1226"/>
    <hyperlink r:id="rId1227" ref="K1227"/>
    <hyperlink r:id="rId1228" ref="K1228"/>
    <hyperlink r:id="rId1229" ref="K1229"/>
    <hyperlink r:id="rId1230" ref="K1230"/>
    <hyperlink r:id="rId1231" ref="K1231"/>
    <hyperlink r:id="rId1232" ref="K1232"/>
    <hyperlink r:id="rId1233" ref="K1233"/>
    <hyperlink r:id="rId1234" ref="K1234"/>
    <hyperlink r:id="rId1235" ref="K1235"/>
    <hyperlink r:id="rId1236" ref="K1236"/>
    <hyperlink r:id="rId1237" ref="K1237"/>
    <hyperlink r:id="rId1238" ref="K1238"/>
    <hyperlink r:id="rId1239" ref="K1239"/>
    <hyperlink r:id="rId1240" ref="K1240"/>
    <hyperlink r:id="rId1241" ref="K1241"/>
    <hyperlink r:id="rId1242" ref="K1242"/>
    <hyperlink r:id="rId1243" ref="K1243"/>
    <hyperlink r:id="rId1244" ref="K1244"/>
    <hyperlink r:id="rId1245" ref="K1245"/>
    <hyperlink r:id="rId1246" ref="K1246"/>
    <hyperlink r:id="rId1247" ref="K1247"/>
    <hyperlink r:id="rId1248" ref="K1248"/>
    <hyperlink r:id="rId1249" ref="K1249"/>
    <hyperlink r:id="rId1250" ref="K1250"/>
    <hyperlink r:id="rId1251" ref="K1251"/>
    <hyperlink r:id="rId1252" ref="K1252"/>
    <hyperlink r:id="rId1253" ref="K1253"/>
    <hyperlink r:id="rId1254" ref="K1254"/>
    <hyperlink r:id="rId1255" ref="K1255"/>
    <hyperlink r:id="rId1256" ref="K1256"/>
    <hyperlink r:id="rId1257" ref="K1257"/>
    <hyperlink r:id="rId1258" ref="K1258"/>
    <hyperlink r:id="rId1259" ref="K1259"/>
    <hyperlink r:id="rId1260" ref="K1260"/>
    <hyperlink r:id="rId1261" ref="K1261"/>
    <hyperlink r:id="rId1262" ref="K1262"/>
    <hyperlink r:id="rId1263" ref="K1263"/>
    <hyperlink r:id="rId1264" ref="K1264"/>
    <hyperlink r:id="rId1265" ref="K1265"/>
    <hyperlink r:id="rId1266" ref="K1266"/>
    <hyperlink r:id="rId1267" ref="K1267"/>
    <hyperlink r:id="rId1268" ref="K1268"/>
    <hyperlink r:id="rId1269" ref="K1269"/>
    <hyperlink r:id="rId1270" ref="K1270"/>
    <hyperlink r:id="rId1271" ref="K1271"/>
    <hyperlink r:id="rId1272" ref="K1272"/>
    <hyperlink r:id="rId1273" ref="K1273"/>
    <hyperlink r:id="rId1274" ref="K1274"/>
    <hyperlink r:id="rId1275" ref="K1275"/>
    <hyperlink r:id="rId1276" ref="K1276"/>
    <hyperlink r:id="rId1277" ref="K1277"/>
    <hyperlink r:id="rId1278" ref="K1278"/>
    <hyperlink r:id="rId1279" ref="K1279"/>
    <hyperlink r:id="rId1280" ref="K1280"/>
    <hyperlink r:id="rId1281" ref="K1281"/>
    <hyperlink r:id="rId1282" ref="K1282"/>
    <hyperlink r:id="rId1283" ref="K1283"/>
    <hyperlink r:id="rId1284" ref="K1284"/>
    <hyperlink r:id="rId1285" ref="K1285"/>
    <hyperlink r:id="rId1286" ref="K1286"/>
    <hyperlink r:id="rId1287" ref="K1287"/>
    <hyperlink r:id="rId1288" ref="K1288"/>
    <hyperlink r:id="rId1289" ref="K1289"/>
    <hyperlink r:id="rId1290" ref="K1290"/>
    <hyperlink r:id="rId1291" ref="K1291"/>
    <hyperlink r:id="rId1292" ref="K1292"/>
    <hyperlink r:id="rId1293" ref="K1293"/>
    <hyperlink r:id="rId1294" ref="K1294"/>
    <hyperlink r:id="rId1295" ref="K1295"/>
    <hyperlink r:id="rId1296" ref="K1296"/>
    <hyperlink r:id="rId1297" ref="K1297"/>
    <hyperlink r:id="rId1298" ref="K1298"/>
    <hyperlink r:id="rId1299" ref="K1299"/>
    <hyperlink r:id="rId1300" ref="K1300"/>
    <hyperlink r:id="rId1301" ref="K1301"/>
    <hyperlink r:id="rId1302" ref="K1302"/>
    <hyperlink r:id="rId1303" ref="K1303"/>
    <hyperlink r:id="rId1304" ref="K1304"/>
    <hyperlink r:id="rId1305" ref="K1305"/>
    <hyperlink r:id="rId1306" ref="K1306"/>
    <hyperlink r:id="rId1307" ref="K1307"/>
    <hyperlink r:id="rId1308" ref="K1308"/>
    <hyperlink r:id="rId1309" ref="K1309"/>
    <hyperlink r:id="rId1310" ref="K1310"/>
    <hyperlink r:id="rId1311" ref="K1311"/>
    <hyperlink r:id="rId1312" ref="K1312"/>
    <hyperlink r:id="rId1313" ref="K1313"/>
    <hyperlink r:id="rId1314" ref="K1314"/>
    <hyperlink r:id="rId1315" ref="K1315"/>
    <hyperlink r:id="rId1316" ref="K1316"/>
    <hyperlink r:id="rId1317" ref="K1317"/>
    <hyperlink r:id="rId1318" ref="K1318"/>
    <hyperlink r:id="rId1319" ref="K1319"/>
    <hyperlink r:id="rId1320" ref="K1320"/>
    <hyperlink r:id="rId1321" ref="K1321"/>
    <hyperlink r:id="rId1322" ref="K1322"/>
    <hyperlink r:id="rId1323" ref="K1323"/>
    <hyperlink r:id="rId1324" ref="K1324"/>
    <hyperlink r:id="rId1325" ref="K1325"/>
    <hyperlink r:id="rId1326" ref="K1326"/>
    <hyperlink r:id="rId1327" ref="K1327"/>
    <hyperlink r:id="rId1328" ref="K1328"/>
    <hyperlink r:id="rId1329" ref="K1329"/>
    <hyperlink r:id="rId1330" ref="K1330"/>
    <hyperlink r:id="rId1331" ref="K1331"/>
    <hyperlink r:id="rId1332" ref="K1332"/>
    <hyperlink r:id="rId1333" ref="K1333"/>
    <hyperlink r:id="rId1334" ref="K1334"/>
    <hyperlink r:id="rId1335" ref="K1335"/>
    <hyperlink r:id="rId1336" ref="K1336"/>
    <hyperlink r:id="rId1337" ref="K1337"/>
    <hyperlink r:id="rId1338" ref="K1338"/>
    <hyperlink r:id="rId1339" ref="K1339"/>
    <hyperlink r:id="rId1340" ref="K1340"/>
    <hyperlink r:id="rId1341" ref="K1341"/>
    <hyperlink r:id="rId1342" ref="K1342"/>
    <hyperlink r:id="rId1343" ref="K1343"/>
    <hyperlink r:id="rId1344" ref="K1344"/>
    <hyperlink r:id="rId1345" ref="K1345"/>
    <hyperlink r:id="rId1346" ref="K1346"/>
    <hyperlink r:id="rId1347" ref="K1347"/>
    <hyperlink r:id="rId1348" ref="K1348"/>
    <hyperlink r:id="rId1349" ref="K1349"/>
    <hyperlink r:id="rId1350" ref="K1350"/>
    <hyperlink r:id="rId1351" ref="K1351"/>
    <hyperlink r:id="rId1352" ref="K1352"/>
    <hyperlink r:id="rId1353" ref="K1353"/>
    <hyperlink r:id="rId1354" ref="K1354"/>
    <hyperlink r:id="rId1355" ref="K1355"/>
    <hyperlink r:id="rId1356" ref="K1356"/>
    <hyperlink r:id="rId1357" ref="K1357"/>
    <hyperlink r:id="rId1358" ref="K1358"/>
    <hyperlink r:id="rId1359" ref="K1359"/>
    <hyperlink r:id="rId1360" ref="K1360"/>
    <hyperlink r:id="rId1361" ref="K1361"/>
    <hyperlink r:id="rId1362" ref="K1362"/>
    <hyperlink r:id="rId1363" ref="K1363"/>
    <hyperlink r:id="rId1364" ref="K1364"/>
    <hyperlink r:id="rId1365" ref="K1365"/>
    <hyperlink r:id="rId1366" ref="K1366"/>
    <hyperlink r:id="rId1367" ref="K1367"/>
    <hyperlink r:id="rId1368" ref="K1368"/>
    <hyperlink r:id="rId1369" ref="K1369"/>
    <hyperlink r:id="rId1370" ref="K1370"/>
    <hyperlink r:id="rId1371" ref="K1371"/>
    <hyperlink r:id="rId1372" ref="K1372"/>
    <hyperlink r:id="rId1373" ref="K1373"/>
    <hyperlink r:id="rId1374" ref="K1374"/>
    <hyperlink r:id="rId1375" ref="K1375"/>
    <hyperlink r:id="rId1376" ref="K1376"/>
    <hyperlink r:id="rId1377" ref="K1377"/>
    <hyperlink r:id="rId1378" ref="K1378"/>
    <hyperlink r:id="rId1379" ref="K1379"/>
    <hyperlink r:id="rId1380" ref="K1380"/>
    <hyperlink r:id="rId1381" ref="K1381"/>
    <hyperlink r:id="rId1382" ref="K1382"/>
    <hyperlink r:id="rId1383" ref="K1383"/>
    <hyperlink r:id="rId1384" ref="K1384"/>
    <hyperlink r:id="rId1385" ref="K1385"/>
    <hyperlink r:id="rId1386" ref="K1386"/>
    <hyperlink r:id="rId1387" ref="K1387"/>
    <hyperlink r:id="rId1388" ref="K1388"/>
    <hyperlink r:id="rId1389" ref="K1389"/>
    <hyperlink r:id="rId1390" ref="K1390"/>
    <hyperlink r:id="rId1391" ref="K1391"/>
    <hyperlink r:id="rId1392" ref="K1392"/>
    <hyperlink r:id="rId1393" ref="K1393"/>
    <hyperlink r:id="rId1394" ref="K1394"/>
    <hyperlink r:id="rId1395" ref="K1395"/>
    <hyperlink r:id="rId1396" ref="K1396"/>
    <hyperlink r:id="rId1397" ref="K1397"/>
    <hyperlink r:id="rId1398" ref="K1398"/>
    <hyperlink r:id="rId1399" ref="K1399"/>
    <hyperlink r:id="rId1400" ref="K1400"/>
    <hyperlink r:id="rId1401" ref="K1401"/>
    <hyperlink r:id="rId1402" ref="K1402"/>
    <hyperlink r:id="rId1403" ref="K1403"/>
    <hyperlink r:id="rId1404" ref="K1404"/>
    <hyperlink r:id="rId1405" ref="K1405"/>
    <hyperlink r:id="rId1406" ref="K1406"/>
    <hyperlink r:id="rId1407" ref="K1407"/>
    <hyperlink r:id="rId1408" ref="K1408"/>
    <hyperlink r:id="rId1409" ref="K1409"/>
    <hyperlink r:id="rId1410" ref="K1410"/>
    <hyperlink r:id="rId1411" ref="K1411"/>
    <hyperlink r:id="rId1412" ref="K1412"/>
    <hyperlink r:id="rId1413" ref="K1413"/>
    <hyperlink r:id="rId1414" ref="K1414"/>
    <hyperlink r:id="rId1415" ref="K1415"/>
    <hyperlink r:id="rId1416" ref="K1416"/>
    <hyperlink r:id="rId1417" ref="K1417"/>
    <hyperlink r:id="rId1418" ref="K1418"/>
    <hyperlink r:id="rId1419" ref="K1419"/>
    <hyperlink r:id="rId1420" ref="K1420"/>
    <hyperlink r:id="rId1421" ref="K1421"/>
    <hyperlink r:id="rId1422" ref="K1422"/>
    <hyperlink r:id="rId1423" ref="K1423"/>
    <hyperlink r:id="rId1424" ref="K1424"/>
    <hyperlink r:id="rId1425" ref="K1425"/>
    <hyperlink r:id="rId1426" ref="K1426"/>
    <hyperlink r:id="rId1427" ref="K1427"/>
    <hyperlink r:id="rId1428" ref="K1428"/>
    <hyperlink r:id="rId1429" ref="K1429"/>
    <hyperlink r:id="rId1430" ref="K1430"/>
    <hyperlink r:id="rId1431" ref="K1431"/>
    <hyperlink r:id="rId1432" ref="K1432"/>
    <hyperlink r:id="rId1433" ref="K1433"/>
    <hyperlink r:id="rId1434" ref="K1434"/>
    <hyperlink r:id="rId1435" ref="K1435"/>
    <hyperlink r:id="rId1436" ref="K1436"/>
    <hyperlink r:id="rId1437" ref="K1437"/>
    <hyperlink r:id="rId1438" ref="K1438"/>
    <hyperlink r:id="rId1439" ref="K1439"/>
    <hyperlink r:id="rId1440" ref="K1440"/>
    <hyperlink r:id="rId1441" ref="K1441"/>
    <hyperlink r:id="rId1442" ref="K1442"/>
    <hyperlink r:id="rId1443" ref="K1443"/>
    <hyperlink r:id="rId1444" ref="K1444"/>
    <hyperlink r:id="rId1445" ref="K1445"/>
    <hyperlink r:id="rId1446" ref="K1446"/>
    <hyperlink r:id="rId1447" ref="K1447"/>
    <hyperlink r:id="rId1448" ref="K1448"/>
    <hyperlink r:id="rId1449" ref="K1449"/>
    <hyperlink r:id="rId1450" ref="K1450"/>
    <hyperlink r:id="rId1451" ref="K1451"/>
    <hyperlink r:id="rId1452" ref="K1452"/>
    <hyperlink r:id="rId1453" ref="K1453"/>
    <hyperlink r:id="rId1454" ref="K1454"/>
    <hyperlink r:id="rId1455" ref="K1455"/>
    <hyperlink r:id="rId1456" ref="K1456"/>
    <hyperlink r:id="rId1457" ref="K1457"/>
    <hyperlink r:id="rId1458" ref="K1458"/>
    <hyperlink r:id="rId1459" ref="K1459"/>
    <hyperlink r:id="rId1460" ref="K1460"/>
    <hyperlink r:id="rId1461" ref="K1461"/>
    <hyperlink r:id="rId1462" ref="K1462"/>
    <hyperlink r:id="rId1463" ref="K1463"/>
    <hyperlink r:id="rId1464" ref="K1464"/>
    <hyperlink r:id="rId1465" ref="K1465"/>
    <hyperlink r:id="rId1466" ref="K1466"/>
  </hyperlinks>
  <drawing r:id="rId1467"/>
  <legacyDrawing r:id="rId14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88"/>
  </cols>
  <sheetData>
    <row r="1">
      <c r="A1" s="1" t="s">
        <v>5668</v>
      </c>
      <c r="B1" s="1" t="s">
        <v>5669</v>
      </c>
    </row>
    <row r="2">
      <c r="A2" s="1" t="s">
        <v>5670</v>
      </c>
      <c r="B2" s="9">
        <f>COUNTIF(Dados!G2:G1466, "&lt;50")</f>
        <v>747</v>
      </c>
    </row>
    <row r="3">
      <c r="A3" s="1" t="s">
        <v>5671</v>
      </c>
      <c r="B3" s="9">
        <f>COUNTIF(Dados!G:G, "&gt;=50") - COUNTIF(Dados!G:G, "&gt;500")</f>
        <v>570</v>
      </c>
    </row>
    <row r="4">
      <c r="A4" s="1" t="s">
        <v>5672</v>
      </c>
      <c r="B4" s="9">
        <f>COUNTIF(Dados!G:G, "&gt;=500")</f>
        <v>148</v>
      </c>
    </row>
  </sheetData>
  <drawing r:id="rId1"/>
</worksheet>
</file>