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D5A2E2D7-E881-45EA-89AB-0C3CFE269A94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Main" sheetId="1" r:id="rId1"/>
    <sheet name="Model" sheetId="2" r:id="rId2"/>
    <sheet name="PRGN-2009" sheetId="6" r:id="rId3"/>
    <sheet name="PRGN-2012" sheetId="3" r:id="rId4"/>
    <sheet name="Platforms" sheetId="5" r:id="rId5"/>
    <sheet name="RRP" sheetId="4" r:id="rId6"/>
    <sheet name="HPV" sheetId="7" r:id="rId7"/>
    <sheet name="ImmunoTherapies" sheetId="8" r:id="rId8"/>
    <sheet name="Literatur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Z3" i="2" s="1"/>
  <c r="AA3" i="2" s="1"/>
  <c r="AB3" i="2" s="1"/>
  <c r="AC3" i="2" s="1"/>
  <c r="AD3" i="2" s="1"/>
  <c r="AE3" i="2" s="1"/>
  <c r="X3" i="2"/>
  <c r="U3" i="2"/>
  <c r="V3" i="2" s="1"/>
  <c r="W3" i="2" s="1"/>
  <c r="T3" i="2"/>
  <c r="S8" i="2"/>
  <c r="T8" i="2" s="1"/>
  <c r="U8" i="2" s="1"/>
  <c r="V8" i="2" s="1"/>
  <c r="W8" i="2" s="1"/>
  <c r="X8" i="2" s="1"/>
  <c r="Y8" i="2" s="1"/>
  <c r="Z8" i="2" s="1"/>
  <c r="AA8" i="2" s="1"/>
  <c r="Q8" i="2"/>
  <c r="R8" i="2" s="1"/>
  <c r="Q9" i="2"/>
  <c r="R9" i="2"/>
  <c r="S9" i="2" s="1"/>
  <c r="T9" i="2" s="1"/>
  <c r="U9" i="2" s="1"/>
  <c r="V9" i="2" s="1"/>
  <c r="W9" i="2" s="1"/>
  <c r="X9" i="2" s="1"/>
  <c r="Y9" i="2" s="1"/>
  <c r="Z9" i="2" s="1"/>
  <c r="AA9" i="2" s="1"/>
  <c r="S3" i="2"/>
  <c r="T7" i="2"/>
  <c r="S7" i="2"/>
  <c r="S25" i="2" s="1"/>
  <c r="R7" i="2"/>
  <c r="R25" i="2" s="1"/>
  <c r="Q25" i="2"/>
  <c r="P25" i="2"/>
  <c r="O25" i="2"/>
  <c r="Q7" i="2"/>
  <c r="P7" i="2"/>
  <c r="O7" i="2"/>
  <c r="N7" i="2"/>
  <c r="Q10" i="2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R2" i="2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AB9" i="2" l="1"/>
  <c r="AC9" i="2" s="1"/>
  <c r="AD9" i="2" s="1"/>
  <c r="AE9" i="2" s="1"/>
  <c r="AF9" i="2" s="1"/>
  <c r="AG9" i="2" s="1"/>
  <c r="AH9" i="2" s="1"/>
  <c r="AI9" i="2" s="1"/>
  <c r="U7" i="2"/>
  <c r="U25" i="2" s="1"/>
  <c r="T25" i="2"/>
  <c r="Q13" i="2"/>
  <c r="Q18" i="2" s="1"/>
  <c r="Q20" i="2" s="1"/>
  <c r="Q22" i="2" s="1"/>
  <c r="Q26" i="2" s="1"/>
  <c r="S13" i="2"/>
  <c r="S18" i="2" s="1"/>
  <c r="S20" i="2" s="1"/>
  <c r="R13" i="2"/>
  <c r="R18" i="2" s="1"/>
  <c r="R20" i="2" s="1"/>
  <c r="V7" i="2" l="1"/>
  <c r="V25" i="2" s="1"/>
  <c r="R21" i="2"/>
  <c r="R22" i="2" s="1"/>
  <c r="R26" i="2" s="1"/>
  <c r="S21" i="2"/>
  <c r="S22" i="2" s="1"/>
  <c r="S26" i="2" s="1"/>
  <c r="T13" i="2"/>
  <c r="T18" i="2" s="1"/>
  <c r="T20" i="2" s="1"/>
  <c r="T21" i="2" s="1"/>
  <c r="T22" i="2" s="1"/>
  <c r="T26" i="2" s="1"/>
  <c r="W7" i="2" l="1"/>
  <c r="W25" i="2" s="1"/>
  <c r="U13" i="2"/>
  <c r="U18" i="2" s="1"/>
  <c r="U20" i="2" s="1"/>
  <c r="U21" i="2" s="1"/>
  <c r="U22" i="2" s="1"/>
  <c r="U26" i="2" s="1"/>
  <c r="X7" i="2" l="1"/>
  <c r="X25" i="2" s="1"/>
  <c r="V13" i="2"/>
  <c r="V18" i="2" s="1"/>
  <c r="V20" i="2" s="1"/>
  <c r="V21" i="2" s="1"/>
  <c r="V22" i="2" s="1"/>
  <c r="V26" i="2" s="1"/>
  <c r="Y7" i="2" l="1"/>
  <c r="Y25" i="2" s="1"/>
  <c r="W13" i="2"/>
  <c r="W18" i="2" s="1"/>
  <c r="W20" i="2" s="1"/>
  <c r="Z7" i="2" l="1"/>
  <c r="Z25" i="2" s="1"/>
  <c r="X13" i="2"/>
  <c r="X18" i="2" s="1"/>
  <c r="X20" i="2" s="1"/>
  <c r="W21" i="2"/>
  <c r="W22" i="2" s="1"/>
  <c r="W26" i="2" s="1"/>
  <c r="AA7" i="2" l="1"/>
  <c r="AA25" i="2" s="1"/>
  <c r="Y13" i="2"/>
  <c r="Y18" i="2" s="1"/>
  <c r="Y20" i="2" s="1"/>
  <c r="X21" i="2"/>
  <c r="X22" i="2" s="1"/>
  <c r="X26" i="2" s="1"/>
  <c r="AB7" i="2" l="1"/>
  <c r="Y21" i="2"/>
  <c r="Y22" i="2" s="1"/>
  <c r="Y26" i="2" s="1"/>
  <c r="Z13" i="2"/>
  <c r="Z18" i="2" s="1"/>
  <c r="Z20" i="2" s="1"/>
  <c r="AC7" i="2" l="1"/>
  <c r="Z21" i="2"/>
  <c r="Z22" i="2" s="1"/>
  <c r="Z26" i="2" s="1"/>
  <c r="AA13" i="2"/>
  <c r="AA18" i="2" s="1"/>
  <c r="AA20" i="2" s="1"/>
  <c r="AB8" i="2"/>
  <c r="AD7" i="2" l="1"/>
  <c r="AC8" i="2"/>
  <c r="AB13" i="2"/>
  <c r="AB18" i="2" s="1"/>
  <c r="AB20" i="2" s="1"/>
  <c r="AA21" i="2"/>
  <c r="AA22" i="2" s="1"/>
  <c r="AA26" i="2" s="1"/>
  <c r="AF3" i="2" l="1"/>
  <c r="AE7" i="2"/>
  <c r="AB21" i="2"/>
  <c r="AB22" i="2" s="1"/>
  <c r="AB26" i="2" s="1"/>
  <c r="AD8" i="2"/>
  <c r="AC13" i="2"/>
  <c r="AC18" i="2" s="1"/>
  <c r="AC20" i="2" s="1"/>
  <c r="AG3" i="2" l="1"/>
  <c r="AF7" i="2"/>
  <c r="AC21" i="2"/>
  <c r="AC22" i="2" s="1"/>
  <c r="AC26" i="2" s="1"/>
  <c r="AE8" i="2"/>
  <c r="AD13" i="2"/>
  <c r="AD18" i="2" s="1"/>
  <c r="AD20" i="2" s="1"/>
  <c r="AH3" i="2" l="1"/>
  <c r="AG7" i="2"/>
  <c r="AD21" i="2"/>
  <c r="AD22" i="2" s="1"/>
  <c r="AD26" i="2" s="1"/>
  <c r="AF8" i="2"/>
  <c r="AE13" i="2"/>
  <c r="AE18" i="2" s="1"/>
  <c r="AE20" i="2" s="1"/>
  <c r="AI3" i="2" l="1"/>
  <c r="AH7" i="2"/>
  <c r="AE21" i="2"/>
  <c r="AE22" i="2" s="1"/>
  <c r="AE26" i="2" s="1"/>
  <c r="AF13" i="2"/>
  <c r="AF18" i="2" s="1"/>
  <c r="AF20" i="2" s="1"/>
  <c r="AG8" i="2"/>
  <c r="AI7" i="2" l="1"/>
  <c r="AJ3" i="2"/>
  <c r="AH8" i="2"/>
  <c r="AG13" i="2"/>
  <c r="AG18" i="2" s="1"/>
  <c r="AG20" i="2" s="1"/>
  <c r="AF21" i="2"/>
  <c r="AF22" i="2" s="1"/>
  <c r="AF26" i="2" s="1"/>
  <c r="AK3" i="2" l="1"/>
  <c r="AJ7" i="2"/>
  <c r="AJ22" i="2" s="1"/>
  <c r="AG21" i="2"/>
  <c r="AG22" i="2" s="1"/>
  <c r="AG26" i="2" s="1"/>
  <c r="AI8" i="2"/>
  <c r="AI13" i="2" s="1"/>
  <c r="AI18" i="2" s="1"/>
  <c r="AI20" i="2" s="1"/>
  <c r="AH13" i="2"/>
  <c r="AH18" i="2" s="1"/>
  <c r="AH20" i="2" s="1"/>
  <c r="AL3" i="2" l="1"/>
  <c r="AK7" i="2"/>
  <c r="AK22" i="2" s="1"/>
  <c r="AH21" i="2"/>
  <c r="AH22" i="2" s="1"/>
  <c r="AH26" i="2" s="1"/>
  <c r="AI21" i="2"/>
  <c r="AI22" i="2" s="1"/>
  <c r="AI26" i="2" s="1"/>
  <c r="AM3" i="2" l="1"/>
  <c r="AL7" i="2"/>
  <c r="AL22" i="2" s="1"/>
  <c r="AN3" i="2" l="1"/>
  <c r="AM7" i="2"/>
  <c r="AM22" i="2" s="1"/>
  <c r="AO3" i="2" l="1"/>
  <c r="AN7" i="2"/>
  <c r="AN22" i="2" s="1"/>
  <c r="AP3" i="2" l="1"/>
  <c r="AO7" i="2"/>
  <c r="AO22" i="2" s="1"/>
  <c r="AQ3" i="2" l="1"/>
  <c r="AP7" i="2"/>
  <c r="AP22" i="2" s="1"/>
  <c r="AR3" i="2" l="1"/>
  <c r="AQ7" i="2"/>
  <c r="AQ22" i="2" s="1"/>
  <c r="AS3" i="2" l="1"/>
  <c r="AR7" i="2"/>
  <c r="AR22" i="2" s="1"/>
  <c r="AT3" i="2" l="1"/>
  <c r="AS7" i="2"/>
  <c r="AS22" i="2" s="1"/>
  <c r="AU3" i="2" l="1"/>
  <c r="AT7" i="2"/>
  <c r="AT22" i="2" s="1"/>
  <c r="AV3" i="2" l="1"/>
  <c r="AU7" i="2"/>
  <c r="AU22" i="2" s="1"/>
  <c r="AW3" i="2" l="1"/>
  <c r="AV7" i="2"/>
  <c r="AV22" i="2" s="1"/>
  <c r="AX3" i="2" l="1"/>
  <c r="AW7" i="2"/>
  <c r="AW22" i="2" s="1"/>
  <c r="AY3" i="2" l="1"/>
  <c r="AX7" i="2"/>
  <c r="AX22" i="2" s="1"/>
  <c r="AZ3" i="2" l="1"/>
  <c r="AY7" i="2"/>
  <c r="AY22" i="2" s="1"/>
  <c r="BA3" i="2" l="1"/>
  <c r="AZ7" i="2"/>
  <c r="AZ22" i="2" s="1"/>
  <c r="BB3" i="2" l="1"/>
  <c r="BA7" i="2"/>
  <c r="BA22" i="2" s="1"/>
  <c r="BC3" i="2" l="1"/>
  <c r="BB7" i="2"/>
  <c r="BB22" i="2" s="1"/>
  <c r="BD3" i="2" l="1"/>
  <c r="BC7" i="2"/>
  <c r="BC22" i="2" s="1"/>
  <c r="BE3" i="2" l="1"/>
  <c r="BD7" i="2"/>
  <c r="BD22" i="2" s="1"/>
  <c r="BF3" i="2" l="1"/>
  <c r="BE7" i="2"/>
  <c r="BE22" i="2" s="1"/>
  <c r="BG3" i="2" l="1"/>
  <c r="BF7" i="2"/>
  <c r="BF22" i="2" s="1"/>
  <c r="BH3" i="2" l="1"/>
  <c r="BG7" i="2"/>
  <c r="BG22" i="2" s="1"/>
  <c r="BI3" i="2" l="1"/>
  <c r="BH7" i="2"/>
  <c r="BH22" i="2" s="1"/>
  <c r="BJ3" i="2" l="1"/>
  <c r="BI7" i="2"/>
  <c r="BI22" i="2" s="1"/>
  <c r="BK3" i="2" l="1"/>
  <c r="BJ7" i="2"/>
  <c r="BJ22" i="2" s="1"/>
  <c r="BL3" i="2" l="1"/>
  <c r="BK7" i="2"/>
  <c r="BK22" i="2" s="1"/>
  <c r="BM3" i="2" l="1"/>
  <c r="BL7" i="2"/>
  <c r="BL22" i="2" s="1"/>
  <c r="BN3" i="2" l="1"/>
  <c r="BM7" i="2"/>
  <c r="BM22" i="2" s="1"/>
  <c r="BO3" i="2" l="1"/>
  <c r="BN7" i="2"/>
  <c r="BN22" i="2" s="1"/>
  <c r="BP3" i="2" l="1"/>
  <c r="BO7" i="2"/>
  <c r="BO22" i="2" s="1"/>
  <c r="BQ3" i="2" l="1"/>
  <c r="BP7" i="2"/>
  <c r="BP22" i="2" s="1"/>
  <c r="BR3" i="2" l="1"/>
  <c r="BQ7" i="2"/>
  <c r="BQ22" i="2" s="1"/>
  <c r="BS3" i="2" l="1"/>
  <c r="BR7" i="2"/>
  <c r="BR22" i="2" s="1"/>
  <c r="BT3" i="2" l="1"/>
  <c r="BS7" i="2"/>
  <c r="BS22" i="2" s="1"/>
  <c r="BU3" i="2" l="1"/>
  <c r="BT7" i="2"/>
  <c r="BT22" i="2" s="1"/>
  <c r="BV3" i="2" l="1"/>
  <c r="BU7" i="2"/>
  <c r="BU22" i="2" s="1"/>
  <c r="BW3" i="2" l="1"/>
  <c r="BV7" i="2"/>
  <c r="BV22" i="2" s="1"/>
  <c r="BX3" i="2" l="1"/>
  <c r="BW7" i="2"/>
  <c r="BW22" i="2" s="1"/>
  <c r="BY3" i="2" l="1"/>
  <c r="BX7" i="2"/>
  <c r="BX22" i="2" s="1"/>
  <c r="BZ3" i="2" l="1"/>
  <c r="BY7" i="2"/>
  <c r="BY22" i="2" s="1"/>
  <c r="CA3" i="2" l="1"/>
  <c r="BZ7" i="2"/>
  <c r="BZ22" i="2" s="1"/>
  <c r="CB3" i="2" l="1"/>
  <c r="CA7" i="2"/>
  <c r="CA22" i="2" s="1"/>
  <c r="CC3" i="2" l="1"/>
  <c r="CB7" i="2"/>
  <c r="CB22" i="2" s="1"/>
  <c r="CD3" i="2" l="1"/>
  <c r="CC7" i="2"/>
  <c r="CC22" i="2" s="1"/>
  <c r="CE3" i="2" l="1"/>
  <c r="CD7" i="2"/>
  <c r="CD22" i="2" s="1"/>
  <c r="CF3" i="2" l="1"/>
  <c r="CE7" i="2"/>
  <c r="CE22" i="2" s="1"/>
  <c r="CG3" i="2" l="1"/>
  <c r="CF7" i="2"/>
  <c r="CF22" i="2" s="1"/>
  <c r="CH3" i="2" l="1"/>
  <c r="CG7" i="2"/>
  <c r="CG22" i="2" s="1"/>
  <c r="CI3" i="2" l="1"/>
  <c r="CH7" i="2"/>
  <c r="CH22" i="2" s="1"/>
  <c r="CJ3" i="2" l="1"/>
  <c r="CI7" i="2"/>
  <c r="CI22" i="2" s="1"/>
  <c r="CK3" i="2" l="1"/>
  <c r="CJ7" i="2"/>
  <c r="CJ22" i="2" s="1"/>
  <c r="CL3" i="2" l="1"/>
  <c r="CK7" i="2"/>
  <c r="CK22" i="2" s="1"/>
  <c r="CM3" i="2" l="1"/>
  <c r="CL7" i="2"/>
  <c r="CL22" i="2" s="1"/>
  <c r="CN3" i="2" l="1"/>
  <c r="CM7" i="2"/>
  <c r="CM22" i="2" s="1"/>
  <c r="CO3" i="2" l="1"/>
  <c r="CN7" i="2"/>
  <c r="CN22" i="2" s="1"/>
  <c r="CP3" i="2" l="1"/>
  <c r="CO7" i="2"/>
  <c r="CO22" i="2" s="1"/>
  <c r="CQ3" i="2" l="1"/>
  <c r="CP7" i="2"/>
  <c r="CP22" i="2" s="1"/>
  <c r="CR3" i="2" l="1"/>
  <c r="CQ7" i="2"/>
  <c r="CQ22" i="2" s="1"/>
  <c r="CS3" i="2" l="1"/>
  <c r="CR7" i="2"/>
  <c r="CR22" i="2" s="1"/>
  <c r="CT3" i="2" l="1"/>
  <c r="CS7" i="2"/>
  <c r="CS22" i="2" s="1"/>
  <c r="CU3" i="2" l="1"/>
  <c r="CT7" i="2"/>
  <c r="CT22" i="2" s="1"/>
  <c r="CV3" i="2" l="1"/>
  <c r="CU7" i="2"/>
  <c r="CU22" i="2" s="1"/>
  <c r="CW3" i="2" l="1"/>
  <c r="CV7" i="2"/>
  <c r="CV22" i="2" s="1"/>
  <c r="CX3" i="2" l="1"/>
  <c r="CW7" i="2"/>
  <c r="CW22" i="2" s="1"/>
  <c r="CY3" i="2" l="1"/>
  <c r="CX7" i="2"/>
  <c r="CX22" i="2" s="1"/>
  <c r="CZ3" i="2" l="1"/>
  <c r="CY7" i="2"/>
  <c r="CY22" i="2" s="1"/>
  <c r="DA3" i="2" l="1"/>
  <c r="CZ7" i="2"/>
  <c r="CZ22" i="2" s="1"/>
  <c r="DB3" i="2" l="1"/>
  <c r="DA7" i="2"/>
  <c r="DA22" i="2" s="1"/>
  <c r="DC3" i="2" l="1"/>
  <c r="DC7" i="2" s="1"/>
  <c r="DC22" i="2" s="1"/>
  <c r="DB7" i="2"/>
  <c r="DB22" i="2" s="1"/>
  <c r="I12" i="4" l="1"/>
  <c r="N17" i="2" l="1"/>
  <c r="N6" i="2"/>
  <c r="N13" i="2" s="1"/>
  <c r="O6" i="2"/>
  <c r="O13" i="2"/>
  <c r="O18" i="2" s="1"/>
  <c r="O20" i="2" s="1"/>
  <c r="O22" i="2" s="1"/>
  <c r="O26" i="2" s="1"/>
  <c r="P13" i="2"/>
  <c r="H7" i="2"/>
  <c r="H13" i="2" s="1"/>
  <c r="I7" i="2"/>
  <c r="I13" i="2" s="1"/>
  <c r="K7" i="1"/>
  <c r="K5" i="1"/>
  <c r="K8" i="1" s="1"/>
  <c r="N18" i="2" l="1"/>
  <c r="N20" i="2" s="1"/>
  <c r="N22" i="2" s="1"/>
  <c r="N26" i="2" s="1"/>
  <c r="P18" i="2"/>
  <c r="P20" i="2" s="1"/>
  <c r="P22" i="2" s="1"/>
  <c r="I18" i="2"/>
  <c r="I20" i="2" s="1"/>
  <c r="H18" i="2"/>
  <c r="H20" i="2" s="1"/>
  <c r="P26" i="2" l="1"/>
  <c r="AR30" i="2"/>
  <c r="AR31" i="2" s="1"/>
</calcChain>
</file>

<file path=xl/sharedStrings.xml><?xml version="1.0" encoding="utf-8"?>
<sst xmlns="http://schemas.openxmlformats.org/spreadsheetml/2006/main" count="336" uniqueCount="298">
  <si>
    <t>Price</t>
  </si>
  <si>
    <t>Shares</t>
  </si>
  <si>
    <t>MC</t>
  </si>
  <si>
    <t>Cash</t>
  </si>
  <si>
    <t>Debt</t>
  </si>
  <si>
    <t>EV</t>
  </si>
  <si>
    <t>In thousands*, except price and shares?</t>
  </si>
  <si>
    <t>Name</t>
  </si>
  <si>
    <t>Indication</t>
  </si>
  <si>
    <t>MOA</t>
  </si>
  <si>
    <t>Economics</t>
  </si>
  <si>
    <t>Approved</t>
  </si>
  <si>
    <t>IP</t>
  </si>
  <si>
    <t>Phase</t>
  </si>
  <si>
    <t>Date?</t>
  </si>
  <si>
    <t>Main</t>
  </si>
  <si>
    <t>2Q2025</t>
  </si>
  <si>
    <t>2Q2024</t>
  </si>
  <si>
    <t>Product revenues</t>
  </si>
  <si>
    <t>Service revenues</t>
  </si>
  <si>
    <t>Other revenues</t>
  </si>
  <si>
    <t>Total Revenue</t>
  </si>
  <si>
    <t>COGS</t>
  </si>
  <si>
    <t>R&amp;D</t>
  </si>
  <si>
    <t>SG&amp;A</t>
  </si>
  <si>
    <t>Operating loss</t>
  </si>
  <si>
    <t>Change in fair value of warrant liabilities</t>
  </si>
  <si>
    <t>Interest income</t>
  </si>
  <si>
    <t>Interest expense</t>
  </si>
  <si>
    <t>Other income, net</t>
  </si>
  <si>
    <t>Loss before income taxes</t>
  </si>
  <si>
    <t>Income tax benefit</t>
  </si>
  <si>
    <t>Net loss</t>
  </si>
  <si>
    <t>EPS</t>
  </si>
  <si>
    <t>Impairment of goodwill</t>
  </si>
  <si>
    <t>Impairment of other noncurrent assets</t>
  </si>
  <si>
    <t>One time income from disc. Opp</t>
  </si>
  <si>
    <t>Adj net loss</t>
  </si>
  <si>
    <t>focused on gne and cell therapies</t>
  </si>
  <si>
    <t>precision medicine:</t>
  </si>
  <si>
    <t>therapeutic product development that takes into account</t>
  </si>
  <si>
    <t>specific generic variations within populations impacted by a disease</t>
  </si>
  <si>
    <t>to design targeted therapies</t>
  </si>
  <si>
    <t>viral, non-viral, and microbe-based approaches</t>
  </si>
  <si>
    <t>UltraCAR-T</t>
  </si>
  <si>
    <t>ActoBiotics</t>
  </si>
  <si>
    <t>UltraPorator</t>
  </si>
  <si>
    <t>PRGN-2012</t>
  </si>
  <si>
    <t>PRGN-2009</t>
  </si>
  <si>
    <t>AdenoVerse immunotherapy (AV)</t>
  </si>
  <si>
    <t>PRGN-3005</t>
  </si>
  <si>
    <t>PRGN-3006</t>
  </si>
  <si>
    <t>PRGN-3007</t>
  </si>
  <si>
    <t>1b</t>
  </si>
  <si>
    <t>AG019</t>
  </si>
  <si>
    <t>paused</t>
  </si>
  <si>
    <t>CRADA</t>
  </si>
  <si>
    <t>RRP</t>
  </si>
  <si>
    <t>Recurrent Respiratory Papillomatosis (RRP)</t>
  </si>
  <si>
    <t>Generic</t>
  </si>
  <si>
    <t>Pharma stuff</t>
  </si>
  <si>
    <t>Clinical trials</t>
  </si>
  <si>
    <t>Recurrent Respiratory Papillomatosis</t>
  </si>
  <si>
    <t>catalist in the next few weeks!</t>
  </si>
  <si>
    <t>centralized cell therapy</t>
  </si>
  <si>
    <t>AV - HPV 6/11</t>
  </si>
  <si>
    <t>AV - HPV 16/18</t>
  </si>
  <si>
    <t>1B</t>
  </si>
  <si>
    <t>R/M Cervical Cancer</t>
  </si>
  <si>
    <t>OPSCC/Head &amp; Neck Cancer</t>
  </si>
  <si>
    <t>UltraCAR-T - Unshed MUC16</t>
  </si>
  <si>
    <t>Ovarian Cancer</t>
  </si>
  <si>
    <t>R/R AML, MDS</t>
  </si>
  <si>
    <t>ROR1 + Hematological &amp; Solid Tumors</t>
  </si>
  <si>
    <t>paused?</t>
  </si>
  <si>
    <t>UltraCAR-T - CD33</t>
  </si>
  <si>
    <t>UltraCAR-T - ROR1</t>
  </si>
  <si>
    <t>Fast Track ODD</t>
  </si>
  <si>
    <t>Target</t>
  </si>
  <si>
    <t>Platforms</t>
  </si>
  <si>
    <t>AdenoVerse</t>
  </si>
  <si>
    <t>adenovectors for the efficient gene delivery of therapeutic</t>
  </si>
  <si>
    <t>effectors, immunomofulators, and vaccine agents</t>
  </si>
  <si>
    <t>prop. Manufacturing cell lines and production methods</t>
  </si>
  <si>
    <t>standard human adenovirus serotype 5 (Ad5)</t>
  </si>
  <si>
    <t>Moat is that this is more scalable, cost efficient, and have better performance</t>
  </si>
  <si>
    <t>Advantages:</t>
  </si>
  <si>
    <t>Lager genetic payload capacity</t>
  </si>
  <si>
    <t>12kb genetic payload using gorilla adenovectors</t>
  </si>
  <si>
    <t>expresses multiple genes in a controlled manner</t>
  </si>
  <si>
    <t>Repeat administration</t>
  </si>
  <si>
    <t>not like most competing approaches</t>
  </si>
  <si>
    <t>boosts antibody and T-cell responses</t>
  </si>
  <si>
    <t>seroprevalance?</t>
  </si>
  <si>
    <t>GC46 has seroprevalence of less than 6% in the US</t>
  </si>
  <si>
    <t>Ad5 has 56% of seroprevalence, limiting its effectiveness</t>
  </si>
  <si>
    <t>Replication incompetence</t>
  </si>
  <si>
    <t>the virus does no replicate itself without affecting other human cells</t>
  </si>
  <si>
    <t>through the deletion of two regions essential for replication of the adenoviral genome</t>
  </si>
  <si>
    <t>Durable antigen-specific immune response</t>
  </si>
  <si>
    <t>are able to neutralize antibodies and effector T-cell immune responses.</t>
  </si>
  <si>
    <t>cGMP Manufacturing Facility</t>
  </si>
  <si>
    <t>all of the manufacturing is done inhouse</t>
  </si>
  <si>
    <t>AV - HPV 6/11, elicits immune responses dierected against infected cells</t>
  </si>
  <si>
    <t>RRP is a rare neuroplastic disease of the upper and lower respiratory tract.</t>
  </si>
  <si>
    <t>caused by the infection with HPV6 or HPV11</t>
  </si>
  <si>
    <t>estimated to affect 27,000 adult patinets in the US</t>
  </si>
  <si>
    <t>around 125,000 outside the US</t>
  </si>
  <si>
    <t>Est. Total:</t>
  </si>
  <si>
    <t>no approved therapeutic treatment for RRP</t>
  </si>
  <si>
    <t>current standard-of-care is repeatred endoscopic</t>
  </si>
  <si>
    <t>debulking with ablation or excision of papillomatous lesions</t>
  </si>
  <si>
    <t>Surgeries do not solve the disease with several patients experiencing recurrence</t>
  </si>
  <si>
    <t>Cause</t>
  </si>
  <si>
    <t>Symptoms</t>
  </si>
  <si>
    <t>Treatments</t>
  </si>
  <si>
    <t>Notes</t>
  </si>
  <si>
    <t>HPV6 / HPV11 virus</t>
  </si>
  <si>
    <t>papilloma mass on uppoer and lower repiratory tracks</t>
  </si>
  <si>
    <t>no cure, surgeries are a partial fix with recurrence being common</t>
  </si>
  <si>
    <t>takes the patinet's immune cells (T-cells), modifies them to attack disease, and puts them back into the patient</t>
  </si>
  <si>
    <t xml:space="preserve"> </t>
  </si>
  <si>
    <t>adenovirus: comon viruses altered so they can't replicate</t>
  </si>
  <si>
    <r>
      <t>In vitro</t>
    </r>
    <r>
      <rPr>
        <sz val="11"/>
        <color theme="1"/>
        <rFont val="Calibri"/>
        <family val="2"/>
        <scheme val="minor"/>
      </rPr>
      <t xml:space="preserve"> is like testing your cake batter in a bowl before baking.</t>
    </r>
  </si>
  <si>
    <r>
      <t>In vivo</t>
    </r>
    <r>
      <rPr>
        <sz val="11"/>
        <color theme="1"/>
        <rFont val="Calibri"/>
        <family val="2"/>
        <scheme val="minor"/>
      </rPr>
      <t xml:space="preserve"> is testing the cake after it’s baked and served.</t>
    </r>
  </si>
  <si>
    <t>Ex vivo is propably testing in dead animals</t>
  </si>
  <si>
    <t>Phase 1/2 n=38 safety and efficacy eval NCT04724980</t>
  </si>
  <si>
    <t>Complete reponse rate as % of patients who require no RRP surgeries in the 12-month period after treatment</t>
  </si>
  <si>
    <t>Complete response rate</t>
  </si>
  <si>
    <t>Decrease in number of surgeries</t>
  </si>
  <si>
    <t>Phase 2 (n=23)</t>
  </si>
  <si>
    <t>Phase 1 (n=12)</t>
  </si>
  <si>
    <t>Phase 1/2 Total (n=35)</t>
  </si>
  <si>
    <t>Derkay scores</t>
  </si>
  <si>
    <t>-8 effect on patients in complete response (p&lt;0.0001)</t>
  </si>
  <si>
    <t>all p&lt;0.0001</t>
  </si>
  <si>
    <t>Just the name of the cell or virus</t>
  </si>
  <si>
    <t>several types of cancers</t>
  </si>
  <si>
    <t>Keytruda</t>
  </si>
  <si>
    <t>Opdivo</t>
  </si>
  <si>
    <t>Concology</t>
  </si>
  <si>
    <t>ImmunoTherapies</t>
  </si>
  <si>
    <t>Rare disease biologics</t>
  </si>
  <si>
    <t>Soliris</t>
  </si>
  <si>
    <t>Manufacturer press releases &amp; investor decks</t>
  </si>
  <si>
    <t>FDA labels + Red Book/Anayltics, Drugs.com price listings (for list/WAC)</t>
  </si>
  <si>
    <t>Payer briefs (e.g., Prime Therapeutics “high-cost therapy” notes), ICER reports for value ranges.</t>
  </si>
  <si>
    <t>Get data on pricing:</t>
  </si>
  <si>
    <t>Dosing schedule (from trial records)</t>
  </si>
  <si>
    <t>These specifics are reported across the Phase 1/2 trial page/press and NIH pages. ClinicalTrialsASCO PublicationsPR NewswireGlobal Genes</t>
  </si>
  <si>
    <t>Ballpark pricing math (per injection)</t>
  </si>
  <si>
    <t>Regimen: 4 subcutaneous injections over 12 weeks (a 4-dose “series”).</t>
  </si>
  <si>
    <t>Dose: Recommended Phase 2 dose (RP2D) 5 × 10¹¹ particle units per injection.</t>
  </si>
  <si>
    <t>For rare-disease immunotherapies with repeat dosing, U.S. payers are accustomed to ~$100k–$200k per treatment course/year (some go higher, but that’s a reasonable reference range for an “off-the-shelf” biologic rather than a one-and-done gene therapy).</t>
  </si>
  <si>
    <t>Given 4 injections per course:</t>
  </si>
  <si>
    <t>If total course target = $120k → ~$30k per injection</t>
  </si>
  <si>
    <t>If total course target = $160k → ~$40k per injection</t>
  </si>
  <si>
    <t>If total course target = $200k → ~$50k per injection</t>
  </si>
  <si>
    <t>So a likely per-inj. list price range = ~$30k–$50k, implying $120k–$200k for the 12-week course. (Actual net price depends on rebates/discounts.)</t>
  </si>
  <si>
    <t>GPTs opinion on pricing:</t>
  </si>
  <si>
    <t>ni margin</t>
  </si>
  <si>
    <t>discount</t>
  </si>
  <si>
    <t>terminal</t>
  </si>
  <si>
    <t>NPV</t>
  </si>
  <si>
    <t>share</t>
  </si>
  <si>
    <t>Revenue y/y</t>
  </si>
  <si>
    <t>Scenario</t>
  </si>
  <si>
    <t>US Penetration</t>
  </si>
  <si>
    <t>US Net / Course</t>
  </si>
  <si>
    <t>ex-US Penetration</t>
  </si>
  <si>
    <t>ex-US Net / Course</t>
  </si>
  <si>
    <t>Booster Rate</t>
  </si>
  <si>
    <t>US Revenue</t>
  </si>
  <si>
    <t>ex-US Revenue</t>
  </si>
  <si>
    <t>Global Total</t>
  </si>
  <si>
    <t>Conservative</t>
  </si>
  <si>
    <t>20% of 27k = 5,400 pts</t>
  </si>
  <si>
    <t>$100k</t>
  </si>
  <si>
    <t>10% of 125k = 12,500 pts</t>
  </si>
  <si>
    <t>$60k</t>
  </si>
  <si>
    <t>$0.567B</t>
  </si>
  <si>
    <t>$0.788B</t>
  </si>
  <si>
    <t>$1.35B</t>
  </si>
  <si>
    <t>Base case</t>
  </si>
  <si>
    <t>35% = 9,450 pts</t>
  </si>
  <si>
    <t>$115k</t>
  </si>
  <si>
    <t>20% = 25,000 pts</t>
  </si>
  <si>
    <t>$80k</t>
  </si>
  <si>
    <t>$1.17B</t>
  </si>
  <si>
    <t>$2.15B</t>
  </si>
  <si>
    <t>$3.32B</t>
  </si>
  <si>
    <t>Upside</t>
  </si>
  <si>
    <t>50% = 13,500 pts</t>
  </si>
  <si>
    <t>$130k</t>
  </si>
  <si>
    <t>30% = 37,500 pts</t>
  </si>
  <si>
    <t>$1.93B</t>
  </si>
  <si>
    <t>$4.13B</t>
  </si>
  <si>
    <t>$6.06B</t>
  </si>
  <si>
    <t>Peak sales of PRGN-2009 (2040)</t>
  </si>
  <si>
    <t>500mln</t>
  </si>
  <si>
    <t>Discount</t>
  </si>
  <si>
    <t>European regulatory approval is another big catalyst</t>
  </si>
  <si>
    <t>one needs to study how they tend to approve these biologics</t>
  </si>
  <si>
    <t>Penetration</t>
  </si>
  <si>
    <t>2B</t>
  </si>
  <si>
    <t>Todo</t>
  </si>
  <si>
    <t>look for other studies on the subject matter</t>
  </si>
  <si>
    <t>Current and future management of recurrent respiratory papillomatosis</t>
  </si>
  <si>
    <t>Ivanic et al, 2018 doi: 10.1002/lio2.132</t>
  </si>
  <si>
    <t>Recurrent respiratory papillomatosis: A state-of-the-art review</t>
  </si>
  <si>
    <t>Fortes et al, 2017 DOI: 10.1016/j.rmed.2017.03.030</t>
  </si>
  <si>
    <t>Synthesis and Antiviral Evaluation of Octadecyloxyethyl Benzyl 9-[(2-Phosphonomethoxy)ethyl]guanine (ODE-Bn-PMEG), a Potent Inhibitor of Transient HPV DNA Amplification</t>
  </si>
  <si>
    <t>DOI: 10.1021/acs.jmedchem.6b00659</t>
  </si>
  <si>
    <t>Yu et al, 2016</t>
  </si>
  <si>
    <t>Recurrent respiratory papillomatosis: current and future perspectives</t>
  </si>
  <si>
    <t>Carifi et al, 2015 doi: 10.2147/TCRM.S81825</t>
  </si>
  <si>
    <t>Chinese guideline for the diagnosis and treatment of juvenile‐onset recurrent respiratory papillomatosis (2024)</t>
  </si>
  <si>
    <t>doi: 10.1002/ped4.12464</t>
  </si>
  <si>
    <t>Genomic diversity of HPV6 and HPV11 in recurrent respiratory papillomatosis: Association with malignant transformation in the lungs and clinical outcomes</t>
  </si>
  <si>
    <t>Rahmound et al., 2024 doi: 10.1016/j.tvr.2024.200294</t>
  </si>
  <si>
    <t>Local T-Cell Dysregulation and Immune Checkpoint Expression in Human Papillomavirus-Mediated Recurrent Respiratory Papillomatosis</t>
  </si>
  <si>
    <t>Eckel et al, 2025 doi: 10.3390/cells14130985</t>
  </si>
  <si>
    <t>Recurrent respiratory papillomatosis: role of bevacizumab and HPV vaccination. A literature review with case presentations</t>
  </si>
  <si>
    <t>Sporeni et al, 2025 doi: 10.2478/raon-2025-0010</t>
  </si>
  <si>
    <t>Brief Report: Use of Reprogrammed Cells to Identify Therapy for Respiratory Papillomatosis</t>
  </si>
  <si>
    <t>Yuan and Others, 2023</t>
  </si>
  <si>
    <t>Use of Reprogrammed Cells to Identify Therapy for Respiratory Papillomatosis</t>
  </si>
  <si>
    <t>Yuan et al, 2012 DOI: 10.1056/NEJMoa1203055</t>
  </si>
  <si>
    <t>Human Papillomavirus Vaccination</t>
  </si>
  <si>
    <t>Markowitz et al, 2023 DOI: 10.1056/NEJMcp2108502</t>
  </si>
  <si>
    <t>Reprogrammed Cells for Respiratory Papillomatosis</t>
  </si>
  <si>
    <t>2017, DOI: 10.1056/NEJMc1212926</t>
  </si>
  <si>
    <t>Efficacy of Quadrivalent HPV Vaccine against HPV Infection and Disease in Males</t>
  </si>
  <si>
    <t>Giuliano, et al 2011, DOI: 10.1056/NEJMoa0909537</t>
  </si>
  <si>
    <t>Human papillomavirus (HPV)</t>
  </si>
  <si>
    <t>Aggressiveness varies among patients</t>
  </si>
  <si>
    <t>RRP biology is not well understood</t>
  </si>
  <si>
    <t>complete response is a surrogate measure</t>
  </si>
  <si>
    <t xml:space="preserve">with questionable durability, and no control </t>
  </si>
  <si>
    <t>arm to top it all of</t>
  </si>
  <si>
    <t>cahracterized by recurrent exophytic papillomas fo the pithelial mucosa</t>
  </si>
  <si>
    <t>in the respiratory tract</t>
  </si>
  <si>
    <t>JO-RRP (juvenile version) occurs via vertical transmission during pregnancy</t>
  </si>
  <si>
    <t>or at birth from an HPV-infected mother, with a more aggressive clinical course.</t>
  </si>
  <si>
    <t xml:space="preserve">AO-RRP (adult) is not well studied. One study found association with the </t>
  </si>
  <si>
    <t>number of sexual partners you have, but result was not able to be replicated</t>
  </si>
  <si>
    <t>5% of the population carries HPV DNA in the larynx, but only a small portion</t>
  </si>
  <si>
    <t>of that develop RRP</t>
  </si>
  <si>
    <t>Ppl say that RRP is a multigene disease, polarizing innate and adaptative immune responses to tolerate HPV infection</t>
  </si>
  <si>
    <t>early hpv proteins (driven by HPV E6) alter the innate immune response and skew adaptive immunity to Th2-like phenotype.</t>
  </si>
  <si>
    <t>classified as a sexually transmitted virus?</t>
  </si>
  <si>
    <t xml:space="preserve">Adjuntant therapies: most doctors held RRP patients with other things on top of surgeries. This seems to impact the amount of </t>
  </si>
  <si>
    <t>subsequent surgeries patients have.</t>
  </si>
  <si>
    <t>Interferon (IFN): proteins released from leukocytes</t>
  </si>
  <si>
    <t>due to viral infection, uperegulating antigen production</t>
  </si>
  <si>
    <t>and activating immune cells</t>
  </si>
  <si>
    <t>Controversial</t>
  </si>
  <si>
    <t>IFN-alpha-2b</t>
  </si>
  <si>
    <t>replaced by pegylated-IFN-alpha-2a</t>
  </si>
  <si>
    <t>Side effects for IFN therapy include neurologic disorders, mental disturbances, thrombocytopenia, leukopenia, hair loss, and fever</t>
  </si>
  <si>
    <t>Cidofovir:</t>
  </si>
  <si>
    <t>cytosine nucleotide analog blocking the replication of DNA viruses by inhibiting viral DNA polymerase</t>
  </si>
  <si>
    <t>seems to work somewhat? And seems to be used prety often by surgeons</t>
  </si>
  <si>
    <t xml:space="preserve">recombinant monoclonal humanized antibody which blocks angiogenesis by inhibiting the </t>
  </si>
  <si>
    <t>human vascular endothelial growth factor A. (VEGF-A)</t>
  </si>
  <si>
    <t>Approved by the FDA in 2004</t>
  </si>
  <si>
    <t>shows promising results if used in combination with KTP laser</t>
  </si>
  <si>
    <t>SUPPORTING TREATMENTS</t>
  </si>
  <si>
    <t>COX-2-selective non-steroidal anti-inflammatory drug</t>
  </si>
  <si>
    <t>Celecoxib NCT 00571701</t>
  </si>
  <si>
    <t>not effective</t>
  </si>
  <si>
    <t>Programmed cell death protein (PD-1), present in the surface of leukocytes</t>
  </si>
  <si>
    <t>PD-1 inhibitors have shown efficacy in treating HPV-associated diseases like HNSCC</t>
  </si>
  <si>
    <t>PD-1 Inhibitor NCT02632344</t>
  </si>
  <si>
    <t>HPV Vaccine</t>
  </si>
  <si>
    <t>quadrivalent vaccine (Gardasil?)</t>
  </si>
  <si>
    <t>seems to be very promissing, and could permanently cure ppl from RRP</t>
  </si>
  <si>
    <t>larger trials need to be made to reach a concrete conclusion here.</t>
  </si>
  <si>
    <t>Diagnosis and management of recurrent respiratory papillomatosis</t>
  </si>
  <si>
    <t>Wilcox et al, 2014 DOI: 10.1097/INF.0000000000000551</t>
  </si>
  <si>
    <t>very important to understand the design of this trial</t>
  </si>
  <si>
    <t>bc we need to know if patients had preivous adjunctive treatment</t>
  </si>
  <si>
    <t>ODE-Bn-PMEG: could be a possible treatment?</t>
  </si>
  <si>
    <t>x</t>
  </si>
  <si>
    <t>Bevacizuman: (or bevacizumab)</t>
  </si>
  <si>
    <t>systemic treatments were not allowed but we can't tell if others</t>
  </si>
  <si>
    <t>were also excluded? If both cohorts are random, it shouldn't be</t>
  </si>
  <si>
    <t>a problem.</t>
  </si>
  <si>
    <t>Phase 1 monotherapy / combo with M7824</t>
  </si>
  <si>
    <t>only with crada</t>
  </si>
  <si>
    <t>HPV-associated cancers / solid tumors</t>
  </si>
  <si>
    <t>how can this be different from competition?</t>
  </si>
  <si>
    <t>5% of all cancers globally</t>
  </si>
  <si>
    <t>HPV infects the quacious cell carcinoma</t>
  </si>
  <si>
    <t>Phase 2 PRGN-2009 &amp; pembrolizumab on increase of CD3+ T cells infiltration NCT06157151</t>
  </si>
  <si>
    <t>Characterization of recombinant gorilla adenovirus HPV therapeutic vaccine PRGN-2009?</t>
  </si>
  <si>
    <t>Phase 2 PRGN-2009 for R/M cervical cancer NCT04432597</t>
  </si>
  <si>
    <t>Objective response rate per RECIST 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</si>
</sst>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0" fillId="0" borderId="1" xfId="0" applyBorder="1"/>
    <xf numFmtId="0" fontId="2" fillId="0" borderId="0" xfId="1"/>
    <xf numFmtId="0" fontId="1" fillId="0" borderId="0" xfId="0" applyFont="1"/>
    <xf numFmtId="0" fontId="3" fillId="0" borderId="0" xfId="0" applyFont="1"/>
    <xf numFmtId="9" fontId="0" fillId="0" borderId="0" xfId="0" applyNumberFormat="1"/>
    <xf numFmtId="0" fontId="4" fillId="0" borderId="0" xfId="0" applyFont="1"/>
    <xf numFmtId="0" fontId="0" fillId="0" borderId="0" xfId="0" quotePrefix="1"/>
    <xf numFmtId="8" fontId="0" fillId="0" borderId="0" xfId="0" applyNumberFormat="1"/>
    <xf numFmtId="1" fontId="0" fillId="0" borderId="0" xfId="0" applyNumberFormat="1"/>
    <xf numFmtId="1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198783</xdr:colOff>
      <xdr:row>1</xdr:row>
      <xdr:rowOff>115958</xdr:rowOff>
    </xdr:from>
    <xdr:to>
      <xdr:col>28</xdr:col>
      <xdr:colOff>11963</xdr:colOff>
      <xdr:row>20</xdr:row>
      <xdr:rowOff>35516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96C939-A57E-12F2-E47A-5D7FC4E6A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2174" y="298175"/>
          <a:ext cx="7101875" cy="3381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106778</xdr:colOff>
      <xdr:row>22</xdr:row>
      <xdr:rowOff>17945</xdr:rowOff>
    </xdr:from>
    <xdr:to>
      <xdr:col>26</xdr:col>
      <xdr:colOff>102789</xdr:colOff>
      <xdr:row>38</xdr:row>
      <xdr:rowOff>154585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EFD73D-FB75-90DD-07B3-83CC4326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41778" y="4208945"/>
          <a:ext cx="6028511" cy="3184640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39</xdr:row>
      <xdr:rowOff>174625</xdr:rowOff>
    </xdr:from>
    <xdr:to>
      <xdr:col>28</xdr:col>
      <xdr:colOff>159120</xdr:colOff>
      <xdr:row>56</xdr:row>
      <xdr:rowOff>47785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89F9E4-F460-A640-9828-37C4FA258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500" y="7604125"/>
          <a:ext cx="7207620" cy="3111660"/>
        </a:xfrm>
        <a:prstGeom prst="rect">
          <a:avLst/>
        </a:prstGeom>
      </xdr:spPr>
    </xdr:pic>
    <xdr:clientData/>
  </xdr:twoCellAnchor>
  <xdr:twoCellAnchor editAs="oneCell">
    <xdr:from>
      <xdr:col>16</xdr:col>
      <xdr:colOff>393700</xdr:colOff>
      <xdr:row>58</xdr:row>
      <xdr:rowOff>3170</xdr:rowOff>
    </xdr:from>
    <xdr:to>
      <xdr:col>23</xdr:col>
      <xdr:colOff>19338</xdr:colOff>
      <xdr:row>70</xdr:row>
      <xdr:rowOff>6513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8F249C-38D5-E2FB-FCAF-FC54B3C06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87450" y="10683870"/>
          <a:ext cx="3892838" cy="2213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12700</xdr:colOff>
      <xdr:row>1</xdr:row>
      <xdr:rowOff>139700</xdr:rowOff>
    </xdr:from>
    <xdr:to>
      <xdr:col>16</xdr:col>
      <xdr:colOff>12700</xdr:colOff>
      <xdr:row>31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35AD90E-078C-1661-58E8-B8518A4E9B8B}"/>
            </a:ext>
          </a:extLst>
        </xdr:cNvPr>
        <xdr:cNvCxnSpPr/>
      </xdr:nvCxnSpPr>
      <xdr:spPr>
        <a:xfrm>
          <a:off x="11328400" y="323850"/>
          <a:ext cx="0" cy="5219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210728</xdr:colOff>
      <xdr:row>8</xdr:row>
      <xdr:rowOff>47728</xdr:rowOff>
    </xdr:from>
    <xdr:to>
      <xdr:col>18</xdr:col>
      <xdr:colOff>6743</xdr:colOff>
      <xdr:row>14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EE6C1-0391-E9B2-D21C-EB50771F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528" y="1520928"/>
          <a:ext cx="3453615" cy="1139722"/>
        </a:xfrm>
        <a:prstGeom prst="rect">
          <a:avLst/>
        </a:prstGeom>
      </xdr:spPr>
    </xdr:pic>
    <xdr:clientData/>
  </xdr:twoCellAnchor>
  <xdr:twoCellAnchor editAs="oneCell">
    <xdr:from>
      <xdr:col>12</xdr:col>
      <xdr:colOff>254000</xdr:colOff>
      <xdr:row>15</xdr:row>
      <xdr:rowOff>57150</xdr:rowOff>
    </xdr:from>
    <xdr:to>
      <xdr:col>21</xdr:col>
      <xdr:colOff>482894</xdr:colOff>
      <xdr:row>45</xdr:row>
      <xdr:rowOff>25682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19905F-D6EC-0552-25A0-9D4797A04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9800" y="2819400"/>
          <a:ext cx="5715294" cy="54930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2</xdr:row>
      <xdr:rowOff>136466</xdr:rowOff>
    </xdr:from>
    <xdr:to>
      <xdr:col>14</xdr:col>
      <xdr:colOff>254356</xdr:colOff>
      <xdr:row>11</xdr:row>
      <xdr:rowOff>6515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832FD-EE71-DFC4-1135-D41F11902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3050" y="504766"/>
          <a:ext cx="3283306" cy="15273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135649</xdr:colOff>
      <xdr:row>0</xdr:row>
      <xdr:rowOff>169218</xdr:rowOff>
    </xdr:from>
    <xdr:to>
      <xdr:col>20</xdr:col>
      <xdr:colOff>523869</xdr:colOff>
      <xdr:row>10</xdr:row>
      <xdr:rowOff>42457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1BC3A1-5733-2892-ADE7-C78B51CE6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9187" y="169218"/>
          <a:ext cx="2219951" cy="1729393"/>
        </a:xfrm>
        <a:prstGeom prst="rect">
          <a:avLst/>
        </a:prstGeom>
      </xdr:spPr>
    </xdr:pic>
    <xdr:clientData/>
  </xdr:twoCellAnchor>
  <xdr:twoCellAnchor editAs="oneCell">
    <xdr:from>
      <xdr:col>10</xdr:col>
      <xdr:colOff>12315</xdr:colOff>
      <xdr:row>48</xdr:row>
      <xdr:rowOff>153274</xdr:rowOff>
    </xdr:from>
    <xdr:to>
      <xdr:col>15</xdr:col>
      <xdr:colOff>286142</xdr:colOff>
      <xdr:row>57</xdr:row>
      <xdr:rowOff>64664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6536E9-1A17-EAE3-24FB-F7EBAD2E9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9108" y="8981964"/>
          <a:ext cx="3317448" cy="1566769"/>
        </a:xfrm>
        <a:prstGeom prst="rect">
          <a:avLst/>
        </a:prstGeom>
      </xdr:spPr>
    </xdr:pic>
    <xdr:clientData/>
  </xdr:twoCellAnchor>
  <xdr:twoCellAnchor editAs="oneCell">
    <xdr:from>
      <xdr:col>15</xdr:col>
      <xdr:colOff>284655</xdr:colOff>
      <xdr:row>48</xdr:row>
      <xdr:rowOff>46226</xdr:rowOff>
    </xdr:from>
    <xdr:to>
      <xdr:col>22</xdr:col>
      <xdr:colOff>545214</xdr:colOff>
      <xdr:row>57</xdr:row>
      <xdr:rowOff>116955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7AC9E8-6370-159E-B22B-92E3C7E28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5069" y="8874916"/>
          <a:ext cx="4521628" cy="1726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4"/>
  <sheetViews>
    <sheetView topLeftCell="D1" zoomScaleNormal="100" workbookViewId="0">
      <selection activeCell="P51" sqref="P51"/>
    </sheetView>
  </sheetViews>
  <sheetFormatPr defaultRowHeight="14.5" x14ac:dyDescent="0.35"/>
  <cols>
    <col min="2" max="2" width="13.26953125" customWidth="1"/>
    <col min="3" max="3" width="32.54296875" bestFit="1" customWidth="1"/>
    <col min="4" max="4" width="24.6328125" bestFit="1" customWidth="1"/>
    <col min="5" max="5" width="9.6328125" bestFit="1" customWidth="1"/>
    <col min="7" max="7" width="16" bestFit="1" customWidth="1"/>
    <col min="11" max="11" width="9.81640625" bestFit="1" customWidth="1"/>
  </cols>
  <sheetData>
    <row r="2" spans="2:11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J2" t="s">
        <v>6</v>
      </c>
    </row>
    <row r="3" spans="2:11" x14ac:dyDescent="0.35">
      <c r="B3" s="3" t="s">
        <v>47</v>
      </c>
      <c r="C3" t="s">
        <v>57</v>
      </c>
      <c r="D3" t="s">
        <v>65</v>
      </c>
      <c r="E3" s="6">
        <v>1</v>
      </c>
      <c r="F3">
        <v>2025</v>
      </c>
      <c r="G3" s="4"/>
      <c r="J3" t="s">
        <v>0</v>
      </c>
      <c r="K3">
        <v>1.78</v>
      </c>
    </row>
    <row r="4" spans="2:11" x14ac:dyDescent="0.35">
      <c r="J4" t="s">
        <v>1</v>
      </c>
      <c r="K4" s="1">
        <v>295000</v>
      </c>
    </row>
    <row r="5" spans="2:11" x14ac:dyDescent="0.35">
      <c r="J5" t="s">
        <v>2</v>
      </c>
      <c r="K5" s="1">
        <f>K3*K4</f>
        <v>525100</v>
      </c>
    </row>
    <row r="6" spans="2:11" x14ac:dyDescent="0.35">
      <c r="B6" s="2"/>
      <c r="C6" s="2"/>
      <c r="D6" s="2"/>
      <c r="E6" s="2"/>
      <c r="F6" s="2" t="s">
        <v>13</v>
      </c>
      <c r="G6" s="2" t="s">
        <v>14</v>
      </c>
      <c r="J6" t="s">
        <v>3</v>
      </c>
      <c r="K6" s="1">
        <v>6058</v>
      </c>
    </row>
    <row r="7" spans="2:11" x14ac:dyDescent="0.35">
      <c r="H7">
        <v>2046</v>
      </c>
      <c r="J7" t="s">
        <v>4</v>
      </c>
      <c r="K7" s="1">
        <f>928+4489</f>
        <v>5417</v>
      </c>
    </row>
    <row r="8" spans="2:11" x14ac:dyDescent="0.35">
      <c r="B8" s="3" t="s">
        <v>48</v>
      </c>
      <c r="C8" t="s">
        <v>69</v>
      </c>
      <c r="D8" t="s">
        <v>66</v>
      </c>
      <c r="E8" t="s">
        <v>56</v>
      </c>
      <c r="F8">
        <v>2</v>
      </c>
      <c r="G8" t="s">
        <v>289</v>
      </c>
      <c r="J8" t="s">
        <v>5</v>
      </c>
      <c r="K8" s="1">
        <f>K5-K6+K7</f>
        <v>524459</v>
      </c>
    </row>
    <row r="9" spans="2:11" x14ac:dyDescent="0.35">
      <c r="B9" t="s">
        <v>48</v>
      </c>
      <c r="C9" t="s">
        <v>68</v>
      </c>
      <c r="D9" t="s">
        <v>66</v>
      </c>
      <c r="E9" t="s">
        <v>56</v>
      </c>
      <c r="F9" t="s">
        <v>67</v>
      </c>
      <c r="G9" t="s">
        <v>289</v>
      </c>
    </row>
    <row r="10" spans="2:11" x14ac:dyDescent="0.35">
      <c r="B10" t="s">
        <v>50</v>
      </c>
      <c r="C10" t="s">
        <v>71</v>
      </c>
      <c r="D10" t="s">
        <v>70</v>
      </c>
      <c r="E10" s="6">
        <v>1</v>
      </c>
      <c r="F10" t="s">
        <v>53</v>
      </c>
      <c r="G10" t="s">
        <v>55</v>
      </c>
      <c r="J10" t="s">
        <v>38</v>
      </c>
    </row>
    <row r="11" spans="2:11" x14ac:dyDescent="0.35">
      <c r="B11" t="s">
        <v>51</v>
      </c>
      <c r="C11" t="s">
        <v>72</v>
      </c>
      <c r="D11" t="s">
        <v>75</v>
      </c>
      <c r="E11" s="6">
        <v>1</v>
      </c>
      <c r="F11" t="s">
        <v>53</v>
      </c>
      <c r="G11" t="s">
        <v>77</v>
      </c>
    </row>
    <row r="12" spans="2:11" x14ac:dyDescent="0.35">
      <c r="B12" t="s">
        <v>52</v>
      </c>
      <c r="C12" t="s">
        <v>73</v>
      </c>
      <c r="D12" t="s">
        <v>76</v>
      </c>
      <c r="E12" s="6">
        <v>1</v>
      </c>
      <c r="F12">
        <v>1</v>
      </c>
      <c r="G12" t="s">
        <v>55</v>
      </c>
      <c r="J12" t="s">
        <v>39</v>
      </c>
    </row>
    <row r="13" spans="2:11" x14ac:dyDescent="0.35">
      <c r="B13" t="s">
        <v>54</v>
      </c>
      <c r="D13" t="s">
        <v>45</v>
      </c>
      <c r="E13" s="6">
        <v>1</v>
      </c>
      <c r="G13" t="s">
        <v>74</v>
      </c>
      <c r="K13" t="s">
        <v>40</v>
      </c>
    </row>
    <row r="14" spans="2:11" x14ac:dyDescent="0.35">
      <c r="K14" t="s">
        <v>41</v>
      </c>
    </row>
    <row r="15" spans="2:11" x14ac:dyDescent="0.35">
      <c r="K15" t="s">
        <v>42</v>
      </c>
    </row>
    <row r="17" spans="2:10" x14ac:dyDescent="0.35">
      <c r="J17" t="s">
        <v>43</v>
      </c>
    </row>
    <row r="19" spans="2:10" x14ac:dyDescent="0.35">
      <c r="B19" s="3" t="s">
        <v>79</v>
      </c>
      <c r="D19" s="3" t="s">
        <v>141</v>
      </c>
    </row>
    <row r="20" spans="2:10" x14ac:dyDescent="0.35">
      <c r="B20" s="5" t="s">
        <v>44</v>
      </c>
      <c r="J20" t="s">
        <v>58</v>
      </c>
    </row>
    <row r="21" spans="2:10" x14ac:dyDescent="0.35">
      <c r="B21" s="5" t="s">
        <v>49</v>
      </c>
    </row>
    <row r="22" spans="2:10" x14ac:dyDescent="0.35">
      <c r="B22" s="5" t="s">
        <v>45</v>
      </c>
      <c r="J22" t="s">
        <v>63</v>
      </c>
    </row>
    <row r="23" spans="2:10" x14ac:dyDescent="0.35">
      <c r="B23" s="5" t="s">
        <v>46</v>
      </c>
    </row>
    <row r="24" spans="2:10" x14ac:dyDescent="0.35">
      <c r="J24" t="s">
        <v>64</v>
      </c>
    </row>
    <row r="26" spans="2:10" x14ac:dyDescent="0.35">
      <c r="J26" s="4" t="s">
        <v>123</v>
      </c>
    </row>
    <row r="27" spans="2:10" x14ac:dyDescent="0.35">
      <c r="J27" s="4" t="s">
        <v>124</v>
      </c>
    </row>
    <row r="28" spans="2:10" x14ac:dyDescent="0.35">
      <c r="B28" s="7" t="s">
        <v>205</v>
      </c>
    </row>
    <row r="29" spans="2:10" x14ac:dyDescent="0.35">
      <c r="J29" t="s">
        <v>125</v>
      </c>
    </row>
    <row r="32" spans="2:10" x14ac:dyDescent="0.35">
      <c r="J32" t="s">
        <v>201</v>
      </c>
    </row>
    <row r="33" spans="2:10" x14ac:dyDescent="0.35">
      <c r="B33" t="s">
        <v>206</v>
      </c>
      <c r="J33" t="s">
        <v>202</v>
      </c>
    </row>
    <row r="36" spans="2:10" x14ac:dyDescent="0.35">
      <c r="J36" t="s">
        <v>237</v>
      </c>
    </row>
    <row r="37" spans="2:10" x14ac:dyDescent="0.35">
      <c r="J37" t="s">
        <v>238</v>
      </c>
    </row>
    <row r="38" spans="2:10" x14ac:dyDescent="0.35">
      <c r="J38" t="s">
        <v>239</v>
      </c>
    </row>
    <row r="40" spans="2:10" x14ac:dyDescent="0.35">
      <c r="J40" t="s">
        <v>280</v>
      </c>
    </row>
    <row r="41" spans="2:10" x14ac:dyDescent="0.35">
      <c r="J41" t="s">
        <v>281</v>
      </c>
    </row>
    <row r="42" spans="2:10" x14ac:dyDescent="0.35">
      <c r="J42" t="s">
        <v>285</v>
      </c>
    </row>
    <row r="43" spans="2:10" x14ac:dyDescent="0.35">
      <c r="J43" t="s">
        <v>286</v>
      </c>
    </row>
    <row r="44" spans="2:10" x14ac:dyDescent="0.35">
      <c r="J44" t="s">
        <v>287</v>
      </c>
    </row>
  </sheetData>
  <hyperlinks>
    <hyperlink ref="B3" location="'PRGN-2012'!A1" display="PRGN-2012" xr:uid="{63C54E3C-2CB2-4B89-A656-03D410EA0FDA}"/>
    <hyperlink ref="B19" location="Platforms!A1" display="Platforms" xr:uid="{E7FB8562-5591-4D2B-BC41-2873ECE64203}"/>
    <hyperlink ref="B8" location="'PRGN-2009'!A1" display="PRGN-2009" xr:uid="{E63C2D54-AE22-4172-860C-B5130FFEEEC8}"/>
    <hyperlink ref="D19" location="ImmunoTherapies!A1" display="ImmunoTherapies" xr:uid="{6D7E909F-8F0C-4BE8-95D9-F929F1CFD32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92E3-8548-4B42-9B96-480B018C0EBC}">
  <dimension ref="A1:DC35"/>
  <sheetViews>
    <sheetView zoomScale="96" zoomScaleNormal="145" workbookViewId="0">
      <pane xSplit="2" ySplit="2" topLeftCell="AI13" activePane="bottomRight" state="frozen"/>
      <selection pane="topRight" activeCell="C1" sqref="C1"/>
      <selection pane="bottomLeft" activeCell="A3" sqref="A3"/>
      <selection pane="bottomRight" activeCell="AT27" sqref="AT27"/>
    </sheetView>
  </sheetViews>
  <sheetFormatPr defaultRowHeight="14.5" x14ac:dyDescent="0.35"/>
  <cols>
    <col min="1" max="1" width="5.08984375" bestFit="1" customWidth="1"/>
    <col min="2" max="2" width="34.7265625" bestFit="1" customWidth="1"/>
    <col min="17" max="17" width="9.36328125" bestFit="1" customWidth="1"/>
    <col min="18" max="18" width="11" bestFit="1" customWidth="1"/>
    <col min="19" max="24" width="12" bestFit="1" customWidth="1"/>
    <col min="25" max="25" width="12.08984375" bestFit="1" customWidth="1"/>
    <col min="26" max="26" width="10.453125" bestFit="1" customWidth="1"/>
    <col min="27" max="27" width="12.08984375" bestFit="1" customWidth="1"/>
    <col min="28" max="43" width="10.453125" bestFit="1" customWidth="1"/>
    <col min="44" max="44" width="13.36328125" bestFit="1" customWidth="1"/>
    <col min="45" max="59" width="10.453125" bestFit="1" customWidth="1"/>
    <col min="60" max="60" width="10.36328125" bestFit="1" customWidth="1"/>
    <col min="61" max="104" width="9.36328125" bestFit="1" customWidth="1"/>
    <col min="105" max="107" width="8.90625" bestFit="1" customWidth="1"/>
  </cols>
  <sheetData>
    <row r="1" spans="1:107" x14ac:dyDescent="0.35">
      <c r="A1" s="3" t="s">
        <v>15</v>
      </c>
    </row>
    <row r="2" spans="1:107" x14ac:dyDescent="0.35">
      <c r="H2" t="s">
        <v>17</v>
      </c>
      <c r="I2" t="s">
        <v>16</v>
      </c>
      <c r="N2">
        <v>2022</v>
      </c>
      <c r="O2">
        <v>2023</v>
      </c>
      <c r="P2">
        <v>2024</v>
      </c>
      <c r="Q2">
        <v>2025</v>
      </c>
      <c r="R2">
        <f>Q2+1</f>
        <v>2026</v>
      </c>
      <c r="S2">
        <f t="shared" ref="S2:CD2" si="0">R2+1</f>
        <v>2027</v>
      </c>
      <c r="T2">
        <f t="shared" si="0"/>
        <v>2028</v>
      </c>
      <c r="U2">
        <f t="shared" si="0"/>
        <v>2029</v>
      </c>
      <c r="V2">
        <f t="shared" si="0"/>
        <v>2030</v>
      </c>
      <c r="W2">
        <f t="shared" si="0"/>
        <v>2031</v>
      </c>
      <c r="X2">
        <f t="shared" si="0"/>
        <v>2032</v>
      </c>
      <c r="Y2">
        <f t="shared" si="0"/>
        <v>2033</v>
      </c>
      <c r="Z2">
        <f t="shared" si="0"/>
        <v>2034</v>
      </c>
      <c r="AA2">
        <f t="shared" si="0"/>
        <v>2035</v>
      </c>
      <c r="AB2">
        <f t="shared" si="0"/>
        <v>2036</v>
      </c>
      <c r="AC2">
        <f t="shared" si="0"/>
        <v>2037</v>
      </c>
      <c r="AD2">
        <f t="shared" si="0"/>
        <v>2038</v>
      </c>
      <c r="AE2">
        <f t="shared" si="0"/>
        <v>2039</v>
      </c>
      <c r="AF2">
        <f t="shared" si="0"/>
        <v>2040</v>
      </c>
      <c r="AG2">
        <f t="shared" si="0"/>
        <v>2041</v>
      </c>
      <c r="AH2">
        <f t="shared" si="0"/>
        <v>2042</v>
      </c>
      <c r="AI2">
        <f t="shared" si="0"/>
        <v>2043</v>
      </c>
      <c r="AJ2">
        <f t="shared" si="0"/>
        <v>2044</v>
      </c>
      <c r="AK2">
        <f t="shared" si="0"/>
        <v>2045</v>
      </c>
      <c r="AL2">
        <f t="shared" si="0"/>
        <v>2046</v>
      </c>
      <c r="AM2">
        <f t="shared" si="0"/>
        <v>2047</v>
      </c>
      <c r="AN2">
        <f t="shared" si="0"/>
        <v>2048</v>
      </c>
      <c r="AO2">
        <f t="shared" si="0"/>
        <v>2049</v>
      </c>
      <c r="AP2">
        <f t="shared" si="0"/>
        <v>2050</v>
      </c>
      <c r="AQ2">
        <f t="shared" si="0"/>
        <v>2051</v>
      </c>
      <c r="AR2">
        <f t="shared" si="0"/>
        <v>2052</v>
      </c>
      <c r="AS2">
        <f t="shared" si="0"/>
        <v>2053</v>
      </c>
      <c r="AT2">
        <f t="shared" si="0"/>
        <v>2054</v>
      </c>
      <c r="AU2">
        <f t="shared" si="0"/>
        <v>2055</v>
      </c>
      <c r="AV2">
        <f t="shared" si="0"/>
        <v>2056</v>
      </c>
      <c r="AW2">
        <f t="shared" si="0"/>
        <v>2057</v>
      </c>
      <c r="AX2">
        <f t="shared" si="0"/>
        <v>2058</v>
      </c>
      <c r="AY2">
        <f t="shared" si="0"/>
        <v>2059</v>
      </c>
      <c r="AZ2">
        <f t="shared" si="0"/>
        <v>2060</v>
      </c>
      <c r="BA2">
        <f t="shared" si="0"/>
        <v>2061</v>
      </c>
      <c r="BB2">
        <f t="shared" si="0"/>
        <v>2062</v>
      </c>
      <c r="BC2">
        <f t="shared" si="0"/>
        <v>2063</v>
      </c>
      <c r="BD2">
        <f t="shared" si="0"/>
        <v>2064</v>
      </c>
      <c r="BE2">
        <f t="shared" si="0"/>
        <v>2065</v>
      </c>
      <c r="BF2">
        <f t="shared" si="0"/>
        <v>2066</v>
      </c>
      <c r="BG2">
        <f t="shared" si="0"/>
        <v>2067</v>
      </c>
      <c r="BH2">
        <f t="shared" si="0"/>
        <v>2068</v>
      </c>
      <c r="BI2">
        <f t="shared" si="0"/>
        <v>2069</v>
      </c>
      <c r="BJ2">
        <f t="shared" si="0"/>
        <v>2070</v>
      </c>
      <c r="BK2">
        <f t="shared" si="0"/>
        <v>2071</v>
      </c>
      <c r="BL2">
        <f t="shared" si="0"/>
        <v>2072</v>
      </c>
      <c r="BM2">
        <f t="shared" si="0"/>
        <v>2073</v>
      </c>
      <c r="BN2">
        <f t="shared" si="0"/>
        <v>2074</v>
      </c>
      <c r="BO2">
        <f t="shared" si="0"/>
        <v>2075</v>
      </c>
      <c r="BP2">
        <f t="shared" si="0"/>
        <v>2076</v>
      </c>
      <c r="BQ2">
        <f t="shared" si="0"/>
        <v>2077</v>
      </c>
      <c r="BR2">
        <f t="shared" si="0"/>
        <v>2078</v>
      </c>
      <c r="BS2">
        <f t="shared" si="0"/>
        <v>2079</v>
      </c>
      <c r="BT2">
        <f t="shared" si="0"/>
        <v>2080</v>
      </c>
      <c r="BU2">
        <f t="shared" si="0"/>
        <v>2081</v>
      </c>
      <c r="BV2">
        <f t="shared" si="0"/>
        <v>2082</v>
      </c>
      <c r="BW2">
        <f t="shared" si="0"/>
        <v>2083</v>
      </c>
      <c r="BX2">
        <f t="shared" si="0"/>
        <v>2084</v>
      </c>
      <c r="BY2">
        <f t="shared" si="0"/>
        <v>2085</v>
      </c>
      <c r="BZ2">
        <f t="shared" si="0"/>
        <v>2086</v>
      </c>
      <c r="CA2">
        <f t="shared" si="0"/>
        <v>2087</v>
      </c>
      <c r="CB2">
        <f t="shared" si="0"/>
        <v>2088</v>
      </c>
      <c r="CC2">
        <f t="shared" si="0"/>
        <v>2089</v>
      </c>
      <c r="CD2">
        <f t="shared" si="0"/>
        <v>2090</v>
      </c>
      <c r="CE2">
        <f t="shared" ref="CE2:DC2" si="1">CD2+1</f>
        <v>2091</v>
      </c>
      <c r="CF2">
        <f t="shared" si="1"/>
        <v>2092</v>
      </c>
      <c r="CG2">
        <f t="shared" si="1"/>
        <v>2093</v>
      </c>
      <c r="CH2">
        <f t="shared" si="1"/>
        <v>2094</v>
      </c>
      <c r="CI2">
        <f t="shared" si="1"/>
        <v>2095</v>
      </c>
      <c r="CJ2">
        <f t="shared" si="1"/>
        <v>2096</v>
      </c>
      <c r="CK2">
        <f t="shared" si="1"/>
        <v>2097</v>
      </c>
      <c r="CL2">
        <f t="shared" si="1"/>
        <v>2098</v>
      </c>
      <c r="CM2">
        <f t="shared" si="1"/>
        <v>2099</v>
      </c>
      <c r="CN2">
        <f t="shared" si="1"/>
        <v>2100</v>
      </c>
      <c r="CO2">
        <f t="shared" si="1"/>
        <v>2101</v>
      </c>
      <c r="CP2">
        <f t="shared" si="1"/>
        <v>2102</v>
      </c>
      <c r="CQ2">
        <f t="shared" si="1"/>
        <v>2103</v>
      </c>
      <c r="CR2">
        <f t="shared" si="1"/>
        <v>2104</v>
      </c>
      <c r="CS2">
        <f t="shared" si="1"/>
        <v>2105</v>
      </c>
      <c r="CT2">
        <f t="shared" si="1"/>
        <v>2106</v>
      </c>
      <c r="CU2">
        <f t="shared" si="1"/>
        <v>2107</v>
      </c>
      <c r="CV2">
        <f t="shared" si="1"/>
        <v>2108</v>
      </c>
      <c r="CW2">
        <f t="shared" si="1"/>
        <v>2109</v>
      </c>
      <c r="CX2">
        <f t="shared" si="1"/>
        <v>2110</v>
      </c>
      <c r="CY2">
        <f t="shared" si="1"/>
        <v>2111</v>
      </c>
      <c r="CZ2">
        <f t="shared" si="1"/>
        <v>2112</v>
      </c>
      <c r="DA2">
        <f t="shared" si="1"/>
        <v>2113</v>
      </c>
      <c r="DB2">
        <f t="shared" si="1"/>
        <v>2114</v>
      </c>
      <c r="DC2">
        <f t="shared" si="1"/>
        <v>2115</v>
      </c>
    </row>
    <row r="3" spans="1:107" s="10" customFormat="1" x14ac:dyDescent="0.35">
      <c r="B3" s="10" t="s">
        <v>47</v>
      </c>
      <c r="Q3" s="1">
        <v>10000</v>
      </c>
      <c r="R3" s="1">
        <v>118000</v>
      </c>
      <c r="S3" s="1">
        <f>R3*1.5</f>
        <v>177000</v>
      </c>
      <c r="T3" s="1">
        <f>S3*1.25</f>
        <v>221250</v>
      </c>
      <c r="U3" s="1">
        <f t="shared" ref="U3:AA3" si="2">T3*1.25</f>
        <v>276562.5</v>
      </c>
      <c r="V3" s="1">
        <f t="shared" si="2"/>
        <v>345703.125</v>
      </c>
      <c r="W3" s="1">
        <f t="shared" si="2"/>
        <v>432128.90625</v>
      </c>
      <c r="X3" s="1">
        <f>W3*1.05</f>
        <v>453735.3515625</v>
      </c>
      <c r="Y3" s="1">
        <f t="shared" si="2"/>
        <v>567169.189453125</v>
      </c>
      <c r="Z3" s="1">
        <f t="shared" si="2"/>
        <v>708961.48681640625</v>
      </c>
      <c r="AA3" s="1">
        <f t="shared" si="2"/>
        <v>886201.85852050781</v>
      </c>
      <c r="AB3" s="1">
        <f>AA3*1.05</f>
        <v>930511.9514465332</v>
      </c>
      <c r="AC3" s="1">
        <f>AB3*1.05</f>
        <v>977037.54901885986</v>
      </c>
      <c r="AD3" s="1">
        <f>AC3*1.05</f>
        <v>1025889.4264698029</v>
      </c>
      <c r="AE3" s="1">
        <f>AD3*1.05</f>
        <v>1077183.897793293</v>
      </c>
      <c r="AF3" s="1">
        <f t="shared" ref="AF3:AI3" si="3">AE3*1.02</f>
        <v>1098727.5757491589</v>
      </c>
      <c r="AG3" s="1">
        <f t="shared" si="3"/>
        <v>1120702.127264142</v>
      </c>
      <c r="AH3" s="1">
        <f t="shared" si="3"/>
        <v>1143116.1698094248</v>
      </c>
      <c r="AI3" s="1">
        <f t="shared" si="3"/>
        <v>1165978.4932056132</v>
      </c>
      <c r="AJ3" s="1">
        <f>AI3*0.95</f>
        <v>1107679.5685453324</v>
      </c>
      <c r="AK3" s="1">
        <f t="shared" ref="AK3:CV3" si="4">AJ3*0.95</f>
        <v>1052295.5901180657</v>
      </c>
      <c r="AL3" s="1">
        <f t="shared" si="4"/>
        <v>999680.81061216234</v>
      </c>
      <c r="AM3" s="1">
        <f t="shared" si="4"/>
        <v>949696.77008155419</v>
      </c>
      <c r="AN3" s="1">
        <f t="shared" si="4"/>
        <v>902211.93157747644</v>
      </c>
      <c r="AO3" s="1">
        <f t="shared" si="4"/>
        <v>857101.33499860263</v>
      </c>
      <c r="AP3" s="1">
        <f t="shared" si="4"/>
        <v>814246.26824867248</v>
      </c>
      <c r="AQ3" s="1">
        <f t="shared" si="4"/>
        <v>773533.95483623887</v>
      </c>
      <c r="AR3" s="1">
        <f t="shared" si="4"/>
        <v>734857.2570944269</v>
      </c>
      <c r="AS3" s="1">
        <f t="shared" si="4"/>
        <v>698114.39423970552</v>
      </c>
      <c r="AT3" s="1">
        <f t="shared" si="4"/>
        <v>663208.6745277202</v>
      </c>
      <c r="AU3" s="1">
        <f t="shared" si="4"/>
        <v>630048.24080133415</v>
      </c>
      <c r="AV3" s="1">
        <f t="shared" si="4"/>
        <v>598545.82876126736</v>
      </c>
      <c r="AW3" s="1">
        <f t="shared" si="4"/>
        <v>568618.53732320399</v>
      </c>
      <c r="AX3" s="1">
        <f t="shared" si="4"/>
        <v>540187.61045704375</v>
      </c>
      <c r="AY3" s="1">
        <f t="shared" si="4"/>
        <v>513178.22993419151</v>
      </c>
      <c r="AZ3" s="1">
        <f t="shared" si="4"/>
        <v>487519.31843748188</v>
      </c>
      <c r="BA3" s="1">
        <f t="shared" si="4"/>
        <v>463143.35251560778</v>
      </c>
      <c r="BB3" s="1">
        <f t="shared" si="4"/>
        <v>439986.18488982739</v>
      </c>
      <c r="BC3" s="1">
        <f t="shared" si="4"/>
        <v>417986.875645336</v>
      </c>
      <c r="BD3" s="1">
        <f t="shared" si="4"/>
        <v>397087.53186306916</v>
      </c>
      <c r="BE3" s="1">
        <f t="shared" si="4"/>
        <v>377233.1552699157</v>
      </c>
      <c r="BF3" s="1">
        <f t="shared" si="4"/>
        <v>358371.4975064199</v>
      </c>
      <c r="BG3" s="1">
        <f t="shared" si="4"/>
        <v>340452.92263109889</v>
      </c>
      <c r="BH3" s="1">
        <f t="shared" si="4"/>
        <v>323430.27649954392</v>
      </c>
      <c r="BI3" s="1">
        <f t="shared" si="4"/>
        <v>307258.76267456671</v>
      </c>
      <c r="BJ3" s="1">
        <f t="shared" si="4"/>
        <v>291895.82454083837</v>
      </c>
      <c r="BK3" s="1">
        <f t="shared" si="4"/>
        <v>277301.03331379645</v>
      </c>
      <c r="BL3" s="1">
        <f t="shared" si="4"/>
        <v>263435.98164810659</v>
      </c>
      <c r="BM3" s="1">
        <f t="shared" si="4"/>
        <v>250264.18256570125</v>
      </c>
      <c r="BN3" s="1">
        <f t="shared" si="4"/>
        <v>237750.97343741619</v>
      </c>
      <c r="BO3" s="1">
        <f t="shared" si="4"/>
        <v>225863.42476554538</v>
      </c>
      <c r="BP3" s="1">
        <f t="shared" si="4"/>
        <v>214570.2535272681</v>
      </c>
      <c r="BQ3" s="1">
        <f t="shared" si="4"/>
        <v>203841.74085090469</v>
      </c>
      <c r="BR3" s="1">
        <f t="shared" si="4"/>
        <v>193649.65380835946</v>
      </c>
      <c r="BS3" s="1">
        <f t="shared" si="4"/>
        <v>183967.17111794147</v>
      </c>
      <c r="BT3" s="1">
        <f t="shared" si="4"/>
        <v>174768.81256204439</v>
      </c>
      <c r="BU3" s="1">
        <f t="shared" si="4"/>
        <v>166030.37193394217</v>
      </c>
      <c r="BV3" s="1">
        <f t="shared" si="4"/>
        <v>157728.85333724506</v>
      </c>
      <c r="BW3" s="1">
        <f t="shared" si="4"/>
        <v>149842.41067038281</v>
      </c>
      <c r="BX3" s="1">
        <f t="shared" si="4"/>
        <v>142350.29013686368</v>
      </c>
      <c r="BY3" s="1">
        <f t="shared" si="4"/>
        <v>135232.77563002048</v>
      </c>
      <c r="BZ3" s="1">
        <f t="shared" si="4"/>
        <v>128471.13684851945</v>
      </c>
      <c r="CA3" s="1">
        <f t="shared" si="4"/>
        <v>122047.58000609347</v>
      </c>
      <c r="CB3" s="1">
        <f t="shared" si="4"/>
        <v>115945.2010057888</v>
      </c>
      <c r="CC3" s="1">
        <f t="shared" si="4"/>
        <v>110147.94095549935</v>
      </c>
      <c r="CD3" s="1">
        <f t="shared" si="4"/>
        <v>104640.54390772438</v>
      </c>
      <c r="CE3" s="1">
        <f t="shared" si="4"/>
        <v>99408.516712338154</v>
      </c>
      <c r="CF3" s="1">
        <f t="shared" si="4"/>
        <v>94438.090876721239</v>
      </c>
      <c r="CG3" s="1">
        <f t="shared" si="4"/>
        <v>89716.186332885176</v>
      </c>
      <c r="CH3" s="1">
        <f t="shared" si="4"/>
        <v>85230.37701624092</v>
      </c>
      <c r="CI3" s="1">
        <f t="shared" si="4"/>
        <v>80968.858165428872</v>
      </c>
      <c r="CJ3" s="1">
        <f t="shared" si="4"/>
        <v>76920.415257157423</v>
      </c>
      <c r="CK3" s="1">
        <f t="shared" si="4"/>
        <v>73074.394494299544</v>
      </c>
      <c r="CL3" s="1">
        <f t="shared" si="4"/>
        <v>69420.67476958457</v>
      </c>
      <c r="CM3" s="1">
        <f t="shared" si="4"/>
        <v>65949.641031105333</v>
      </c>
      <c r="CN3" s="1">
        <f t="shared" si="4"/>
        <v>62652.158979550062</v>
      </c>
      <c r="CO3" s="1">
        <f t="shared" si="4"/>
        <v>59519.551030572555</v>
      </c>
      <c r="CP3" s="1">
        <f t="shared" si="4"/>
        <v>56543.573479043924</v>
      </c>
      <c r="CQ3" s="1">
        <f t="shared" si="4"/>
        <v>53716.394805091724</v>
      </c>
      <c r="CR3" s="1">
        <f t="shared" si="4"/>
        <v>51030.575064837132</v>
      </c>
      <c r="CS3" s="1">
        <f t="shared" si="4"/>
        <v>48479.046311595273</v>
      </c>
      <c r="CT3" s="1">
        <f t="shared" si="4"/>
        <v>46055.093996015508</v>
      </c>
      <c r="CU3" s="1">
        <f t="shared" si="4"/>
        <v>43752.339296214734</v>
      </c>
      <c r="CV3" s="1">
        <f t="shared" si="4"/>
        <v>41564.722331403995</v>
      </c>
      <c r="CW3" s="1">
        <f t="shared" ref="CW3:DC3" si="5">CV3*0.95</f>
        <v>39486.486214833792</v>
      </c>
      <c r="CX3" s="1">
        <f t="shared" si="5"/>
        <v>37512.1619040921</v>
      </c>
      <c r="CY3" s="1">
        <f t="shared" si="5"/>
        <v>35636.553808887496</v>
      </c>
      <c r="CZ3" s="1">
        <f t="shared" si="5"/>
        <v>33854.726118443119</v>
      </c>
      <c r="DA3" s="1">
        <f t="shared" si="5"/>
        <v>32161.989812520962</v>
      </c>
      <c r="DB3" s="1">
        <f t="shared" si="5"/>
        <v>30553.890321894913</v>
      </c>
      <c r="DC3" s="1">
        <f t="shared" si="5"/>
        <v>29026.195805800166</v>
      </c>
    </row>
    <row r="4" spans="1:107" x14ac:dyDescent="0.35">
      <c r="B4" t="s">
        <v>18</v>
      </c>
      <c r="H4" s="1">
        <v>138</v>
      </c>
      <c r="I4" s="1">
        <v>203</v>
      </c>
      <c r="N4" s="1">
        <v>1903</v>
      </c>
      <c r="O4" s="1">
        <v>840</v>
      </c>
      <c r="P4" s="1">
        <v>422</v>
      </c>
      <c r="Q4" s="1">
        <v>500</v>
      </c>
    </row>
    <row r="5" spans="1:107" x14ac:dyDescent="0.35">
      <c r="B5" t="s">
        <v>19</v>
      </c>
      <c r="H5" s="1">
        <v>919</v>
      </c>
      <c r="I5" s="1">
        <v>1115</v>
      </c>
      <c r="N5" s="1">
        <v>10094</v>
      </c>
      <c r="O5" s="1">
        <v>5301</v>
      </c>
      <c r="P5" s="1">
        <v>3470</v>
      </c>
      <c r="Q5" s="1">
        <v>3000</v>
      </c>
    </row>
    <row r="6" spans="1:107" x14ac:dyDescent="0.35">
      <c r="B6" t="s">
        <v>20</v>
      </c>
      <c r="H6" s="1">
        <v>8</v>
      </c>
      <c r="I6" s="1">
        <v>23</v>
      </c>
      <c r="N6" s="1">
        <f>14661+251</f>
        <v>14912</v>
      </c>
      <c r="O6" s="1">
        <f>75+9</f>
        <v>84</v>
      </c>
      <c r="P6" s="1">
        <v>33</v>
      </c>
      <c r="Q6">
        <v>100</v>
      </c>
    </row>
    <row r="7" spans="1:107" x14ac:dyDescent="0.35">
      <c r="B7" t="s">
        <v>21</v>
      </c>
      <c r="H7" s="1">
        <f>SUM(H4:H6)</f>
        <v>1065</v>
      </c>
      <c r="I7" s="1">
        <f>SUM(I4:I6)</f>
        <v>1341</v>
      </c>
      <c r="N7" s="1">
        <f>SUM(N3:N6)</f>
        <v>26909</v>
      </c>
      <c r="O7" s="1">
        <f t="shared" ref="O7:P7" si="6">SUM(O3:O6)</f>
        <v>6225</v>
      </c>
      <c r="P7" s="1">
        <f t="shared" si="6"/>
        <v>3925</v>
      </c>
      <c r="Q7" s="1">
        <f>SUM(Q3:Q6)</f>
        <v>13600</v>
      </c>
      <c r="R7" s="1">
        <f t="shared" ref="R7:CC7" si="7">SUM(R3:R6)</f>
        <v>118000</v>
      </c>
      <c r="S7" s="1">
        <f t="shared" si="7"/>
        <v>177000</v>
      </c>
      <c r="T7" s="1">
        <f t="shared" si="7"/>
        <v>221250</v>
      </c>
      <c r="U7" s="1">
        <f t="shared" si="7"/>
        <v>276562.5</v>
      </c>
      <c r="V7" s="1">
        <f t="shared" si="7"/>
        <v>345703.125</v>
      </c>
      <c r="W7" s="1">
        <f t="shared" si="7"/>
        <v>432128.90625</v>
      </c>
      <c r="X7" s="1">
        <f t="shared" si="7"/>
        <v>453735.3515625</v>
      </c>
      <c r="Y7" s="1">
        <f t="shared" si="7"/>
        <v>567169.189453125</v>
      </c>
      <c r="Z7" s="1">
        <f t="shared" si="7"/>
        <v>708961.48681640625</v>
      </c>
      <c r="AA7" s="1">
        <f t="shared" si="7"/>
        <v>886201.85852050781</v>
      </c>
      <c r="AB7" s="1">
        <f t="shared" si="7"/>
        <v>930511.9514465332</v>
      </c>
      <c r="AC7" s="1">
        <f t="shared" si="7"/>
        <v>977037.54901885986</v>
      </c>
      <c r="AD7" s="1">
        <f t="shared" si="7"/>
        <v>1025889.4264698029</v>
      </c>
      <c r="AE7" s="1">
        <f t="shared" si="7"/>
        <v>1077183.897793293</v>
      </c>
      <c r="AF7" s="1">
        <f t="shared" si="7"/>
        <v>1098727.5757491589</v>
      </c>
      <c r="AG7" s="1">
        <f t="shared" si="7"/>
        <v>1120702.127264142</v>
      </c>
      <c r="AH7" s="1">
        <f t="shared" si="7"/>
        <v>1143116.1698094248</v>
      </c>
      <c r="AI7" s="1">
        <f t="shared" si="7"/>
        <v>1165978.4932056132</v>
      </c>
      <c r="AJ7" s="1">
        <f t="shared" si="7"/>
        <v>1107679.5685453324</v>
      </c>
      <c r="AK7" s="1">
        <f t="shared" si="7"/>
        <v>1052295.5901180657</v>
      </c>
      <c r="AL7" s="1">
        <f t="shared" si="7"/>
        <v>999680.81061216234</v>
      </c>
      <c r="AM7" s="1">
        <f t="shared" si="7"/>
        <v>949696.77008155419</v>
      </c>
      <c r="AN7" s="1">
        <f t="shared" si="7"/>
        <v>902211.93157747644</v>
      </c>
      <c r="AO7" s="1">
        <f t="shared" si="7"/>
        <v>857101.33499860263</v>
      </c>
      <c r="AP7" s="1">
        <f t="shared" si="7"/>
        <v>814246.26824867248</v>
      </c>
      <c r="AQ7" s="1">
        <f t="shared" si="7"/>
        <v>773533.95483623887</v>
      </c>
      <c r="AR7" s="1">
        <f t="shared" si="7"/>
        <v>734857.2570944269</v>
      </c>
      <c r="AS7" s="1">
        <f t="shared" si="7"/>
        <v>698114.39423970552</v>
      </c>
      <c r="AT7" s="1">
        <f t="shared" si="7"/>
        <v>663208.6745277202</v>
      </c>
      <c r="AU7" s="1">
        <f t="shared" si="7"/>
        <v>630048.24080133415</v>
      </c>
      <c r="AV7" s="1">
        <f t="shared" si="7"/>
        <v>598545.82876126736</v>
      </c>
      <c r="AW7" s="1">
        <f t="shared" si="7"/>
        <v>568618.53732320399</v>
      </c>
      <c r="AX7" s="1">
        <f t="shared" si="7"/>
        <v>540187.61045704375</v>
      </c>
      <c r="AY7" s="1">
        <f t="shared" si="7"/>
        <v>513178.22993419151</v>
      </c>
      <c r="AZ7" s="1">
        <f t="shared" si="7"/>
        <v>487519.31843748188</v>
      </c>
      <c r="BA7" s="1">
        <f t="shared" si="7"/>
        <v>463143.35251560778</v>
      </c>
      <c r="BB7" s="1">
        <f t="shared" si="7"/>
        <v>439986.18488982739</v>
      </c>
      <c r="BC7" s="1">
        <f t="shared" si="7"/>
        <v>417986.875645336</v>
      </c>
      <c r="BD7" s="1">
        <f t="shared" si="7"/>
        <v>397087.53186306916</v>
      </c>
      <c r="BE7" s="1">
        <f t="shared" si="7"/>
        <v>377233.1552699157</v>
      </c>
      <c r="BF7" s="1">
        <f t="shared" si="7"/>
        <v>358371.4975064199</v>
      </c>
      <c r="BG7" s="1">
        <f t="shared" si="7"/>
        <v>340452.92263109889</v>
      </c>
      <c r="BH7" s="1">
        <f t="shared" si="7"/>
        <v>323430.27649954392</v>
      </c>
      <c r="BI7" s="1">
        <f t="shared" si="7"/>
        <v>307258.76267456671</v>
      </c>
      <c r="BJ7" s="1">
        <f t="shared" si="7"/>
        <v>291895.82454083837</v>
      </c>
      <c r="BK7" s="1">
        <f t="shared" si="7"/>
        <v>277301.03331379645</v>
      </c>
      <c r="BL7" s="1">
        <f t="shared" si="7"/>
        <v>263435.98164810659</v>
      </c>
      <c r="BM7" s="1">
        <f t="shared" si="7"/>
        <v>250264.18256570125</v>
      </c>
      <c r="BN7" s="1">
        <f t="shared" si="7"/>
        <v>237750.97343741619</v>
      </c>
      <c r="BO7" s="1">
        <f t="shared" si="7"/>
        <v>225863.42476554538</v>
      </c>
      <c r="BP7" s="1">
        <f t="shared" si="7"/>
        <v>214570.2535272681</v>
      </c>
      <c r="BQ7" s="1">
        <f t="shared" si="7"/>
        <v>203841.74085090469</v>
      </c>
      <c r="BR7" s="1">
        <f t="shared" si="7"/>
        <v>193649.65380835946</v>
      </c>
      <c r="BS7" s="1">
        <f t="shared" si="7"/>
        <v>183967.17111794147</v>
      </c>
      <c r="BT7" s="1">
        <f t="shared" si="7"/>
        <v>174768.81256204439</v>
      </c>
      <c r="BU7" s="1">
        <f t="shared" si="7"/>
        <v>166030.37193394217</v>
      </c>
      <c r="BV7" s="1">
        <f t="shared" si="7"/>
        <v>157728.85333724506</v>
      </c>
      <c r="BW7" s="1">
        <f t="shared" si="7"/>
        <v>149842.41067038281</v>
      </c>
      <c r="BX7" s="1">
        <f t="shared" si="7"/>
        <v>142350.29013686368</v>
      </c>
      <c r="BY7" s="1">
        <f t="shared" si="7"/>
        <v>135232.77563002048</v>
      </c>
      <c r="BZ7" s="1">
        <f t="shared" si="7"/>
        <v>128471.13684851945</v>
      </c>
      <c r="CA7" s="1">
        <f t="shared" si="7"/>
        <v>122047.58000609347</v>
      </c>
      <c r="CB7" s="1">
        <f t="shared" si="7"/>
        <v>115945.2010057888</v>
      </c>
      <c r="CC7" s="1">
        <f t="shared" si="7"/>
        <v>110147.94095549935</v>
      </c>
      <c r="CD7" s="1">
        <f t="shared" ref="CD7:DC7" si="8">SUM(CD3:CD6)</f>
        <v>104640.54390772438</v>
      </c>
      <c r="CE7" s="1">
        <f t="shared" si="8"/>
        <v>99408.516712338154</v>
      </c>
      <c r="CF7" s="1">
        <f t="shared" si="8"/>
        <v>94438.090876721239</v>
      </c>
      <c r="CG7" s="1">
        <f t="shared" si="8"/>
        <v>89716.186332885176</v>
      </c>
      <c r="CH7" s="1">
        <f t="shared" si="8"/>
        <v>85230.37701624092</v>
      </c>
      <c r="CI7" s="1">
        <f t="shared" si="8"/>
        <v>80968.858165428872</v>
      </c>
      <c r="CJ7" s="1">
        <f t="shared" si="8"/>
        <v>76920.415257157423</v>
      </c>
      <c r="CK7" s="1">
        <f t="shared" si="8"/>
        <v>73074.394494299544</v>
      </c>
      <c r="CL7" s="1">
        <f t="shared" si="8"/>
        <v>69420.67476958457</v>
      </c>
      <c r="CM7" s="1">
        <f t="shared" si="8"/>
        <v>65949.641031105333</v>
      </c>
      <c r="CN7" s="1">
        <f t="shared" si="8"/>
        <v>62652.158979550062</v>
      </c>
      <c r="CO7" s="1">
        <f t="shared" si="8"/>
        <v>59519.551030572555</v>
      </c>
      <c r="CP7" s="1">
        <f t="shared" si="8"/>
        <v>56543.573479043924</v>
      </c>
      <c r="CQ7" s="1">
        <f t="shared" si="8"/>
        <v>53716.394805091724</v>
      </c>
      <c r="CR7" s="1">
        <f t="shared" si="8"/>
        <v>51030.575064837132</v>
      </c>
      <c r="CS7" s="1">
        <f t="shared" si="8"/>
        <v>48479.046311595273</v>
      </c>
      <c r="CT7" s="1">
        <f t="shared" si="8"/>
        <v>46055.093996015508</v>
      </c>
      <c r="CU7" s="1">
        <f t="shared" si="8"/>
        <v>43752.339296214734</v>
      </c>
      <c r="CV7" s="1">
        <f t="shared" si="8"/>
        <v>41564.722331403995</v>
      </c>
      <c r="CW7" s="1">
        <f t="shared" si="8"/>
        <v>39486.486214833792</v>
      </c>
      <c r="CX7" s="1">
        <f t="shared" si="8"/>
        <v>37512.1619040921</v>
      </c>
      <c r="CY7" s="1">
        <f t="shared" si="8"/>
        <v>35636.553808887496</v>
      </c>
      <c r="CZ7" s="1">
        <f t="shared" si="8"/>
        <v>33854.726118443119</v>
      </c>
      <c r="DA7" s="1">
        <f t="shared" si="8"/>
        <v>32161.989812520962</v>
      </c>
      <c r="DB7" s="1">
        <f t="shared" si="8"/>
        <v>30553.890321894913</v>
      </c>
      <c r="DC7" s="1">
        <f t="shared" si="8"/>
        <v>29026.195805800166</v>
      </c>
    </row>
    <row r="8" spans="1:107" x14ac:dyDescent="0.35">
      <c r="B8" t="s">
        <v>22</v>
      </c>
      <c r="H8" s="1">
        <v>1075</v>
      </c>
      <c r="I8" s="1">
        <v>1100</v>
      </c>
      <c r="N8" s="1">
        <v>6339</v>
      </c>
      <c r="O8" s="1">
        <v>6119</v>
      </c>
      <c r="P8" s="1">
        <v>4267</v>
      </c>
      <c r="Q8" s="1">
        <f>P8*1.05</f>
        <v>4480.3500000000004</v>
      </c>
      <c r="R8" s="1">
        <f>Q8*1.05</f>
        <v>4704.3675000000003</v>
      </c>
      <c r="S8" s="1">
        <f t="shared" ref="S8:AA8" si="9">R8*1.05</f>
        <v>4939.5858750000007</v>
      </c>
      <c r="T8" s="1">
        <f t="shared" si="9"/>
        <v>5186.5651687500012</v>
      </c>
      <c r="U8" s="1">
        <f t="shared" si="9"/>
        <v>5445.8934271875014</v>
      </c>
      <c r="V8" s="1">
        <f t="shared" si="9"/>
        <v>5718.188098546877</v>
      </c>
      <c r="W8" s="1">
        <f t="shared" si="9"/>
        <v>6004.0975034742214</v>
      </c>
      <c r="X8" s="1">
        <f t="shared" si="9"/>
        <v>6304.3023786479325</v>
      </c>
      <c r="Y8" s="1">
        <f t="shared" si="9"/>
        <v>6619.5174975803293</v>
      </c>
      <c r="Z8" s="1">
        <f t="shared" si="9"/>
        <v>6950.4933724593457</v>
      </c>
      <c r="AA8" s="1">
        <f t="shared" si="9"/>
        <v>7298.0180410823132</v>
      </c>
      <c r="AB8" s="1">
        <f t="shared" ref="AB8:AI8" si="10">AA8*1.02</f>
        <v>7443.9784019039598</v>
      </c>
      <c r="AC8" s="1">
        <f t="shared" si="10"/>
        <v>7592.8579699420388</v>
      </c>
      <c r="AD8" s="1">
        <f t="shared" si="10"/>
        <v>7744.7151293408797</v>
      </c>
      <c r="AE8" s="1">
        <f t="shared" si="10"/>
        <v>7899.6094319276972</v>
      </c>
      <c r="AF8" s="1">
        <f t="shared" si="10"/>
        <v>8057.6016205662509</v>
      </c>
      <c r="AG8" s="1">
        <f t="shared" si="10"/>
        <v>8218.7536529775753</v>
      </c>
      <c r="AH8" s="1">
        <f t="shared" si="10"/>
        <v>8383.1287260371264</v>
      </c>
      <c r="AI8" s="1">
        <f t="shared" si="10"/>
        <v>8550.7913005578685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 x14ac:dyDescent="0.35">
      <c r="B9" t="s">
        <v>23</v>
      </c>
      <c r="H9" s="1">
        <v>14249</v>
      </c>
      <c r="I9" s="1">
        <v>10478</v>
      </c>
      <c r="N9" s="1">
        <v>47170</v>
      </c>
      <c r="O9" s="1">
        <v>48614</v>
      </c>
      <c r="P9" s="1">
        <v>53070</v>
      </c>
      <c r="Q9" s="1">
        <f>P9*1.05</f>
        <v>55723.5</v>
      </c>
      <c r="R9" s="1">
        <f>Q9*1.05</f>
        <v>58509.675000000003</v>
      </c>
      <c r="S9" s="1">
        <f t="shared" ref="S9:AA9" si="11">R9*1.05</f>
        <v>61435.158750000002</v>
      </c>
      <c r="T9" s="1">
        <f t="shared" si="11"/>
        <v>64506.916687500008</v>
      </c>
      <c r="U9" s="1">
        <f t="shared" si="11"/>
        <v>67732.262521875018</v>
      </c>
      <c r="V9" s="1">
        <f t="shared" si="11"/>
        <v>71118.875647968773</v>
      </c>
      <c r="W9" s="1">
        <f t="shared" si="11"/>
        <v>74674.819430367221</v>
      </c>
      <c r="X9" s="1">
        <f t="shared" si="11"/>
        <v>78408.560401885581</v>
      </c>
      <c r="Y9" s="1">
        <f t="shared" si="11"/>
        <v>82328.98842197987</v>
      </c>
      <c r="Z9" s="1">
        <f t="shared" si="11"/>
        <v>86445.437843078864</v>
      </c>
      <c r="AA9" s="1">
        <f t="shared" si="11"/>
        <v>90767.709735232813</v>
      </c>
      <c r="AB9" s="1">
        <f t="shared" ref="AB9:AI9" si="12">AA9*1.02</f>
        <v>92583.063929937474</v>
      </c>
      <c r="AC9" s="1">
        <f t="shared" si="12"/>
        <v>94434.725208536227</v>
      </c>
      <c r="AD9" s="1">
        <f t="shared" si="12"/>
        <v>96323.419712706949</v>
      </c>
      <c r="AE9" s="1">
        <f t="shared" si="12"/>
        <v>98249.888106961094</v>
      </c>
      <c r="AF9" s="1">
        <f t="shared" si="12"/>
        <v>100214.88586910031</v>
      </c>
      <c r="AG9" s="1">
        <f t="shared" si="12"/>
        <v>102219.18358648232</v>
      </c>
      <c r="AH9" s="1">
        <f t="shared" si="12"/>
        <v>104263.56725821197</v>
      </c>
      <c r="AI9" s="1">
        <f t="shared" si="12"/>
        <v>106348.83860337622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 x14ac:dyDescent="0.35">
      <c r="B10" t="s">
        <v>24</v>
      </c>
      <c r="H10" s="1">
        <v>10151</v>
      </c>
      <c r="I10" s="1">
        <v>12359</v>
      </c>
      <c r="N10" s="1">
        <v>48006</v>
      </c>
      <c r="O10" s="1">
        <v>40415</v>
      </c>
      <c r="P10" s="1">
        <v>41293</v>
      </c>
      <c r="Q10" s="1">
        <f>P10*1.02</f>
        <v>42118.86</v>
      </c>
      <c r="R10" s="1">
        <f t="shared" ref="R10:W10" si="13">Q10*1.02</f>
        <v>42961.237200000003</v>
      </c>
      <c r="S10" s="1">
        <f t="shared" si="13"/>
        <v>43820.461944000002</v>
      </c>
      <c r="T10" s="1">
        <f t="shared" si="13"/>
        <v>44696.871182880001</v>
      </c>
      <c r="U10" s="1">
        <f t="shared" si="13"/>
        <v>45590.808606537605</v>
      </c>
      <c r="V10" s="1">
        <f t="shared" si="13"/>
        <v>46502.62477866836</v>
      </c>
      <c r="W10" s="1">
        <f t="shared" si="13"/>
        <v>47432.677274241731</v>
      </c>
      <c r="X10" s="1">
        <f t="shared" ref="X10:AI10" si="14">W10*1.02</f>
        <v>48381.330819726565</v>
      </c>
      <c r="Y10" s="1">
        <f t="shared" si="14"/>
        <v>49348.957436121098</v>
      </c>
      <c r="Z10" s="1">
        <f t="shared" si="14"/>
        <v>50335.936584843519</v>
      </c>
      <c r="AA10" s="1">
        <f t="shared" si="14"/>
        <v>51342.655316540389</v>
      </c>
      <c r="AB10" s="1">
        <f t="shared" si="14"/>
        <v>52369.5084228712</v>
      </c>
      <c r="AC10" s="1">
        <f t="shared" si="14"/>
        <v>53416.898591328623</v>
      </c>
      <c r="AD10" s="1">
        <f t="shared" si="14"/>
        <v>54485.236563155195</v>
      </c>
      <c r="AE10" s="1">
        <f t="shared" si="14"/>
        <v>55574.941294418299</v>
      </c>
      <c r="AF10" s="1">
        <f t="shared" si="14"/>
        <v>56686.440120306666</v>
      </c>
      <c r="AG10" s="1">
        <f t="shared" si="14"/>
        <v>57820.168922712801</v>
      </c>
      <c r="AH10" s="1">
        <f t="shared" si="14"/>
        <v>58976.572301167056</v>
      </c>
      <c r="AI10" s="1">
        <f t="shared" si="14"/>
        <v>60156.103747190398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x14ac:dyDescent="0.35">
      <c r="B11" t="s">
        <v>34</v>
      </c>
      <c r="H11" s="1"/>
      <c r="I11" s="1"/>
      <c r="N11" s="1">
        <v>482</v>
      </c>
      <c r="O11" s="1">
        <v>10390</v>
      </c>
      <c r="P11" s="1">
        <v>7409</v>
      </c>
      <c r="Q11" s="1">
        <v>7000</v>
      </c>
      <c r="R11" s="1">
        <v>7000</v>
      </c>
      <c r="S11" s="1">
        <v>7000</v>
      </c>
      <c r="T11" s="1">
        <v>7000</v>
      </c>
      <c r="U11" s="1">
        <v>7000</v>
      </c>
      <c r="V11" s="1">
        <v>7000</v>
      </c>
      <c r="W11" s="1">
        <v>7000</v>
      </c>
      <c r="X11" s="1">
        <v>7000</v>
      </c>
      <c r="Y11" s="1">
        <v>7000</v>
      </c>
      <c r="Z11" s="1">
        <v>7000</v>
      </c>
      <c r="AA11" s="1">
        <v>7000</v>
      </c>
      <c r="AB11" s="1">
        <v>7000</v>
      </c>
      <c r="AC11" s="1">
        <v>7000</v>
      </c>
      <c r="AD11" s="1">
        <v>7000</v>
      </c>
      <c r="AE11" s="1">
        <v>7000</v>
      </c>
      <c r="AF11" s="1">
        <v>7000</v>
      </c>
      <c r="AG11" s="1">
        <v>7000</v>
      </c>
      <c r="AH11" s="1">
        <v>7000</v>
      </c>
      <c r="AI11" s="1">
        <v>7000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x14ac:dyDescent="0.35">
      <c r="B12" t="s">
        <v>35</v>
      </c>
      <c r="H12" s="1"/>
      <c r="I12" s="1"/>
      <c r="N12" s="1">
        <v>638</v>
      </c>
      <c r="O12" s="1">
        <v>445</v>
      </c>
      <c r="P12" s="1">
        <v>32915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x14ac:dyDescent="0.35">
      <c r="B13" t="s">
        <v>25</v>
      </c>
      <c r="H13" s="1">
        <f>H7-SUM(H8:H12)</f>
        <v>-24410</v>
      </c>
      <c r="I13" s="1">
        <f>I7-SUM(I8:I12)</f>
        <v>-22596</v>
      </c>
      <c r="N13" s="1">
        <f t="shared" ref="N13:O13" si="15">N7-SUM(N8:N12)</f>
        <v>-75726</v>
      </c>
      <c r="O13" s="1">
        <f t="shared" si="15"/>
        <v>-99758</v>
      </c>
      <c r="P13" s="1">
        <f>P7-SUM(P8:P12)</f>
        <v>-135029</v>
      </c>
      <c r="Q13" s="1">
        <f>Q7-SUM(Q8:Q12)</f>
        <v>-95722.709999999992</v>
      </c>
      <c r="R13" s="1">
        <f t="shared" ref="R13:W13" si="16">R7-SUM(R8:R12)</f>
        <v>4824.7202999999863</v>
      </c>
      <c r="S13" s="1">
        <f t="shared" si="16"/>
        <v>59804.793430999998</v>
      </c>
      <c r="T13" s="1">
        <f t="shared" si="16"/>
        <v>99859.646960869984</v>
      </c>
      <c r="U13" s="1">
        <f t="shared" si="16"/>
        <v>150793.53544439987</v>
      </c>
      <c r="V13" s="1">
        <f t="shared" si="16"/>
        <v>215363.436474816</v>
      </c>
      <c r="W13" s="1">
        <f t="shared" si="16"/>
        <v>297017.31204191683</v>
      </c>
      <c r="X13" s="1">
        <f t="shared" ref="X13" si="17">X7-SUM(X8:X12)</f>
        <v>313641.15796223993</v>
      </c>
      <c r="Y13" s="1">
        <f t="shared" ref="Y13" si="18">Y7-SUM(Y8:Y12)</f>
        <v>421871.72609744372</v>
      </c>
      <c r="Z13" s="1">
        <f t="shared" ref="Z13" si="19">Z7-SUM(Z8:Z12)</f>
        <v>558229.61901602452</v>
      </c>
      <c r="AA13" s="1">
        <f t="shared" ref="AA13" si="20">AA7-SUM(AA8:AA12)</f>
        <v>729793.47542765224</v>
      </c>
      <c r="AB13" s="1">
        <f t="shared" ref="AB13" si="21">AB7-SUM(AB8:AB12)</f>
        <v>771115.40069182054</v>
      </c>
      <c r="AC13" s="1">
        <f t="shared" ref="AC13" si="22">AC7-SUM(AC8:AC12)</f>
        <v>814593.06724905293</v>
      </c>
      <c r="AD13" s="1">
        <f t="shared" ref="AD13" si="23">AD7-SUM(AD8:AD12)</f>
        <v>860336.05506459984</v>
      </c>
      <c r="AE13" s="1">
        <f t="shared" ref="AE13" si="24">AE7-SUM(AE8:AE12)</f>
        <v>908459.45895998587</v>
      </c>
      <c r="AF13" s="1">
        <f t="shared" ref="AF13" si="25">AF7-SUM(AF8:AF12)</f>
        <v>926768.64813918562</v>
      </c>
      <c r="AG13" s="1">
        <f t="shared" ref="AG13" si="26">AG7-SUM(AG8:AG12)</f>
        <v>945444.02110196929</v>
      </c>
      <c r="AH13" s="1">
        <f t="shared" ref="AH13" si="27">AH7-SUM(AH8:AH12)</f>
        <v>964492.9015240086</v>
      </c>
      <c r="AI13" s="1">
        <f t="shared" ref="AI13" si="28">AI7-SUM(AI8:AI12)</f>
        <v>983922.7595544887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x14ac:dyDescent="0.35">
      <c r="B14" t="s">
        <v>26</v>
      </c>
      <c r="H14" s="1">
        <v>0</v>
      </c>
      <c r="I14" s="1">
        <v>-32481</v>
      </c>
      <c r="N14" s="1">
        <v>0</v>
      </c>
      <c r="O14" s="1">
        <v>0</v>
      </c>
      <c r="P14" s="1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x14ac:dyDescent="0.35">
      <c r="B15" t="s">
        <v>28</v>
      </c>
      <c r="H15" s="1">
        <v>-2</v>
      </c>
      <c r="I15" s="1">
        <v>-1</v>
      </c>
      <c r="N15" s="1">
        <v>-6774</v>
      </c>
      <c r="O15" s="1">
        <v>-468</v>
      </c>
      <c r="P15" s="1">
        <v>-6</v>
      </c>
      <c r="Q15" s="1">
        <v>-1000</v>
      </c>
      <c r="R15" s="1">
        <v>-1000</v>
      </c>
      <c r="S15" s="1">
        <v>-1000</v>
      </c>
      <c r="T15" s="1">
        <v>-1000</v>
      </c>
      <c r="U15" s="1">
        <v>-1000</v>
      </c>
      <c r="V15" s="1">
        <v>-1000</v>
      </c>
      <c r="W15" s="1">
        <v>-1000</v>
      </c>
      <c r="X15" s="1">
        <v>-1000</v>
      </c>
      <c r="Y15" s="1">
        <v>-1000</v>
      </c>
      <c r="Z15" s="1">
        <v>-1000</v>
      </c>
      <c r="AA15" s="1">
        <v>-1000</v>
      </c>
      <c r="AB15" s="1">
        <v>-1000</v>
      </c>
      <c r="AC15" s="1">
        <v>-1000</v>
      </c>
      <c r="AD15" s="1">
        <v>-1000</v>
      </c>
      <c r="AE15" s="1">
        <v>-1000</v>
      </c>
      <c r="AF15" s="1">
        <v>-1000</v>
      </c>
      <c r="AG15" s="1">
        <v>-1000</v>
      </c>
      <c r="AH15" s="1">
        <v>-1000</v>
      </c>
      <c r="AI15" s="1">
        <v>-1000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x14ac:dyDescent="0.35">
      <c r="B16" t="s">
        <v>27</v>
      </c>
      <c r="H16" s="1">
        <v>608</v>
      </c>
      <c r="I16" s="1">
        <v>918</v>
      </c>
      <c r="N16" s="1">
        <v>133</v>
      </c>
      <c r="O16" s="1">
        <v>3237</v>
      </c>
      <c r="P16" s="1">
        <v>1418</v>
      </c>
      <c r="Q16" s="1">
        <v>2500</v>
      </c>
      <c r="R16" s="1">
        <v>2500</v>
      </c>
      <c r="S16" s="1">
        <v>2500</v>
      </c>
      <c r="T16" s="1">
        <v>2500</v>
      </c>
      <c r="U16" s="1">
        <v>2500</v>
      </c>
      <c r="V16" s="1">
        <v>2500</v>
      </c>
      <c r="W16" s="1">
        <v>2500</v>
      </c>
      <c r="X16" s="1">
        <v>2500</v>
      </c>
      <c r="Y16" s="1">
        <v>2500</v>
      </c>
      <c r="Z16" s="1">
        <v>2500</v>
      </c>
      <c r="AA16" s="1">
        <v>2500</v>
      </c>
      <c r="AB16" s="1">
        <v>2500</v>
      </c>
      <c r="AC16" s="1">
        <v>2500</v>
      </c>
      <c r="AD16" s="1">
        <v>2500</v>
      </c>
      <c r="AE16" s="1">
        <v>2500</v>
      </c>
      <c r="AF16" s="1">
        <v>2500</v>
      </c>
      <c r="AG16" s="1">
        <v>2500</v>
      </c>
      <c r="AH16" s="1">
        <v>2500</v>
      </c>
      <c r="AI16" s="1">
        <v>2500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2:107" x14ac:dyDescent="0.35">
      <c r="B17" t="s">
        <v>29</v>
      </c>
      <c r="H17" s="1">
        <v>37</v>
      </c>
      <c r="I17" s="1">
        <v>7</v>
      </c>
      <c r="N17" s="1">
        <f>1539+862</f>
        <v>2401</v>
      </c>
      <c r="O17" s="1">
        <v>627</v>
      </c>
      <c r="P17" s="1">
        <v>5589</v>
      </c>
      <c r="Q17" s="1">
        <v>1000</v>
      </c>
      <c r="R17" s="1">
        <v>1000</v>
      </c>
      <c r="S17" s="1">
        <v>1000</v>
      </c>
      <c r="T17" s="1">
        <v>1000</v>
      </c>
      <c r="U17" s="1">
        <v>1000</v>
      </c>
      <c r="V17" s="1">
        <v>1000</v>
      </c>
      <c r="W17" s="1">
        <v>1000</v>
      </c>
      <c r="X17" s="1">
        <v>1000</v>
      </c>
      <c r="Y17" s="1">
        <v>1000</v>
      </c>
      <c r="Z17" s="1">
        <v>1000</v>
      </c>
      <c r="AA17" s="1">
        <v>1000</v>
      </c>
      <c r="AB17" s="1">
        <v>1000</v>
      </c>
      <c r="AC17" s="1">
        <v>1000</v>
      </c>
      <c r="AD17" s="1">
        <v>1000</v>
      </c>
      <c r="AE17" s="1">
        <v>1000</v>
      </c>
      <c r="AF17" s="1">
        <v>1000</v>
      </c>
      <c r="AG17" s="1">
        <v>1000</v>
      </c>
      <c r="AH17" s="1">
        <v>1000</v>
      </c>
      <c r="AI17" s="1">
        <v>1000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2:107" x14ac:dyDescent="0.35">
      <c r="B18" t="s">
        <v>30</v>
      </c>
      <c r="H18" s="1">
        <f>H13+SUM(H14:H17)</f>
        <v>-23767</v>
      </c>
      <c r="I18" s="1">
        <f>I13+SUM(I14:I17)</f>
        <v>-54153</v>
      </c>
      <c r="N18" s="1">
        <f>N13+SUM(N14:N17)</f>
        <v>-79966</v>
      </c>
      <c r="O18" s="1">
        <f t="shared" ref="O18" si="29">O13+SUM(O14:O17)</f>
        <v>-96362</v>
      </c>
      <c r="P18" s="1">
        <f>P13+SUM(P14:P17)</f>
        <v>-128028</v>
      </c>
      <c r="Q18" s="1">
        <f>Q13+SUM(Q14:Q17)</f>
        <v>-93222.709999999992</v>
      </c>
      <c r="R18" s="1">
        <f t="shared" ref="R18:W18" si="30">R13+SUM(R14:R17)</f>
        <v>7324.7202999999863</v>
      </c>
      <c r="S18" s="1">
        <f t="shared" si="30"/>
        <v>62304.793430999998</v>
      </c>
      <c r="T18" s="1">
        <f t="shared" si="30"/>
        <v>102359.64696086998</v>
      </c>
      <c r="U18" s="1">
        <f t="shared" si="30"/>
        <v>153293.53544439987</v>
      </c>
      <c r="V18" s="1">
        <f t="shared" si="30"/>
        <v>217863.436474816</v>
      </c>
      <c r="W18" s="1">
        <f t="shared" si="30"/>
        <v>299517.31204191683</v>
      </c>
      <c r="X18" s="1">
        <f t="shared" ref="X18" si="31">X13+SUM(X14:X17)</f>
        <v>316141.15796223993</v>
      </c>
      <c r="Y18" s="1">
        <f t="shared" ref="Y18" si="32">Y13+SUM(Y14:Y17)</f>
        <v>424371.72609744372</v>
      </c>
      <c r="Z18" s="1">
        <f t="shared" ref="Z18" si="33">Z13+SUM(Z14:Z17)</f>
        <v>560729.61901602452</v>
      </c>
      <c r="AA18" s="1">
        <f t="shared" ref="AA18" si="34">AA13+SUM(AA14:AA17)</f>
        <v>732293.47542765224</v>
      </c>
      <c r="AB18" s="1">
        <f t="shared" ref="AB18" si="35">AB13+SUM(AB14:AB17)</f>
        <v>773615.40069182054</v>
      </c>
      <c r="AC18" s="1">
        <f t="shared" ref="AC18" si="36">AC13+SUM(AC14:AC17)</f>
        <v>817093.06724905293</v>
      </c>
      <c r="AD18" s="1">
        <f t="shared" ref="AD18" si="37">AD13+SUM(AD14:AD17)</f>
        <v>862836.05506459984</v>
      </c>
      <c r="AE18" s="1">
        <f t="shared" ref="AE18" si="38">AE13+SUM(AE14:AE17)</f>
        <v>910959.45895998587</v>
      </c>
      <c r="AF18" s="1">
        <f t="shared" ref="AF18" si="39">AF13+SUM(AF14:AF17)</f>
        <v>929268.64813918562</v>
      </c>
      <c r="AG18" s="1">
        <f t="shared" ref="AG18" si="40">AG13+SUM(AG14:AG17)</f>
        <v>947944.02110196929</v>
      </c>
      <c r="AH18" s="1">
        <f t="shared" ref="AH18" si="41">AH13+SUM(AH14:AH17)</f>
        <v>966992.9015240086</v>
      </c>
      <c r="AI18" s="1">
        <f t="shared" ref="AI18" si="42">AI13+SUM(AI14:AI17)</f>
        <v>986422.7595544887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2:107" x14ac:dyDescent="0.35">
      <c r="B19" t="s">
        <v>31</v>
      </c>
      <c r="H19" s="1">
        <v>29</v>
      </c>
      <c r="I19" s="1">
        <v>0</v>
      </c>
      <c r="N19" s="1">
        <v>189</v>
      </c>
      <c r="O19" s="1">
        <v>458</v>
      </c>
      <c r="P19" s="1">
        <v>1793</v>
      </c>
      <c r="Q19" s="1">
        <v>1793</v>
      </c>
      <c r="R19" s="1">
        <v>1793</v>
      </c>
      <c r="S19" s="1">
        <v>1793</v>
      </c>
      <c r="T19" s="1">
        <v>1793</v>
      </c>
      <c r="U19" s="1">
        <v>1793</v>
      </c>
      <c r="V19" s="1">
        <v>1793</v>
      </c>
      <c r="W19" s="1">
        <v>1793</v>
      </c>
      <c r="X19" s="1">
        <v>1793</v>
      </c>
      <c r="Y19" s="1">
        <v>1793</v>
      </c>
      <c r="Z19" s="1">
        <v>1793</v>
      </c>
      <c r="AA19" s="1">
        <v>1793</v>
      </c>
      <c r="AB19" s="1">
        <v>1793</v>
      </c>
      <c r="AC19" s="1">
        <v>1793</v>
      </c>
      <c r="AD19" s="1">
        <v>1793</v>
      </c>
      <c r="AE19" s="1">
        <v>1793</v>
      </c>
      <c r="AF19" s="1">
        <v>1793</v>
      </c>
      <c r="AG19" s="1">
        <v>1793</v>
      </c>
      <c r="AH19" s="1">
        <v>1793</v>
      </c>
      <c r="AI19" s="1">
        <v>1793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2:107" x14ac:dyDescent="0.35">
      <c r="B20" t="s">
        <v>32</v>
      </c>
      <c r="H20" s="1">
        <f>H18+H19</f>
        <v>-23738</v>
      </c>
      <c r="I20" s="1">
        <f>I18+I19</f>
        <v>-54153</v>
      </c>
      <c r="N20" s="1">
        <f t="shared" ref="N20:O20" si="43">N18+N19</f>
        <v>-79777</v>
      </c>
      <c r="O20" s="1">
        <f t="shared" si="43"/>
        <v>-95904</v>
      </c>
      <c r="P20" s="1">
        <f>P18+P19</f>
        <v>-126235</v>
      </c>
      <c r="Q20" s="1">
        <f t="shared" ref="Q20:AI20" si="44">Q18+Q19</f>
        <v>-91429.709999999992</v>
      </c>
      <c r="R20" s="1">
        <f t="shared" si="44"/>
        <v>9117.7202999999863</v>
      </c>
      <c r="S20" s="1">
        <f t="shared" si="44"/>
        <v>64097.793430999998</v>
      </c>
      <c r="T20" s="1">
        <f t="shared" si="44"/>
        <v>104152.64696086998</v>
      </c>
      <c r="U20" s="1">
        <f t="shared" si="44"/>
        <v>155086.53544439987</v>
      </c>
      <c r="V20" s="1">
        <f t="shared" si="44"/>
        <v>219656.436474816</v>
      </c>
      <c r="W20" s="1">
        <f t="shared" si="44"/>
        <v>301310.31204191683</v>
      </c>
      <c r="X20" s="1">
        <f t="shared" si="44"/>
        <v>317934.15796223993</v>
      </c>
      <c r="Y20" s="1">
        <f t="shared" si="44"/>
        <v>426164.72609744372</v>
      </c>
      <c r="Z20" s="1">
        <f t="shared" si="44"/>
        <v>562522.61901602452</v>
      </c>
      <c r="AA20" s="1">
        <f t="shared" si="44"/>
        <v>734086.47542765224</v>
      </c>
      <c r="AB20" s="1">
        <f t="shared" si="44"/>
        <v>775408.40069182054</v>
      </c>
      <c r="AC20" s="1">
        <f t="shared" si="44"/>
        <v>818886.06724905293</v>
      </c>
      <c r="AD20" s="1">
        <f t="shared" si="44"/>
        <v>864629.05506459984</v>
      </c>
      <c r="AE20" s="1">
        <f t="shared" si="44"/>
        <v>912752.45895998587</v>
      </c>
      <c r="AF20" s="1">
        <f t="shared" si="44"/>
        <v>931061.64813918562</v>
      </c>
      <c r="AG20" s="1">
        <f t="shared" si="44"/>
        <v>949737.02110196929</v>
      </c>
      <c r="AH20" s="1">
        <f t="shared" si="44"/>
        <v>968785.9015240086</v>
      </c>
      <c r="AI20" s="1">
        <f t="shared" si="44"/>
        <v>988215.7595544887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2:107" x14ac:dyDescent="0.35">
      <c r="B21" t="s">
        <v>36</v>
      </c>
      <c r="H21" s="1"/>
      <c r="I21" s="1"/>
      <c r="N21" s="1">
        <v>108094</v>
      </c>
      <c r="O21" s="1">
        <v>0</v>
      </c>
      <c r="P21" s="1">
        <v>0</v>
      </c>
      <c r="Q21" s="1">
        <v>0</v>
      </c>
      <c r="R21" s="1">
        <f>R20*0.15</f>
        <v>1367.6580449999979</v>
      </c>
      <c r="S21" s="1">
        <f t="shared" ref="S21:AI21" si="45">S20*0.15</f>
        <v>9614.6690146499986</v>
      </c>
      <c r="T21" s="1">
        <f t="shared" si="45"/>
        <v>15622.897044130497</v>
      </c>
      <c r="U21" s="1">
        <f t="shared" si="45"/>
        <v>23262.980316659978</v>
      </c>
      <c r="V21" s="1">
        <f t="shared" si="45"/>
        <v>32948.4654712224</v>
      </c>
      <c r="W21" s="1">
        <f t="shared" si="45"/>
        <v>45196.546806287522</v>
      </c>
      <c r="X21" s="1">
        <f t="shared" si="45"/>
        <v>47690.123694335991</v>
      </c>
      <c r="Y21" s="1">
        <f t="shared" si="45"/>
        <v>63924.708914616553</v>
      </c>
      <c r="Z21" s="1">
        <f t="shared" si="45"/>
        <v>84378.392852403675</v>
      </c>
      <c r="AA21" s="1">
        <f t="shared" si="45"/>
        <v>110112.97131414783</v>
      </c>
      <c r="AB21" s="1">
        <f t="shared" si="45"/>
        <v>116311.26010377308</v>
      </c>
      <c r="AC21" s="1">
        <f t="shared" si="45"/>
        <v>122832.91008735793</v>
      </c>
      <c r="AD21" s="1">
        <f t="shared" si="45"/>
        <v>129694.35825968997</v>
      </c>
      <c r="AE21" s="1">
        <f t="shared" si="45"/>
        <v>136912.86884399789</v>
      </c>
      <c r="AF21" s="1">
        <f t="shared" si="45"/>
        <v>139659.24722087785</v>
      </c>
      <c r="AG21" s="1">
        <f t="shared" si="45"/>
        <v>142460.55316529539</v>
      </c>
      <c r="AH21" s="1">
        <f t="shared" si="45"/>
        <v>145317.88522860128</v>
      </c>
      <c r="AI21" s="1">
        <f t="shared" si="45"/>
        <v>148232.3639331733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2:107" x14ac:dyDescent="0.35">
      <c r="B22" t="s">
        <v>37</v>
      </c>
      <c r="H22" s="1"/>
      <c r="I22" s="1"/>
      <c r="N22" s="1">
        <f>N20+N21</f>
        <v>28317</v>
      </c>
      <c r="O22" s="1">
        <f t="shared" ref="O22:P22" si="46">O20+O21</f>
        <v>-95904</v>
      </c>
      <c r="P22" s="1">
        <f t="shared" si="46"/>
        <v>-126235</v>
      </c>
      <c r="Q22" s="1">
        <f t="shared" ref="Q22:AI22" si="47">Q20+Q21</f>
        <v>-91429.709999999992</v>
      </c>
      <c r="R22" s="1">
        <f t="shared" si="47"/>
        <v>10485.378344999985</v>
      </c>
      <c r="S22" s="1">
        <f t="shared" si="47"/>
        <v>73712.462445650002</v>
      </c>
      <c r="T22" s="1">
        <f t="shared" si="47"/>
        <v>119775.54400500048</v>
      </c>
      <c r="U22" s="1">
        <f t="shared" si="47"/>
        <v>178349.51576105985</v>
      </c>
      <c r="V22" s="1">
        <f t="shared" si="47"/>
        <v>252604.90194603842</v>
      </c>
      <c r="W22" s="1">
        <f t="shared" si="47"/>
        <v>346506.85884820437</v>
      </c>
      <c r="X22" s="1">
        <f t="shared" si="47"/>
        <v>365624.28165657591</v>
      </c>
      <c r="Y22" s="1">
        <f t="shared" si="47"/>
        <v>490089.43501206028</v>
      </c>
      <c r="Z22" s="1">
        <f t="shared" si="47"/>
        <v>646901.01186842821</v>
      </c>
      <c r="AA22" s="1">
        <f t="shared" si="47"/>
        <v>844199.44674180006</v>
      </c>
      <c r="AB22" s="1">
        <f t="shared" si="47"/>
        <v>891719.66079559363</v>
      </c>
      <c r="AC22" s="1">
        <f t="shared" si="47"/>
        <v>941718.9773364109</v>
      </c>
      <c r="AD22" s="1">
        <f t="shared" si="47"/>
        <v>994323.41332428984</v>
      </c>
      <c r="AE22" s="1">
        <f t="shared" si="47"/>
        <v>1049665.3278039838</v>
      </c>
      <c r="AF22" s="1">
        <f t="shared" si="47"/>
        <v>1070720.8953600635</v>
      </c>
      <c r="AG22" s="1">
        <f t="shared" si="47"/>
        <v>1092197.5742672647</v>
      </c>
      <c r="AH22" s="1">
        <f t="shared" si="47"/>
        <v>1114103.78675261</v>
      </c>
      <c r="AI22" s="1">
        <f t="shared" si="47"/>
        <v>1136448.1234876621</v>
      </c>
      <c r="AJ22" s="1">
        <f>AJ7*0.13</f>
        <v>143998.34391089322</v>
      </c>
      <c r="AK22" s="1">
        <f t="shared" ref="AK22:CV22" si="48">AK7*0.13</f>
        <v>136798.42671534856</v>
      </c>
      <c r="AL22" s="1">
        <f t="shared" si="48"/>
        <v>129958.50537958111</v>
      </c>
      <c r="AM22" s="1">
        <f t="shared" si="48"/>
        <v>123460.58011060205</v>
      </c>
      <c r="AN22" s="1">
        <f t="shared" si="48"/>
        <v>117287.55110507194</v>
      </c>
      <c r="AO22" s="1">
        <f t="shared" si="48"/>
        <v>111423.17354981834</v>
      </c>
      <c r="AP22" s="1">
        <f t="shared" si="48"/>
        <v>105852.01487232743</v>
      </c>
      <c r="AQ22" s="1">
        <f t="shared" si="48"/>
        <v>100559.41412871105</v>
      </c>
      <c r="AR22" s="1">
        <f t="shared" si="48"/>
        <v>95531.443422275494</v>
      </c>
      <c r="AS22" s="1">
        <f t="shared" si="48"/>
        <v>90754.87125116172</v>
      </c>
      <c r="AT22" s="1">
        <f t="shared" si="48"/>
        <v>86217.127688603636</v>
      </c>
      <c r="AU22" s="1">
        <f t="shared" si="48"/>
        <v>81906.271304173439</v>
      </c>
      <c r="AV22" s="1">
        <f t="shared" si="48"/>
        <v>77810.95773896476</v>
      </c>
      <c r="AW22" s="1">
        <f t="shared" si="48"/>
        <v>73920.409852016513</v>
      </c>
      <c r="AX22" s="1">
        <f t="shared" si="48"/>
        <v>70224.389359415683</v>
      </c>
      <c r="AY22" s="1">
        <f t="shared" si="48"/>
        <v>66713.169891444893</v>
      </c>
      <c r="AZ22" s="1">
        <f t="shared" si="48"/>
        <v>63377.511396872644</v>
      </c>
      <c r="BA22" s="1">
        <f t="shared" si="48"/>
        <v>60208.635827029015</v>
      </c>
      <c r="BB22" s="1">
        <f t="shared" si="48"/>
        <v>57198.204035677561</v>
      </c>
      <c r="BC22" s="1">
        <f t="shared" si="48"/>
        <v>54338.29383389368</v>
      </c>
      <c r="BD22" s="1">
        <f t="shared" si="48"/>
        <v>51621.379142198995</v>
      </c>
      <c r="BE22" s="1">
        <f t="shared" si="48"/>
        <v>49040.310185089045</v>
      </c>
      <c r="BF22" s="1">
        <f t="shared" si="48"/>
        <v>46588.294675834586</v>
      </c>
      <c r="BG22" s="1">
        <f t="shared" si="48"/>
        <v>44258.879942042855</v>
      </c>
      <c r="BH22" s="1">
        <f t="shared" si="48"/>
        <v>42045.935944940713</v>
      </c>
      <c r="BI22" s="1">
        <f t="shared" si="48"/>
        <v>39943.639147693677</v>
      </c>
      <c r="BJ22" s="1">
        <f t="shared" si="48"/>
        <v>37946.457190308989</v>
      </c>
      <c r="BK22" s="1">
        <f t="shared" si="48"/>
        <v>36049.134330793539</v>
      </c>
      <c r="BL22" s="1">
        <f t="shared" si="48"/>
        <v>34246.677614253858</v>
      </c>
      <c r="BM22" s="1">
        <f t="shared" si="48"/>
        <v>32534.343733541165</v>
      </c>
      <c r="BN22" s="1">
        <f t="shared" si="48"/>
        <v>30907.626546864107</v>
      </c>
      <c r="BO22" s="1">
        <f t="shared" si="48"/>
        <v>29362.245219520901</v>
      </c>
      <c r="BP22" s="1">
        <f t="shared" si="48"/>
        <v>27894.132958544855</v>
      </c>
      <c r="BQ22" s="1">
        <f t="shared" si="48"/>
        <v>26499.426310617611</v>
      </c>
      <c r="BR22" s="1">
        <f t="shared" si="48"/>
        <v>25174.454995086729</v>
      </c>
      <c r="BS22" s="1">
        <f t="shared" si="48"/>
        <v>23915.73224533239</v>
      </c>
      <c r="BT22" s="1">
        <f t="shared" si="48"/>
        <v>22719.94563306577</v>
      </c>
      <c r="BU22" s="1">
        <f t="shared" si="48"/>
        <v>21583.948351412484</v>
      </c>
      <c r="BV22" s="1">
        <f t="shared" si="48"/>
        <v>20504.75093384186</v>
      </c>
      <c r="BW22" s="1">
        <f t="shared" si="48"/>
        <v>19479.513387149767</v>
      </c>
      <c r="BX22" s="1">
        <f t="shared" si="48"/>
        <v>18505.537717792278</v>
      </c>
      <c r="BY22" s="1">
        <f t="shared" si="48"/>
        <v>17580.260831902662</v>
      </c>
      <c r="BZ22" s="1">
        <f t="shared" si="48"/>
        <v>16701.247790307531</v>
      </c>
      <c r="CA22" s="1">
        <f t="shared" si="48"/>
        <v>15866.185400792152</v>
      </c>
      <c r="CB22" s="1">
        <f t="shared" si="48"/>
        <v>15072.876130752544</v>
      </c>
      <c r="CC22" s="1">
        <f t="shared" si="48"/>
        <v>14319.232324214916</v>
      </c>
      <c r="CD22" s="1">
        <f t="shared" si="48"/>
        <v>13603.270708004169</v>
      </c>
      <c r="CE22" s="1">
        <f t="shared" si="48"/>
        <v>12923.107172603961</v>
      </c>
      <c r="CF22" s="1">
        <f t="shared" si="48"/>
        <v>12276.951813973761</v>
      </c>
      <c r="CG22" s="1">
        <f t="shared" si="48"/>
        <v>11663.104223275073</v>
      </c>
      <c r="CH22" s="1">
        <f t="shared" si="48"/>
        <v>11079.949012111319</v>
      </c>
      <c r="CI22" s="1">
        <f t="shared" si="48"/>
        <v>10525.951561505753</v>
      </c>
      <c r="CJ22" s="1">
        <f t="shared" si="48"/>
        <v>9999.6539834304658</v>
      </c>
      <c r="CK22" s="1">
        <f t="shared" si="48"/>
        <v>9499.6712842589404</v>
      </c>
      <c r="CL22" s="1">
        <f t="shared" si="48"/>
        <v>9024.6877200459949</v>
      </c>
      <c r="CM22" s="1">
        <f t="shared" si="48"/>
        <v>8573.4533340436938</v>
      </c>
      <c r="CN22" s="1">
        <f t="shared" si="48"/>
        <v>8144.780667341508</v>
      </c>
      <c r="CO22" s="1">
        <f t="shared" si="48"/>
        <v>7737.5416339744324</v>
      </c>
      <c r="CP22" s="1">
        <f t="shared" si="48"/>
        <v>7350.6645522757108</v>
      </c>
      <c r="CQ22" s="1">
        <f t="shared" si="48"/>
        <v>6983.1313246619247</v>
      </c>
      <c r="CR22" s="1">
        <f t="shared" si="48"/>
        <v>6633.974758428827</v>
      </c>
      <c r="CS22" s="1">
        <f t="shared" si="48"/>
        <v>6302.2760205073855</v>
      </c>
      <c r="CT22" s="1">
        <f t="shared" si="48"/>
        <v>5987.1622194820166</v>
      </c>
      <c r="CU22" s="1">
        <f t="shared" si="48"/>
        <v>5687.8041085079158</v>
      </c>
      <c r="CV22" s="1">
        <f t="shared" si="48"/>
        <v>5403.4139030825199</v>
      </c>
      <c r="CW22" s="1">
        <f t="shared" ref="CW22:DB22" si="49">CW7*0.13</f>
        <v>5133.2432079283935</v>
      </c>
      <c r="CX22" s="1">
        <f t="shared" si="49"/>
        <v>4876.5810475319731</v>
      </c>
      <c r="CY22" s="1">
        <f t="shared" si="49"/>
        <v>4632.751995155375</v>
      </c>
      <c r="CZ22" s="1">
        <f t="shared" si="49"/>
        <v>4401.1143953976052</v>
      </c>
      <c r="DA22" s="1">
        <f t="shared" si="49"/>
        <v>4181.0586756277253</v>
      </c>
      <c r="DB22" s="1">
        <f t="shared" si="49"/>
        <v>3972.0057418463389</v>
      </c>
      <c r="DC22" s="1">
        <f>DC7*0.13</f>
        <v>3773.4054547540218</v>
      </c>
    </row>
    <row r="23" spans="2:107" x14ac:dyDescent="0.35">
      <c r="B23" t="s">
        <v>33</v>
      </c>
      <c r="H23" s="1">
        <v>-0.1</v>
      </c>
      <c r="I23" s="1">
        <v>-0.18</v>
      </c>
      <c r="N23" s="1">
        <v>-4.7E-2</v>
      </c>
      <c r="O23" s="1">
        <v>-0.39</v>
      </c>
      <c r="P23" s="1">
        <v>-4.7E-2</v>
      </c>
      <c r="Q23" s="1">
        <v>-4.7E-2</v>
      </c>
      <c r="R23" s="1">
        <v>-4.7E-2</v>
      </c>
      <c r="S23" s="1">
        <v>-4.7E-2</v>
      </c>
      <c r="T23" s="1">
        <v>-4.7E-2</v>
      </c>
      <c r="U23" s="1">
        <v>-4.7E-2</v>
      </c>
      <c r="V23" s="1">
        <v>-4.7E-2</v>
      </c>
      <c r="W23" s="1">
        <v>-4.7E-2</v>
      </c>
      <c r="X23" s="1">
        <v>-4.7E-2</v>
      </c>
      <c r="Y23" s="1">
        <v>-4.7E-2</v>
      </c>
      <c r="Z23" s="1">
        <v>-4.7E-2</v>
      </c>
      <c r="AA23" s="1">
        <v>-4.7E-2</v>
      </c>
      <c r="AB23" s="1">
        <v>-4.7E-2</v>
      </c>
      <c r="AC23" s="1">
        <v>-4.7E-2</v>
      </c>
      <c r="AD23" s="1">
        <v>-4.7E-2</v>
      </c>
      <c r="AE23" s="1">
        <v>-4.7E-2</v>
      </c>
      <c r="AF23" s="1">
        <v>-4.7E-2</v>
      </c>
      <c r="AG23" s="1">
        <v>-4.7E-2</v>
      </c>
      <c r="AH23" s="1">
        <v>-4.7E-2</v>
      </c>
      <c r="AI23" s="1">
        <v>-4.7E-2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2:107" x14ac:dyDescent="0.35"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2:107" x14ac:dyDescent="0.35">
      <c r="B25" t="s">
        <v>165</v>
      </c>
      <c r="O25">
        <f>O7/N7-1</f>
        <v>-0.76866475900256415</v>
      </c>
      <c r="P25">
        <f t="shared" ref="P25:AA25" si="50">P7/O7-1</f>
        <v>-0.36947791164658639</v>
      </c>
      <c r="Q25" s="1">
        <f t="shared" si="50"/>
        <v>2.4649681528662422</v>
      </c>
      <c r="R25" s="1">
        <f t="shared" si="50"/>
        <v>7.6764705882352935</v>
      </c>
      <c r="S25" s="1">
        <f t="shared" si="50"/>
        <v>0.5</v>
      </c>
      <c r="T25" s="1">
        <f t="shared" si="50"/>
        <v>0.25</v>
      </c>
      <c r="U25" s="1">
        <f t="shared" si="50"/>
        <v>0.25</v>
      </c>
      <c r="V25" s="1">
        <f t="shared" si="50"/>
        <v>0.25</v>
      </c>
      <c r="W25" s="1">
        <f t="shared" si="50"/>
        <v>0.25</v>
      </c>
      <c r="X25" s="1">
        <f t="shared" si="50"/>
        <v>5.0000000000000044E-2</v>
      </c>
      <c r="Y25" s="1">
        <f t="shared" si="50"/>
        <v>0.25</v>
      </c>
      <c r="Z25" s="1">
        <f t="shared" si="50"/>
        <v>0.25</v>
      </c>
      <c r="AA25" s="1">
        <f t="shared" si="50"/>
        <v>0.25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2:107" x14ac:dyDescent="0.35">
      <c r="B26" t="s">
        <v>160</v>
      </c>
      <c r="N26">
        <f>N22/N7</f>
        <v>1.0523245010962874</v>
      </c>
      <c r="O26">
        <f>O22/O7</f>
        <v>-15.406265060240964</v>
      </c>
      <c r="P26">
        <f>P22/P7</f>
        <v>-32.161783439490449</v>
      </c>
      <c r="Q26">
        <f t="shared" ref="Q26:AI26" si="51">Q22/Q7</f>
        <v>-6.7227727941176463</v>
      </c>
      <c r="R26">
        <f t="shared" si="51"/>
        <v>8.8859138516949016E-2</v>
      </c>
      <c r="S26">
        <f t="shared" si="51"/>
        <v>0.41645459008841812</v>
      </c>
      <c r="T26">
        <f t="shared" si="51"/>
        <v>0.54135839098305305</v>
      </c>
      <c r="U26">
        <f t="shared" si="51"/>
        <v>0.6448796050117418</v>
      </c>
      <c r="V26">
        <f t="shared" si="51"/>
        <v>0.73069892540322978</v>
      </c>
      <c r="W26">
        <f t="shared" si="51"/>
        <v>0.80185994002386729</v>
      </c>
      <c r="X26">
        <f t="shared" si="51"/>
        <v>0.80580955483741457</v>
      </c>
      <c r="Y26">
        <f t="shared" si="51"/>
        <v>0.86409742300108638</v>
      </c>
      <c r="Z26">
        <f t="shared" si="51"/>
        <v>0.91246284022188451</v>
      </c>
      <c r="AA26">
        <f t="shared" si="51"/>
        <v>0.95260401298545039</v>
      </c>
      <c r="AB26">
        <f t="shared" si="51"/>
        <v>0.9583108088073079</v>
      </c>
      <c r="AC26">
        <f t="shared" si="51"/>
        <v>0.96385136710670349</v>
      </c>
      <c r="AD26">
        <f t="shared" si="51"/>
        <v>0.96923058925157746</v>
      </c>
      <c r="AE26">
        <f t="shared" si="51"/>
        <v>0.97445322934581236</v>
      </c>
      <c r="AF26">
        <f t="shared" si="51"/>
        <v>0.97450989580378999</v>
      </c>
      <c r="AG26">
        <f t="shared" si="51"/>
        <v>0.97456545115474824</v>
      </c>
      <c r="AH26">
        <f t="shared" si="51"/>
        <v>0.97461991718509977</v>
      </c>
      <c r="AI26">
        <f t="shared" si="51"/>
        <v>0.97467331525407164</v>
      </c>
    </row>
    <row r="27" spans="2:107" x14ac:dyDescent="0.35">
      <c r="AX27" s="14" t="s">
        <v>198</v>
      </c>
      <c r="AY27" s="14"/>
      <c r="AZ27" s="14"/>
    </row>
    <row r="28" spans="2:107" x14ac:dyDescent="0.35">
      <c r="AQ28" t="s">
        <v>161</v>
      </c>
      <c r="AR28" s="6">
        <v>0.1</v>
      </c>
      <c r="AX28" t="s">
        <v>199</v>
      </c>
      <c r="AY28" t="s">
        <v>67</v>
      </c>
      <c r="AZ28" t="s">
        <v>204</v>
      </c>
    </row>
    <row r="29" spans="2:107" x14ac:dyDescent="0.35">
      <c r="AQ29" t="s">
        <v>162</v>
      </c>
      <c r="AR29" s="6">
        <v>-0.05</v>
      </c>
      <c r="AV29" s="15" t="s">
        <v>200</v>
      </c>
      <c r="AW29" s="6">
        <v>0.12</v>
      </c>
      <c r="AX29">
        <v>4.32</v>
      </c>
      <c r="AY29">
        <v>8</v>
      </c>
      <c r="AZ29">
        <v>17.510000000000002</v>
      </c>
    </row>
    <row r="30" spans="2:107" x14ac:dyDescent="0.35">
      <c r="AQ30" t="s">
        <v>163</v>
      </c>
      <c r="AR30" s="9">
        <f>NPV(AR28,P22:DC22)</f>
        <v>3048771.8546576663</v>
      </c>
      <c r="AV30" s="15"/>
      <c r="AW30" s="6">
        <v>0.1</v>
      </c>
      <c r="AX30">
        <v>5</v>
      </c>
      <c r="AY30">
        <v>10.3</v>
      </c>
      <c r="AZ30">
        <v>22.3</v>
      </c>
    </row>
    <row r="31" spans="2:107" x14ac:dyDescent="0.35">
      <c r="AQ31" t="s">
        <v>164</v>
      </c>
      <c r="AR31" s="9">
        <f>AR30/Main!K4</f>
        <v>10.334819846297174</v>
      </c>
      <c r="AV31" s="15"/>
      <c r="AW31" s="11">
        <v>8.5000000000000006E-2</v>
      </c>
      <c r="AX31">
        <v>6.68</v>
      </c>
      <c r="AY31">
        <v>12.63</v>
      </c>
      <c r="AZ31">
        <v>26</v>
      </c>
    </row>
    <row r="33" spans="48:49" x14ac:dyDescent="0.35">
      <c r="AV33" s="15" t="s">
        <v>203</v>
      </c>
      <c r="AW33" s="6">
        <v>0.1</v>
      </c>
    </row>
    <row r="34" spans="48:49" x14ac:dyDescent="0.35">
      <c r="AV34" s="15"/>
      <c r="AW34" s="6">
        <v>0.3</v>
      </c>
    </row>
    <row r="35" spans="48:49" x14ac:dyDescent="0.35">
      <c r="AV35" s="15"/>
      <c r="AW35" s="6">
        <v>0.5</v>
      </c>
    </row>
  </sheetData>
  <mergeCells count="3">
    <mergeCell ref="AX27:AZ27"/>
    <mergeCell ref="AV29:AV31"/>
    <mergeCell ref="AV33:AV35"/>
  </mergeCells>
  <hyperlinks>
    <hyperlink ref="A1" location="Main!A1" display="Main" xr:uid="{E8FD1142-CBB1-4DF9-9242-CCD7EE1C243F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F349-622D-4730-BD00-2BC8B2C26D09}">
  <dimension ref="A1:I14"/>
  <sheetViews>
    <sheetView tabSelected="1" workbookViewId="0">
      <selection activeCell="C18" sqref="C18"/>
    </sheetView>
  </sheetViews>
  <sheetFormatPr defaultRowHeight="14.5" x14ac:dyDescent="0.35"/>
  <cols>
    <col min="1" max="1" width="5.08984375" bestFit="1" customWidth="1"/>
  </cols>
  <sheetData>
    <row r="1" spans="1:9" x14ac:dyDescent="0.35">
      <c r="A1" s="3" t="s">
        <v>15</v>
      </c>
    </row>
    <row r="2" spans="1:9" x14ac:dyDescent="0.35">
      <c r="B2" t="s">
        <v>7</v>
      </c>
      <c r="C2" t="s">
        <v>48</v>
      </c>
      <c r="I2" t="s">
        <v>291</v>
      </c>
    </row>
    <row r="3" spans="1:9" x14ac:dyDescent="0.35">
      <c r="B3" t="s">
        <v>59</v>
      </c>
    </row>
    <row r="4" spans="1:9" x14ac:dyDescent="0.35">
      <c r="B4" t="s">
        <v>8</v>
      </c>
      <c r="C4" t="s">
        <v>290</v>
      </c>
    </row>
    <row r="5" spans="1:9" x14ac:dyDescent="0.35">
      <c r="B5" t="s">
        <v>78</v>
      </c>
      <c r="C5" t="s">
        <v>65</v>
      </c>
    </row>
    <row r="6" spans="1:9" x14ac:dyDescent="0.35">
      <c r="B6" t="s">
        <v>60</v>
      </c>
    </row>
    <row r="7" spans="1:9" x14ac:dyDescent="0.35">
      <c r="B7" t="s">
        <v>61</v>
      </c>
    </row>
    <row r="9" spans="1:9" x14ac:dyDescent="0.35">
      <c r="C9" t="s">
        <v>288</v>
      </c>
    </row>
    <row r="11" spans="1:9" x14ac:dyDescent="0.35">
      <c r="C11" s="7" t="s">
        <v>294</v>
      </c>
    </row>
    <row r="13" spans="1:9" x14ac:dyDescent="0.35">
      <c r="C13" s="7" t="s">
        <v>296</v>
      </c>
    </row>
    <row r="14" spans="1:9" x14ac:dyDescent="0.35">
      <c r="C14" t="s">
        <v>297</v>
      </c>
      <c r="H14" t="s">
        <v>295</v>
      </c>
    </row>
  </sheetData>
  <hyperlinks>
    <hyperlink ref="A1" location="Main!A1" display="Main" xr:uid="{8A6200CA-EA02-41F5-910D-D6544ACA822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E0F5-C18A-495D-9A04-BD164CB2F5DA}">
  <dimension ref="A1:G15"/>
  <sheetViews>
    <sheetView workbookViewId="0">
      <selection activeCell="B9" sqref="B9"/>
    </sheetView>
  </sheetViews>
  <sheetFormatPr defaultRowHeight="14.5" x14ac:dyDescent="0.35"/>
  <cols>
    <col min="2" max="2" width="11.54296875" bestFit="1" customWidth="1"/>
    <col min="3" max="3" width="15.7265625" customWidth="1"/>
    <col min="4" max="4" width="13.08984375" bestFit="1" customWidth="1"/>
  </cols>
  <sheetData>
    <row r="1" spans="1:7" x14ac:dyDescent="0.35">
      <c r="A1" s="3" t="s">
        <v>15</v>
      </c>
    </row>
    <row r="2" spans="1:7" x14ac:dyDescent="0.35">
      <c r="B2" t="s">
        <v>7</v>
      </c>
      <c r="C2" t="s">
        <v>47</v>
      </c>
    </row>
    <row r="3" spans="1:7" x14ac:dyDescent="0.35">
      <c r="B3" t="s">
        <v>59</v>
      </c>
    </row>
    <row r="4" spans="1:7" x14ac:dyDescent="0.35">
      <c r="B4" t="s">
        <v>8</v>
      </c>
      <c r="C4" t="s">
        <v>62</v>
      </c>
    </row>
    <row r="5" spans="1:7" x14ac:dyDescent="0.35">
      <c r="B5" t="s">
        <v>78</v>
      </c>
      <c r="C5" t="s">
        <v>103</v>
      </c>
    </row>
    <row r="6" spans="1:7" x14ac:dyDescent="0.35">
      <c r="B6" t="s">
        <v>60</v>
      </c>
    </row>
    <row r="7" spans="1:7" x14ac:dyDescent="0.35">
      <c r="B7" t="s">
        <v>61</v>
      </c>
    </row>
    <row r="9" spans="1:7" x14ac:dyDescent="0.35">
      <c r="B9" s="7" t="s">
        <v>126</v>
      </c>
    </row>
    <row r="10" spans="1:7" x14ac:dyDescent="0.35">
      <c r="B10" t="s">
        <v>127</v>
      </c>
    </row>
    <row r="12" spans="1:7" x14ac:dyDescent="0.35">
      <c r="D12" t="s">
        <v>131</v>
      </c>
      <c r="E12" t="s">
        <v>130</v>
      </c>
      <c r="F12" t="s">
        <v>132</v>
      </c>
    </row>
    <row r="13" spans="1:7" x14ac:dyDescent="0.35">
      <c r="B13" t="s">
        <v>128</v>
      </c>
      <c r="D13" s="6">
        <v>0.5</v>
      </c>
      <c r="E13" s="6">
        <v>0.52</v>
      </c>
      <c r="F13" s="6">
        <v>0.51</v>
      </c>
      <c r="G13" t="s">
        <v>135</v>
      </c>
    </row>
    <row r="14" spans="1:7" x14ac:dyDescent="0.35">
      <c r="B14" t="s">
        <v>129</v>
      </c>
      <c r="D14" s="6">
        <v>0.83</v>
      </c>
      <c r="E14" s="6">
        <v>0.87</v>
      </c>
      <c r="F14" s="6">
        <v>0.86</v>
      </c>
      <c r="G14" t="s">
        <v>135</v>
      </c>
    </row>
    <row r="15" spans="1:7" x14ac:dyDescent="0.35">
      <c r="B15" t="s">
        <v>133</v>
      </c>
      <c r="D15" s="8" t="s">
        <v>134</v>
      </c>
    </row>
  </sheetData>
  <hyperlinks>
    <hyperlink ref="A1" location="Main!A1" display="Main" xr:uid="{333FCB71-BB7F-4712-972F-EB4A658F30B1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0757-E0B3-40F6-8A64-B22807C21F59}">
  <dimension ref="B2:C40"/>
  <sheetViews>
    <sheetView workbookViewId="0">
      <selection activeCell="B4" sqref="B4"/>
    </sheetView>
  </sheetViews>
  <sheetFormatPr defaultRowHeight="14.5" x14ac:dyDescent="0.35"/>
  <cols>
    <col min="1" max="1" width="6.54296875" customWidth="1"/>
  </cols>
  <sheetData>
    <row r="2" spans="2:3" x14ac:dyDescent="0.35">
      <c r="B2" s="4" t="s">
        <v>80</v>
      </c>
    </row>
    <row r="3" spans="2:3" x14ac:dyDescent="0.35">
      <c r="B3" t="s">
        <v>122</v>
      </c>
    </row>
    <row r="6" spans="2:3" x14ac:dyDescent="0.35">
      <c r="B6" t="s">
        <v>81</v>
      </c>
    </row>
    <row r="7" spans="2:3" x14ac:dyDescent="0.35">
      <c r="B7" t="s">
        <v>82</v>
      </c>
    </row>
    <row r="8" spans="2:3" x14ac:dyDescent="0.35">
      <c r="B8" t="s">
        <v>83</v>
      </c>
    </row>
    <row r="9" spans="2:3" x14ac:dyDescent="0.35">
      <c r="B9" t="s">
        <v>84</v>
      </c>
    </row>
    <row r="10" spans="2:3" x14ac:dyDescent="0.35">
      <c r="B10" t="s">
        <v>85</v>
      </c>
    </row>
    <row r="12" spans="2:3" x14ac:dyDescent="0.35">
      <c r="B12" t="s">
        <v>86</v>
      </c>
    </row>
    <row r="14" spans="2:3" x14ac:dyDescent="0.35">
      <c r="B14" t="s">
        <v>87</v>
      </c>
    </row>
    <row r="15" spans="2:3" x14ac:dyDescent="0.35">
      <c r="C15" t="s">
        <v>88</v>
      </c>
    </row>
    <row r="16" spans="2:3" x14ac:dyDescent="0.35">
      <c r="C16" t="s">
        <v>89</v>
      </c>
    </row>
    <row r="18" spans="2:3" x14ac:dyDescent="0.35">
      <c r="B18" t="s">
        <v>90</v>
      </c>
    </row>
    <row r="19" spans="2:3" x14ac:dyDescent="0.35">
      <c r="C19" t="s">
        <v>91</v>
      </c>
    </row>
    <row r="20" spans="2:3" x14ac:dyDescent="0.35">
      <c r="C20" t="s">
        <v>92</v>
      </c>
    </row>
    <row r="22" spans="2:3" x14ac:dyDescent="0.35">
      <c r="C22" t="s">
        <v>93</v>
      </c>
    </row>
    <row r="24" spans="2:3" x14ac:dyDescent="0.35">
      <c r="C24" t="s">
        <v>94</v>
      </c>
    </row>
    <row r="25" spans="2:3" x14ac:dyDescent="0.35">
      <c r="C25" t="s">
        <v>95</v>
      </c>
    </row>
    <row r="27" spans="2:3" x14ac:dyDescent="0.35">
      <c r="B27" t="s">
        <v>96</v>
      </c>
    </row>
    <row r="28" spans="2:3" x14ac:dyDescent="0.35">
      <c r="C28" t="s">
        <v>97</v>
      </c>
    </row>
    <row r="29" spans="2:3" x14ac:dyDescent="0.35">
      <c r="C29" t="s">
        <v>98</v>
      </c>
    </row>
    <row r="31" spans="2:3" x14ac:dyDescent="0.35">
      <c r="B31" t="s">
        <v>99</v>
      </c>
    </row>
    <row r="32" spans="2:3" x14ac:dyDescent="0.35">
      <c r="C32" t="s">
        <v>100</v>
      </c>
    </row>
    <row r="35" spans="2:3" x14ac:dyDescent="0.35">
      <c r="B35" t="s">
        <v>101</v>
      </c>
    </row>
    <row r="36" spans="2:3" x14ac:dyDescent="0.35">
      <c r="C36" t="s">
        <v>102</v>
      </c>
    </row>
    <row r="38" spans="2:3" x14ac:dyDescent="0.35">
      <c r="B38" s="7" t="s">
        <v>44</v>
      </c>
    </row>
    <row r="39" spans="2:3" x14ac:dyDescent="0.35">
      <c r="B39" t="s">
        <v>120</v>
      </c>
    </row>
    <row r="40" spans="2:3" x14ac:dyDescent="0.35">
      <c r="B40" t="s">
        <v>121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891C-E428-4B96-B0C9-3C3298D7CF5F}">
  <dimension ref="A1:K48"/>
  <sheetViews>
    <sheetView topLeftCell="B19" zoomScale="145" zoomScaleNormal="145" workbookViewId="0">
      <selection activeCell="K27" sqref="K27"/>
    </sheetView>
  </sheetViews>
  <sheetFormatPr defaultRowHeight="14.5" x14ac:dyDescent="0.35"/>
  <cols>
    <col min="1" max="1" width="5.08984375" bestFit="1" customWidth="1"/>
    <col min="2" max="2" width="9.54296875" customWidth="1"/>
    <col min="7" max="7" width="12.26953125" customWidth="1"/>
    <col min="10" max="10" width="28.7265625" customWidth="1"/>
  </cols>
  <sheetData>
    <row r="1" spans="1:11" x14ac:dyDescent="0.35">
      <c r="A1" s="3" t="s">
        <v>15</v>
      </c>
    </row>
    <row r="2" spans="1:11" x14ac:dyDescent="0.35">
      <c r="B2" t="s">
        <v>7</v>
      </c>
      <c r="C2" t="s">
        <v>57</v>
      </c>
    </row>
    <row r="3" spans="1:11" x14ac:dyDescent="0.35">
      <c r="B3" t="s">
        <v>113</v>
      </c>
      <c r="C3" t="s">
        <v>117</v>
      </c>
    </row>
    <row r="4" spans="1:11" x14ac:dyDescent="0.35">
      <c r="B4" t="s">
        <v>114</v>
      </c>
      <c r="C4" t="s">
        <v>118</v>
      </c>
    </row>
    <row r="5" spans="1:11" x14ac:dyDescent="0.35">
      <c r="B5" t="s">
        <v>115</v>
      </c>
      <c r="C5" t="s">
        <v>119</v>
      </c>
    </row>
    <row r="7" spans="1:11" x14ac:dyDescent="0.35">
      <c r="B7" s="4" t="s">
        <v>116</v>
      </c>
    </row>
    <row r="9" spans="1:11" x14ac:dyDescent="0.35">
      <c r="B9" t="s">
        <v>234</v>
      </c>
      <c r="K9" s="4" t="s">
        <v>267</v>
      </c>
    </row>
    <row r="10" spans="1:11" x14ac:dyDescent="0.35">
      <c r="K10" t="s">
        <v>253</v>
      </c>
    </row>
    <row r="11" spans="1:11" x14ac:dyDescent="0.35">
      <c r="B11" t="s">
        <v>104</v>
      </c>
      <c r="K11" t="s">
        <v>254</v>
      </c>
    </row>
    <row r="12" spans="1:11" x14ac:dyDescent="0.35">
      <c r="B12" t="s">
        <v>105</v>
      </c>
      <c r="I12" s="1">
        <f>125000+27000</f>
        <v>152000</v>
      </c>
      <c r="K12" t="s">
        <v>255</v>
      </c>
    </row>
    <row r="14" spans="1:11" x14ac:dyDescent="0.35">
      <c r="B14" t="s">
        <v>106</v>
      </c>
      <c r="K14" t="s">
        <v>256</v>
      </c>
    </row>
    <row r="15" spans="1:11" x14ac:dyDescent="0.35">
      <c r="B15" t="s">
        <v>107</v>
      </c>
    </row>
    <row r="16" spans="1:11" x14ac:dyDescent="0.35">
      <c r="B16" t="s">
        <v>108</v>
      </c>
      <c r="K16" t="s">
        <v>257</v>
      </c>
    </row>
    <row r="18" spans="2:11" x14ac:dyDescent="0.35">
      <c r="B18" t="s">
        <v>109</v>
      </c>
      <c r="K18" t="s">
        <v>258</v>
      </c>
    </row>
    <row r="20" spans="2:11" x14ac:dyDescent="0.35">
      <c r="B20" t="s">
        <v>110</v>
      </c>
      <c r="K20" s="4" t="s">
        <v>259</v>
      </c>
    </row>
    <row r="21" spans="2:11" x14ac:dyDescent="0.35">
      <c r="B21" t="s">
        <v>111</v>
      </c>
    </row>
    <row r="22" spans="2:11" x14ac:dyDescent="0.35">
      <c r="K22" s="5" t="s">
        <v>260</v>
      </c>
    </row>
    <row r="23" spans="2:11" x14ac:dyDescent="0.35">
      <c r="B23" t="s">
        <v>112</v>
      </c>
      <c r="K23" t="s">
        <v>261</v>
      </c>
    </row>
    <row r="24" spans="2:11" x14ac:dyDescent="0.35">
      <c r="K24" t="s">
        <v>262</v>
      </c>
    </row>
    <row r="25" spans="2:11" x14ac:dyDescent="0.35">
      <c r="B25" t="s">
        <v>235</v>
      </c>
    </row>
    <row r="26" spans="2:11" x14ac:dyDescent="0.35">
      <c r="K26" s="5" t="s">
        <v>284</v>
      </c>
    </row>
    <row r="27" spans="2:11" x14ac:dyDescent="0.35">
      <c r="B27" t="s">
        <v>236</v>
      </c>
      <c r="K27" t="s">
        <v>263</v>
      </c>
    </row>
    <row r="28" spans="2:11" x14ac:dyDescent="0.35">
      <c r="K28" t="s">
        <v>264</v>
      </c>
    </row>
    <row r="29" spans="2:11" x14ac:dyDescent="0.35">
      <c r="B29" t="s">
        <v>240</v>
      </c>
    </row>
    <row r="30" spans="2:11" x14ac:dyDescent="0.35">
      <c r="B30" t="s">
        <v>241</v>
      </c>
      <c r="K30" t="s">
        <v>265</v>
      </c>
    </row>
    <row r="32" spans="2:11" x14ac:dyDescent="0.35">
      <c r="B32" t="s">
        <v>242</v>
      </c>
      <c r="K32" t="s">
        <v>266</v>
      </c>
    </row>
    <row r="33" spans="2:11" x14ac:dyDescent="0.35">
      <c r="B33" t="s">
        <v>243</v>
      </c>
    </row>
    <row r="34" spans="2:11" x14ac:dyDescent="0.35">
      <c r="K34" s="5" t="s">
        <v>269</v>
      </c>
    </row>
    <row r="35" spans="2:11" x14ac:dyDescent="0.35">
      <c r="B35" t="s">
        <v>244</v>
      </c>
      <c r="K35" t="s">
        <v>268</v>
      </c>
    </row>
    <row r="36" spans="2:11" x14ac:dyDescent="0.35">
      <c r="B36" t="s">
        <v>245</v>
      </c>
      <c r="K36" t="s">
        <v>270</v>
      </c>
    </row>
    <row r="38" spans="2:11" x14ac:dyDescent="0.35">
      <c r="B38" t="s">
        <v>246</v>
      </c>
      <c r="K38" s="5" t="s">
        <v>273</v>
      </c>
    </row>
    <row r="39" spans="2:11" x14ac:dyDescent="0.35">
      <c r="B39" t="s">
        <v>247</v>
      </c>
      <c r="K39" t="s">
        <v>271</v>
      </c>
    </row>
    <row r="40" spans="2:11" x14ac:dyDescent="0.35">
      <c r="K40" t="s">
        <v>272</v>
      </c>
    </row>
    <row r="41" spans="2:11" x14ac:dyDescent="0.35">
      <c r="B41" t="s">
        <v>248</v>
      </c>
    </row>
    <row r="42" spans="2:11" x14ac:dyDescent="0.35">
      <c r="K42" s="4" t="s">
        <v>274</v>
      </c>
    </row>
    <row r="43" spans="2:11" x14ac:dyDescent="0.35">
      <c r="B43" s="13" t="s">
        <v>249</v>
      </c>
      <c r="K43" t="s">
        <v>275</v>
      </c>
    </row>
    <row r="44" spans="2:11" x14ac:dyDescent="0.35">
      <c r="B44" s="13"/>
      <c r="K44" t="s">
        <v>276</v>
      </c>
    </row>
    <row r="45" spans="2:11" x14ac:dyDescent="0.35">
      <c r="B45" t="s">
        <v>250</v>
      </c>
      <c r="K45" t="s">
        <v>277</v>
      </c>
    </row>
    <row r="47" spans="2:11" x14ac:dyDescent="0.35">
      <c r="B47" t="s">
        <v>251</v>
      </c>
      <c r="K47" s="4" t="s">
        <v>282</v>
      </c>
    </row>
    <row r="48" spans="2:11" x14ac:dyDescent="0.35">
      <c r="B48" t="s">
        <v>252</v>
      </c>
    </row>
  </sheetData>
  <hyperlinks>
    <hyperlink ref="A1" location="Main!A1" display="Main" xr:uid="{FC9EB567-B6C9-44E5-8B73-CF9119CB8CC5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9AF2-E92A-4C09-B7ED-9BC81B9BE247}">
  <dimension ref="B2:C9"/>
  <sheetViews>
    <sheetView workbookViewId="0">
      <selection activeCell="C9" sqref="C9"/>
    </sheetView>
  </sheetViews>
  <sheetFormatPr defaultRowHeight="14.5" x14ac:dyDescent="0.35"/>
  <sheetData>
    <row r="2" spans="2:3" x14ac:dyDescent="0.35">
      <c r="B2" t="s">
        <v>7</v>
      </c>
      <c r="C2" t="s">
        <v>136</v>
      </c>
    </row>
    <row r="3" spans="2:3" x14ac:dyDescent="0.35">
      <c r="B3" t="s">
        <v>113</v>
      </c>
      <c r="C3" t="s">
        <v>137</v>
      </c>
    </row>
    <row r="4" spans="2:3" x14ac:dyDescent="0.35">
      <c r="B4" t="s">
        <v>114</v>
      </c>
    </row>
    <row r="5" spans="2:3" x14ac:dyDescent="0.35">
      <c r="B5" t="s">
        <v>115</v>
      </c>
    </row>
    <row r="7" spans="2:3" x14ac:dyDescent="0.35">
      <c r="B7" t="s">
        <v>116</v>
      </c>
      <c r="C7" t="s">
        <v>292</v>
      </c>
    </row>
    <row r="9" spans="2:3" x14ac:dyDescent="0.35">
      <c r="C9" t="s">
        <v>293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C9A8-5978-48E9-AC93-5538630DFB27}">
  <dimension ref="A1:P42"/>
  <sheetViews>
    <sheetView workbookViewId="0">
      <selection activeCell="P40" sqref="P40"/>
    </sheetView>
  </sheetViews>
  <sheetFormatPr defaultRowHeight="14.5" x14ac:dyDescent="0.35"/>
  <cols>
    <col min="1" max="1" width="5.08984375" bestFit="1" customWidth="1"/>
  </cols>
  <sheetData>
    <row r="1" spans="1:9" x14ac:dyDescent="0.35">
      <c r="A1" s="3" t="s">
        <v>15</v>
      </c>
    </row>
    <row r="2" spans="1:9" x14ac:dyDescent="0.35">
      <c r="C2" t="s">
        <v>140</v>
      </c>
      <c r="D2" t="s">
        <v>142</v>
      </c>
    </row>
    <row r="3" spans="1:9" x14ac:dyDescent="0.35">
      <c r="C3" t="s">
        <v>138</v>
      </c>
      <c r="D3" t="s">
        <v>143</v>
      </c>
    </row>
    <row r="4" spans="1:9" x14ac:dyDescent="0.35">
      <c r="C4" t="s">
        <v>139</v>
      </c>
    </row>
    <row r="6" spans="1:9" x14ac:dyDescent="0.35">
      <c r="H6" t="s">
        <v>147</v>
      </c>
    </row>
    <row r="7" spans="1:9" x14ac:dyDescent="0.35">
      <c r="I7" t="s">
        <v>144</v>
      </c>
    </row>
    <row r="9" spans="1:9" x14ac:dyDescent="0.35">
      <c r="I9" t="s">
        <v>145</v>
      </c>
    </row>
    <row r="11" spans="1:9" x14ac:dyDescent="0.35">
      <c r="I11" t="s">
        <v>146</v>
      </c>
    </row>
    <row r="14" spans="1:9" x14ac:dyDescent="0.35">
      <c r="H14" t="s">
        <v>159</v>
      </c>
    </row>
    <row r="15" spans="1:9" x14ac:dyDescent="0.35">
      <c r="H15" t="s">
        <v>148</v>
      </c>
    </row>
    <row r="17" spans="8:8" x14ac:dyDescent="0.35">
      <c r="H17" t="s">
        <v>151</v>
      </c>
    </row>
    <row r="19" spans="8:8" x14ac:dyDescent="0.35">
      <c r="H19" t="s">
        <v>152</v>
      </c>
    </row>
    <row r="20" spans="8:8" x14ac:dyDescent="0.35">
      <c r="H20" t="s">
        <v>149</v>
      </c>
    </row>
    <row r="22" spans="8:8" x14ac:dyDescent="0.35">
      <c r="H22" t="s">
        <v>150</v>
      </c>
    </row>
    <row r="24" spans="8:8" x14ac:dyDescent="0.35">
      <c r="H24" t="s">
        <v>153</v>
      </c>
    </row>
    <row r="26" spans="8:8" x14ac:dyDescent="0.35">
      <c r="H26" t="s">
        <v>154</v>
      </c>
    </row>
    <row r="28" spans="8:8" x14ac:dyDescent="0.35">
      <c r="H28" t="s">
        <v>155</v>
      </c>
    </row>
    <row r="30" spans="8:8" x14ac:dyDescent="0.35">
      <c r="H30" t="s">
        <v>156</v>
      </c>
    </row>
    <row r="32" spans="8:8" x14ac:dyDescent="0.35">
      <c r="H32" t="s">
        <v>157</v>
      </c>
    </row>
    <row r="34" spans="8:16" x14ac:dyDescent="0.35">
      <c r="H34" t="s">
        <v>158</v>
      </c>
    </row>
    <row r="39" spans="8:16" x14ac:dyDescent="0.35">
      <c r="H39" t="s">
        <v>166</v>
      </c>
      <c r="I39" t="s">
        <v>167</v>
      </c>
      <c r="J39" t="s">
        <v>168</v>
      </c>
      <c r="K39" t="s">
        <v>169</v>
      </c>
      <c r="L39" t="s">
        <v>170</v>
      </c>
      <c r="M39" t="s">
        <v>171</v>
      </c>
      <c r="N39" t="s">
        <v>172</v>
      </c>
      <c r="O39" t="s">
        <v>173</v>
      </c>
      <c r="P39" t="s">
        <v>174</v>
      </c>
    </row>
    <row r="40" spans="8:16" x14ac:dyDescent="0.35">
      <c r="H40" t="s">
        <v>175</v>
      </c>
      <c r="I40" t="s">
        <v>176</v>
      </c>
      <c r="J40" t="s">
        <v>177</v>
      </c>
      <c r="K40" t="s">
        <v>178</v>
      </c>
      <c r="L40" t="s">
        <v>179</v>
      </c>
      <c r="M40" s="6">
        <v>0.2</v>
      </c>
      <c r="N40" t="s">
        <v>180</v>
      </c>
      <c r="O40" t="s">
        <v>181</v>
      </c>
      <c r="P40" t="s">
        <v>182</v>
      </c>
    </row>
    <row r="41" spans="8:16" x14ac:dyDescent="0.35">
      <c r="H41" t="s">
        <v>183</v>
      </c>
      <c r="I41" t="s">
        <v>184</v>
      </c>
      <c r="J41" t="s">
        <v>185</v>
      </c>
      <c r="K41" t="s">
        <v>186</v>
      </c>
      <c r="L41" t="s">
        <v>187</v>
      </c>
      <c r="M41" s="6">
        <v>0.3</v>
      </c>
      <c r="N41" t="s">
        <v>188</v>
      </c>
      <c r="O41" t="s">
        <v>189</v>
      </c>
      <c r="P41" t="s">
        <v>190</v>
      </c>
    </row>
    <row r="42" spans="8:16" x14ac:dyDescent="0.35">
      <c r="H42" t="s">
        <v>191</v>
      </c>
      <c r="I42" t="s">
        <v>192</v>
      </c>
      <c r="J42" t="s">
        <v>193</v>
      </c>
      <c r="K42" t="s">
        <v>194</v>
      </c>
      <c r="L42" t="s">
        <v>177</v>
      </c>
      <c r="M42" s="6">
        <v>0.4</v>
      </c>
      <c r="N42" t="s">
        <v>195</v>
      </c>
      <c r="O42" t="s">
        <v>196</v>
      </c>
      <c r="P42" t="s">
        <v>197</v>
      </c>
    </row>
  </sheetData>
  <hyperlinks>
    <hyperlink ref="A1" location="Main!A1" display="Main" xr:uid="{1E039AC0-A4E4-41A2-BA03-F1FC67219DA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2029-3FD4-4C37-A2F9-BF549CA613F3}">
  <dimension ref="A1:K42"/>
  <sheetViews>
    <sheetView topLeftCell="A4" workbookViewId="0">
      <selection activeCell="A20" sqref="A20"/>
    </sheetView>
  </sheetViews>
  <sheetFormatPr defaultRowHeight="14.5" x14ac:dyDescent="0.35"/>
  <cols>
    <col min="1" max="1" width="5.08984375" bestFit="1" customWidth="1"/>
  </cols>
  <sheetData>
    <row r="1" spans="1:4" x14ac:dyDescent="0.35">
      <c r="A1" s="3" t="s">
        <v>15</v>
      </c>
    </row>
    <row r="2" spans="1:4" x14ac:dyDescent="0.35">
      <c r="A2" t="s">
        <v>283</v>
      </c>
      <c r="B2">
        <v>1</v>
      </c>
      <c r="C2" t="s">
        <v>207</v>
      </c>
    </row>
    <row r="3" spans="1:4" x14ac:dyDescent="0.35">
      <c r="C3" t="s">
        <v>208</v>
      </c>
    </row>
    <row r="5" spans="1:4" x14ac:dyDescent="0.35">
      <c r="A5" t="s">
        <v>283</v>
      </c>
      <c r="B5">
        <v>2</v>
      </c>
      <c r="C5" t="s">
        <v>209</v>
      </c>
    </row>
    <row r="6" spans="1:4" x14ac:dyDescent="0.35">
      <c r="C6" t="s">
        <v>210</v>
      </c>
    </row>
    <row r="8" spans="1:4" x14ac:dyDescent="0.35">
      <c r="A8" t="s">
        <v>283</v>
      </c>
      <c r="B8">
        <v>3</v>
      </c>
      <c r="C8" t="s">
        <v>211</v>
      </c>
    </row>
    <row r="9" spans="1:4" x14ac:dyDescent="0.35">
      <c r="C9" t="s">
        <v>213</v>
      </c>
      <c r="D9" t="s">
        <v>212</v>
      </c>
    </row>
    <row r="11" spans="1:4" x14ac:dyDescent="0.35">
      <c r="A11" t="s">
        <v>283</v>
      </c>
      <c r="B11">
        <v>4</v>
      </c>
      <c r="C11" t="s">
        <v>214</v>
      </c>
    </row>
    <row r="12" spans="1:4" x14ac:dyDescent="0.35">
      <c r="C12" t="s">
        <v>215</v>
      </c>
    </row>
    <row r="14" spans="1:4" x14ac:dyDescent="0.35">
      <c r="B14">
        <v>5</v>
      </c>
      <c r="C14" t="s">
        <v>216</v>
      </c>
    </row>
    <row r="15" spans="1:4" x14ac:dyDescent="0.35">
      <c r="C15" s="12"/>
      <c r="D15" t="s">
        <v>217</v>
      </c>
    </row>
    <row r="17" spans="2:3" x14ac:dyDescent="0.35">
      <c r="B17">
        <v>6</v>
      </c>
      <c r="C17" t="s">
        <v>218</v>
      </c>
    </row>
    <row r="18" spans="2:3" x14ac:dyDescent="0.35">
      <c r="C18" t="s">
        <v>219</v>
      </c>
    </row>
    <row r="20" spans="2:3" x14ac:dyDescent="0.35">
      <c r="B20">
        <v>7</v>
      </c>
      <c r="C20" t="s">
        <v>220</v>
      </c>
    </row>
    <row r="21" spans="2:3" x14ac:dyDescent="0.35">
      <c r="C21" t="s">
        <v>221</v>
      </c>
    </row>
    <row r="23" spans="2:3" x14ac:dyDescent="0.35">
      <c r="B23">
        <v>8</v>
      </c>
      <c r="C23" t="s">
        <v>222</v>
      </c>
    </row>
    <row r="24" spans="2:3" x14ac:dyDescent="0.35">
      <c r="C24" t="s">
        <v>223</v>
      </c>
    </row>
    <row r="26" spans="2:3" x14ac:dyDescent="0.35">
      <c r="B26">
        <v>9</v>
      </c>
      <c r="C26" t="s">
        <v>224</v>
      </c>
    </row>
    <row r="27" spans="2:3" x14ac:dyDescent="0.35">
      <c r="C27" t="s">
        <v>225</v>
      </c>
    </row>
    <row r="29" spans="2:3" x14ac:dyDescent="0.35">
      <c r="B29">
        <v>10</v>
      </c>
      <c r="C29" t="s">
        <v>226</v>
      </c>
    </row>
    <row r="30" spans="2:3" x14ac:dyDescent="0.35">
      <c r="C30" t="s">
        <v>227</v>
      </c>
    </row>
    <row r="32" spans="2:3" x14ac:dyDescent="0.35">
      <c r="B32">
        <v>11</v>
      </c>
      <c r="C32" t="s">
        <v>228</v>
      </c>
    </row>
    <row r="33" spans="2:11" x14ac:dyDescent="0.35">
      <c r="C33" t="s">
        <v>229</v>
      </c>
      <c r="K33" s="12"/>
    </row>
    <row r="35" spans="2:11" x14ac:dyDescent="0.35">
      <c r="B35">
        <v>12</v>
      </c>
      <c r="C35" t="s">
        <v>230</v>
      </c>
    </row>
    <row r="36" spans="2:11" x14ac:dyDescent="0.35">
      <c r="C36" t="s">
        <v>231</v>
      </c>
    </row>
    <row r="38" spans="2:11" x14ac:dyDescent="0.35">
      <c r="B38">
        <v>13</v>
      </c>
      <c r="C38" t="s">
        <v>232</v>
      </c>
    </row>
    <row r="39" spans="2:11" x14ac:dyDescent="0.35">
      <c r="C39" t="s">
        <v>233</v>
      </c>
    </row>
    <row r="41" spans="2:11" x14ac:dyDescent="0.35">
      <c r="B41">
        <v>14</v>
      </c>
      <c r="C41" t="s">
        <v>278</v>
      </c>
    </row>
    <row r="42" spans="2:11" x14ac:dyDescent="0.35">
      <c r="C42" t="s">
        <v>279</v>
      </c>
    </row>
  </sheetData>
  <hyperlinks>
    <hyperlink ref="A1" location="Main!A1" display="Main" xr:uid="{67D88BB4-0B42-4AA7-848D-2CF95FF047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Model</vt:lpstr>
      <vt:lpstr>PRGN-2009</vt:lpstr>
      <vt:lpstr>PRGN-2012</vt:lpstr>
      <vt:lpstr>Platforms</vt:lpstr>
      <vt:lpstr>RRP</vt:lpstr>
      <vt:lpstr>HPV</vt:lpstr>
      <vt:lpstr>ImmunoTherapies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2025-08-18T22:10:57Z</dcterms:modified>
</cp:coreProperties>
</file>