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TNX\"/>
    </mc:Choice>
  </mc:AlternateContent>
  <xr:revisionPtr revIDLastSave="0" documentId="13_ncr:1_{7D0E7515-1B7D-4414-9EAE-DE019B1453DA}" xr6:coauthVersionLast="47" xr6:coauthVersionMax="47" xr10:uidLastSave="{00000000-0000-0000-0000-000000000000}"/>
  <bookViews>
    <workbookView xWindow="9430" yWindow="2530" windowWidth="17480" windowHeight="13750" xr2:uid="{00000000-000D-0000-FFFF-FFFF00000000}"/>
  </bookViews>
  <sheets>
    <sheet name="Main" sheetId="1" r:id="rId1"/>
    <sheet name="Model" sheetId="2" r:id="rId2"/>
    <sheet name="TNX-1900" sheetId="7" r:id="rId3"/>
    <sheet name="Tonmya" sheetId="3" r:id="rId4"/>
    <sheet name="RALLY" sheetId="5" r:id="rId5"/>
    <sheet name="RESILIENT" sheetId="6" r:id="rId6"/>
    <sheet name="Competition" sheetId="8" r:id="rId7"/>
    <sheet name="FM" sheetId="4" r:id="rId8"/>
    <sheet name="Literatur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9" i="2" l="1"/>
  <c r="AB3" i="2" l="1"/>
  <c r="F41" i="3"/>
  <c r="F67" i="3"/>
  <c r="F53" i="3"/>
  <c r="E42" i="3"/>
  <c r="D42" i="3"/>
  <c r="E54" i="3"/>
  <c r="D54" i="3"/>
  <c r="E68" i="3"/>
  <c r="D68" i="3"/>
  <c r="H37" i="3"/>
  <c r="E37" i="3"/>
  <c r="X3" i="2" l="1"/>
  <c r="Y3" i="2"/>
  <c r="Z3" i="2" s="1"/>
  <c r="AA3" i="2" s="1"/>
  <c r="AC3" i="2" s="1"/>
  <c r="AD3" i="2" s="1"/>
  <c r="AE3" i="2" s="1"/>
  <c r="V3" i="2" l="1"/>
  <c r="W3" i="2" s="1"/>
  <c r="U3" i="2"/>
  <c r="AH2" i="2" l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T18" i="2"/>
  <c r="S18" i="2"/>
  <c r="R18" i="2"/>
  <c r="T3" i="2"/>
  <c r="T8" i="2"/>
  <c r="S8" i="2"/>
  <c r="R9" i="2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R8" i="2"/>
  <c r="R5" i="2"/>
  <c r="R4" i="2"/>
  <c r="G5" i="2"/>
  <c r="U8" i="2" l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S5" i="2"/>
  <c r="S22" i="2" s="1"/>
  <c r="S4" i="2"/>
  <c r="S6" i="2" s="1"/>
  <c r="S20" i="2"/>
  <c r="R20" i="2"/>
  <c r="Q20" i="2"/>
  <c r="R6" i="2"/>
  <c r="Q6" i="2"/>
  <c r="M23" i="2"/>
  <c r="L23" i="2"/>
  <c r="K23" i="2"/>
  <c r="J23" i="2"/>
  <c r="I23" i="2"/>
  <c r="H23" i="2"/>
  <c r="S21" i="2"/>
  <c r="R22" i="2"/>
  <c r="R21" i="2"/>
  <c r="Q21" i="2"/>
  <c r="Q22" i="2"/>
  <c r="F21" i="2"/>
  <c r="F22" i="2"/>
  <c r="S2" i="2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Y14" i="8"/>
  <c r="X14" i="8"/>
  <c r="W14" i="8"/>
  <c r="V14" i="8"/>
  <c r="U14" i="8"/>
  <c r="T14" i="8"/>
  <c r="S14" i="8"/>
  <c r="R14" i="8"/>
  <c r="Q14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V6" i="8"/>
  <c r="W6" i="8"/>
  <c r="X6" i="8"/>
  <c r="Y6" i="8"/>
  <c r="O4" i="8"/>
  <c r="N4" i="8" s="1"/>
  <c r="M4" i="8" s="1"/>
  <c r="L4" i="8" s="1"/>
  <c r="K4" i="8" s="1"/>
  <c r="J4" i="8" s="1"/>
  <c r="I4" i="8" s="1"/>
  <c r="R23" i="2" l="1"/>
  <c r="R7" i="2"/>
  <c r="R11" i="2" s="1"/>
  <c r="R12" i="2"/>
  <c r="Q26" i="2"/>
  <c r="Q24" i="2"/>
  <c r="Q25" i="2"/>
  <c r="S7" i="2"/>
  <c r="S11" i="2" s="1"/>
  <c r="S12" i="2" s="1"/>
  <c r="S23" i="2"/>
  <c r="T5" i="2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T4" i="2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U20" i="2"/>
  <c r="T20" i="2"/>
  <c r="V20" i="2"/>
  <c r="T21" i="2"/>
  <c r="Q11" i="2"/>
  <c r="P11" i="2"/>
  <c r="F11" i="2"/>
  <c r="E11" i="2"/>
  <c r="P6" i="2"/>
  <c r="F6" i="2"/>
  <c r="E6" i="2"/>
  <c r="E25" i="2" s="1"/>
  <c r="G11" i="2"/>
  <c r="G12" i="2" s="1"/>
  <c r="G18" i="2" s="1"/>
  <c r="M12" i="1"/>
  <c r="M5" i="1"/>
  <c r="M8" i="1" s="1"/>
  <c r="P24" i="2" l="1"/>
  <c r="P25" i="2"/>
  <c r="Q23" i="2"/>
  <c r="F25" i="2"/>
  <c r="G23" i="2"/>
  <c r="T22" i="2"/>
  <c r="T6" i="2"/>
  <c r="W20" i="2"/>
  <c r="P12" i="2"/>
  <c r="P18" i="2" s="1"/>
  <c r="Q12" i="2"/>
  <c r="Q18" i="2" s="1"/>
  <c r="F12" i="2"/>
  <c r="F18" i="2" s="1"/>
  <c r="E12" i="2"/>
  <c r="E18" i="2" s="1"/>
  <c r="T23" i="2" l="1"/>
  <c r="T7" i="2"/>
  <c r="T11" i="2" s="1"/>
  <c r="T12" i="2" s="1"/>
  <c r="U22" i="2"/>
  <c r="U6" i="2"/>
  <c r="U7" i="2" s="1"/>
  <c r="U21" i="2"/>
  <c r="X20" i="2"/>
  <c r="U23" i="2" l="1"/>
  <c r="U11" i="2"/>
  <c r="U12" i="2" s="1"/>
  <c r="U18" i="2" s="1"/>
  <c r="V22" i="2"/>
  <c r="V6" i="2"/>
  <c r="V7" i="2" s="1"/>
  <c r="V21" i="2"/>
  <c r="Y20" i="2"/>
  <c r="V23" i="2" l="1"/>
  <c r="V11" i="2"/>
  <c r="V12" i="2" s="1"/>
  <c r="V18" i="2" s="1"/>
  <c r="W22" i="2"/>
  <c r="W6" i="2"/>
  <c r="W7" i="2" s="1"/>
  <c r="W21" i="2"/>
  <c r="Z20" i="2"/>
  <c r="W23" i="2" l="1"/>
  <c r="W11" i="2"/>
  <c r="W12" i="2" s="1"/>
  <c r="W18" i="2" s="1"/>
  <c r="X22" i="2"/>
  <c r="X6" i="2"/>
  <c r="X7" i="2" s="1"/>
  <c r="X21" i="2"/>
  <c r="AA20" i="2"/>
  <c r="X23" i="2" l="1"/>
  <c r="X11" i="2"/>
  <c r="X12" i="2" s="1"/>
  <c r="X18" i="2" s="1"/>
  <c r="Y22" i="2"/>
  <c r="Y6" i="2"/>
  <c r="Y7" i="2" s="1"/>
  <c r="Y21" i="2"/>
  <c r="AB20" i="2"/>
  <c r="Y23" i="2" l="1"/>
  <c r="Y11" i="2"/>
  <c r="Y12" i="2" s="1"/>
  <c r="Z22" i="2"/>
  <c r="Z6" i="2"/>
  <c r="Z7" i="2" s="1"/>
  <c r="Z21" i="2"/>
  <c r="AC20" i="2"/>
  <c r="Y17" i="2" l="1"/>
  <c r="Y18" i="2" s="1"/>
  <c r="Z23" i="2"/>
  <c r="Z11" i="2"/>
  <c r="Z12" i="2" s="1"/>
  <c r="Z17" i="2" s="1"/>
  <c r="Z18" i="2" s="1"/>
  <c r="AA22" i="2"/>
  <c r="AA6" i="2"/>
  <c r="AA21" i="2"/>
  <c r="AE20" i="2"/>
  <c r="AD20" i="2"/>
  <c r="AA23" i="2" l="1"/>
  <c r="AA7" i="2"/>
  <c r="AA11" i="2" s="1"/>
  <c r="AA12" i="2" s="1"/>
  <c r="AA17" i="2" s="1"/>
  <c r="AA18" i="2" s="1"/>
  <c r="AB22" i="2"/>
  <c r="AB6" i="2"/>
  <c r="AB21" i="2"/>
  <c r="AB23" i="2" l="1"/>
  <c r="AB7" i="2"/>
  <c r="AB11" i="2" s="1"/>
  <c r="AB12" i="2" s="1"/>
  <c r="AC22" i="2"/>
  <c r="AC6" i="2"/>
  <c r="AC21" i="2"/>
  <c r="AB17" i="2" l="1"/>
  <c r="AB18" i="2" s="1"/>
  <c r="AC23" i="2"/>
  <c r="AC7" i="2"/>
  <c r="AC11" i="2" s="1"/>
  <c r="AC12" i="2" s="1"/>
  <c r="AE22" i="2"/>
  <c r="AD22" i="2"/>
  <c r="AD6" i="2"/>
  <c r="AD21" i="2"/>
  <c r="AC17" i="2" l="1"/>
  <c r="AC18" i="2" s="1"/>
  <c r="AD23" i="2"/>
  <c r="AD7" i="2"/>
  <c r="AD11" i="2" s="1"/>
  <c r="AD12" i="2" s="1"/>
  <c r="AE6" i="2"/>
  <c r="AE21" i="2"/>
  <c r="AD17" i="2" l="1"/>
  <c r="AD18" i="2" s="1"/>
  <c r="AE23" i="2"/>
  <c r="AE7" i="2"/>
  <c r="AE11" i="2" s="1"/>
  <c r="AE12" i="2" s="1"/>
  <c r="AE17" i="2" l="1"/>
  <c r="AE18" i="2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AI26" i="2" s="1"/>
  <c r="AI27" i="2" s="1"/>
</calcChain>
</file>

<file path=xl/sharedStrings.xml><?xml version="1.0" encoding="utf-8"?>
<sst xmlns="http://schemas.openxmlformats.org/spreadsheetml/2006/main" count="281" uniqueCount="212">
  <si>
    <t>Price</t>
  </si>
  <si>
    <t>Shares</t>
  </si>
  <si>
    <t>MC</t>
  </si>
  <si>
    <t>EV</t>
  </si>
  <si>
    <t>Cash</t>
  </si>
  <si>
    <t>Debt</t>
  </si>
  <si>
    <t>Name</t>
  </si>
  <si>
    <t>Generic</t>
  </si>
  <si>
    <t>Indication</t>
  </si>
  <si>
    <t>Economics</t>
  </si>
  <si>
    <t>IP</t>
  </si>
  <si>
    <t>Phase</t>
  </si>
  <si>
    <t>2025Q1</t>
  </si>
  <si>
    <t>Costs and expenses</t>
  </si>
  <si>
    <t>quarters untill it runs out of cash</t>
  </si>
  <si>
    <t>TNX-1300</t>
  </si>
  <si>
    <t>TNX-1500</t>
  </si>
  <si>
    <t>discountinued</t>
  </si>
  <si>
    <t>organ transplant rejection</t>
  </si>
  <si>
    <t>Main</t>
  </si>
  <si>
    <t>1Q2025</t>
  </si>
  <si>
    <t>2Q2025</t>
  </si>
  <si>
    <t>Main portfolio is foucsed on CNS (central nervous system) disorders</t>
  </si>
  <si>
    <t>cocaine intoxication</t>
  </si>
  <si>
    <t>TNX-4200</t>
  </si>
  <si>
    <t>CD45</t>
  </si>
  <si>
    <t>Tosymra</t>
  </si>
  <si>
    <t>migrane</t>
  </si>
  <si>
    <t>Tonmya</t>
  </si>
  <si>
    <t>TNX-102 SL</t>
  </si>
  <si>
    <t>Product Revenue, net</t>
  </si>
  <si>
    <t>Cost of sales</t>
  </si>
  <si>
    <t>R&amp;D</t>
  </si>
  <si>
    <t>SG&amp;A</t>
  </si>
  <si>
    <t>Operating Expenses</t>
  </si>
  <si>
    <t>Operating Loss</t>
  </si>
  <si>
    <t>Grant income</t>
  </si>
  <si>
    <t>Gain on change in fair vlaue of warrant liabilities</t>
  </si>
  <si>
    <t>Loss on extinguishment of sebt</t>
  </si>
  <si>
    <t>Other income (expense), net</t>
  </si>
  <si>
    <t>Net loss</t>
  </si>
  <si>
    <t>1Q2024</t>
  </si>
  <si>
    <t>Zembrace Symtouch</t>
  </si>
  <si>
    <t>?</t>
  </si>
  <si>
    <t>Asset impairments</t>
  </si>
  <si>
    <t>Q: Is Tonmya being accepted, and if so how much is it going to sell?</t>
  </si>
  <si>
    <t>MOA</t>
  </si>
  <si>
    <t>Competition</t>
  </si>
  <si>
    <t>Physochemistry</t>
  </si>
  <si>
    <t>Clinical Trials</t>
  </si>
  <si>
    <t>Molecule</t>
  </si>
  <si>
    <t>fibromyalgia (FM)</t>
  </si>
  <si>
    <t>FM is a chronic pain disorder</t>
  </si>
  <si>
    <t>how big is the FM market?</t>
  </si>
  <si>
    <t>how bad is FM?</t>
  </si>
  <si>
    <t>Fibromyalgia (FM)</t>
  </si>
  <si>
    <t>Patients</t>
  </si>
  <si>
    <t>Symptoms</t>
  </si>
  <si>
    <t>chronic pain, non-restorative sleep, fatigue, and brain fog</t>
  </si>
  <si>
    <t>10mln adults in the US (res of world)</t>
  </si>
  <si>
    <t>Cause</t>
  </si>
  <si>
    <t>amplified sensory and pain signalinc in the CNS named central sensitization</t>
  </si>
  <si>
    <t>notes</t>
  </si>
  <si>
    <t>FM is recognized as prototypic nociplastic syndrome</t>
  </si>
  <si>
    <t>Pain may come in nociceptive, neuropathic, and nociplastic forms</t>
  </si>
  <si>
    <t>the later is related to both central and peripheral sensitization</t>
  </si>
  <si>
    <t>FM may occur without any prior cause, but it is usually correlated with other pain states,</t>
  </si>
  <si>
    <t>recoveries from infectious diseases, and cancer treatment or diagnosis, metabolic or endocrine stress</t>
  </si>
  <si>
    <t>It is clssified (in the US) as condition that may occur after COVID, and is a Chronic Overlapping Pain Condition</t>
  </si>
  <si>
    <t>TNX argues that FM in Long COVID pations will increase the potential market for 102 SL (40% of Long COVID patients have overlapping symp. with FM)</t>
  </si>
  <si>
    <t>50% of patients are currently prescribed opioids within 18 months of diagnosis.</t>
  </si>
  <si>
    <t>fibralmialgia</t>
  </si>
  <si>
    <t>norCBP accumulates in blood level with IR and ER formulations of CBP</t>
  </si>
  <si>
    <t>TNX-102 SL should not create this</t>
  </si>
  <si>
    <t>cyclobenzaprine HCl sublingual tablets</t>
  </si>
  <si>
    <t>was granted fast track designation by the FDA</t>
  </si>
  <si>
    <t>placebo</t>
  </si>
  <si>
    <t>POE: change from baseline in weeekly average of daily diary pain severity numerical scale (NRS) scores</t>
  </si>
  <si>
    <t>p=0.00005</t>
  </si>
  <si>
    <t>Phase II "OASIS" treat for ASR</t>
  </si>
  <si>
    <t>initial enrollment in H12025</t>
  </si>
  <si>
    <t>TNX-1900</t>
  </si>
  <si>
    <t>Eversana?</t>
  </si>
  <si>
    <t>Tonmya competition</t>
  </si>
  <si>
    <t>Lyrica</t>
  </si>
  <si>
    <t>Cymbalta</t>
  </si>
  <si>
    <t>Savella</t>
  </si>
  <si>
    <t>Company</t>
  </si>
  <si>
    <t>LLY</t>
  </si>
  <si>
    <t>ABBV</t>
  </si>
  <si>
    <t>pregabalin</t>
  </si>
  <si>
    <t>duloxetine</t>
  </si>
  <si>
    <t>milnacipran</t>
  </si>
  <si>
    <t>AXS-14</t>
  </si>
  <si>
    <t>esreboxetine</t>
  </si>
  <si>
    <t>Asome Therapeutics</t>
  </si>
  <si>
    <t>Virios Therapeutics</t>
  </si>
  <si>
    <t>IMC-1</t>
  </si>
  <si>
    <t>famciclovir + celecoxib</t>
  </si>
  <si>
    <t>Tryptamine Therapeutics</t>
  </si>
  <si>
    <t>TRP-8802</t>
  </si>
  <si>
    <t>3Q2025</t>
  </si>
  <si>
    <t>4Q2025</t>
  </si>
  <si>
    <t>1Q2026</t>
  </si>
  <si>
    <t>2Q2026</t>
  </si>
  <si>
    <t>3Q2026</t>
  </si>
  <si>
    <t>4Q2026</t>
  </si>
  <si>
    <t>EPS</t>
  </si>
  <si>
    <t>approval is already priced in!</t>
  </si>
  <si>
    <t>question is more like by how much is it going to sell</t>
  </si>
  <si>
    <t>yes, approval is essentially priced in according to WS estimates</t>
  </si>
  <si>
    <t>Approved</t>
  </si>
  <si>
    <t>Launch year</t>
  </si>
  <si>
    <t>IP expiration</t>
  </si>
  <si>
    <t>Sales</t>
  </si>
  <si>
    <t>-</t>
  </si>
  <si>
    <t>PFE (sold to VTRS)</t>
  </si>
  <si>
    <t>growth %</t>
  </si>
  <si>
    <t>growth p/p</t>
  </si>
  <si>
    <t> 13/918,692, 2033 PK technology patent portfolio, Eutectic Technology (9,636,408, 9,956,188, etc 2034)</t>
  </si>
  <si>
    <t>composition of matter of CBP, formulations containing CBP</t>
  </si>
  <si>
    <t>methods for treating CNS conditions</t>
  </si>
  <si>
    <t>all expected to expire around 2034 or 2035</t>
  </si>
  <si>
    <t>launch at 300M with top sales around 3 to 4bn?</t>
  </si>
  <si>
    <t>what is the value of the company given these assumptions</t>
  </si>
  <si>
    <t>Ips</t>
  </si>
  <si>
    <t xml:space="preserve"> US $2.7–3.1 billion,  projected to grow to $4–4.6 billion by 2032–2034, at</t>
  </si>
  <si>
    <t>competitors</t>
  </si>
  <si>
    <t>all but 1 are generics by now, in all cases they had more than 1bn in sales</t>
  </si>
  <si>
    <t>pipeline comment</t>
  </si>
  <si>
    <t>Report outline</t>
  </si>
  <si>
    <t>tonix at a quick glance</t>
  </si>
  <si>
    <t>Thesis:</t>
  </si>
  <si>
    <t>pretty bad and patients don't necessarily like generics, no new drug in 15 years</t>
  </si>
  <si>
    <t>margins</t>
  </si>
  <si>
    <t>in thousands!!!</t>
  </si>
  <si>
    <t>Tax</t>
  </si>
  <si>
    <t>Discount</t>
  </si>
  <si>
    <t>Terminal</t>
  </si>
  <si>
    <t>NPV</t>
  </si>
  <si>
    <t>share</t>
  </si>
  <si>
    <t>Lyrica, Cymbalta, Savella, AXS-14</t>
  </si>
  <si>
    <t>Pain relief by targeting nonrestorative sleep in fibromyalgia: a phase 3 randomized trial of bedtime sublingual cyclobenzaprine</t>
  </si>
  <si>
    <t>Lederman et al, 2025</t>
  </si>
  <si>
    <t>14 discontinued due to AE</t>
  </si>
  <si>
    <t>(2.8mg start) 5.6mg</t>
  </si>
  <si>
    <t>Mean pain</t>
  </si>
  <si>
    <t>P&lt;0.0001</t>
  </si>
  <si>
    <t>FIQR</t>
  </si>
  <si>
    <t>Week 14</t>
  </si>
  <si>
    <t>oral cyclobenzaprine (tertiary amine tricyclic)</t>
  </si>
  <si>
    <t>Lederman S, Arnold LM, Vaughn B, Kelley M, Sullivan GM. Efficacy and safety of sublingual cyclobenzaprine for the treatment of f ibromyalgia: results from a randomized, double-blind, placebo-controlled trial.</t>
  </si>
  <si>
    <t>Lederman S, Arnold LM, Vaughn B, Kelley M, Sullivan GM, 2023</t>
  </si>
  <si>
    <t>311.8MW</t>
  </si>
  <si>
    <t>Efficacy and Safety of Sublingual Cyclobenzaprine for the Treatment of Fibromyalgia: Results From a Randomized, Double-Blind, Placebo-Controlled Trial</t>
  </si>
  <si>
    <t>Lederman et al, 2023 DOI: 10.1002/acr.25142</t>
  </si>
  <si>
    <t>5.6m</t>
  </si>
  <si>
    <t>Phase III "RALLY" n=670 efficacy in FM NRS score NCT04508621</t>
  </si>
  <si>
    <t>Phase III "RESILIENT" n=457 efficacy in FM NCT05273749</t>
  </si>
  <si>
    <t>Pain by diary</t>
  </si>
  <si>
    <t>p=1.52</t>
  </si>
  <si>
    <t>p=0.16</t>
  </si>
  <si>
    <t>Started</t>
  </si>
  <si>
    <t>Completed</t>
  </si>
  <si>
    <t>Not Completed</t>
  </si>
  <si>
    <t>Phase III "RELIEF n=503 efficay in FM NCT04172831</t>
  </si>
  <si>
    <t>5.6 mg met the primary endpoint</t>
  </si>
  <si>
    <t>POE not met</t>
  </si>
  <si>
    <t xml:space="preserve">% </t>
  </si>
  <si>
    <t>NSR</t>
  </si>
  <si>
    <t>both significant</t>
  </si>
  <si>
    <t>Interestingly, other major classes of analgesics typically used in the contexts of acute pain or inflammation, such as opioids and NSAIDs, have been found to be ineffective against FM pain</t>
  </si>
  <si>
    <t>periphery, neuronal or otherwise</t>
  </si>
  <si>
    <t>the α2δ ligand pregabalin and the dual serotonin and norepinephrine reuptake inhibitors duloxetine and milnacipran</t>
  </si>
  <si>
    <t>only three drugs have ever been approved for the treatment of this disease, pfe abbv, and lly</t>
  </si>
  <si>
    <t>and esreboxetine follows the same, it is also an inhibitor NRI</t>
  </si>
  <si>
    <t>both abbv and lly drugs are reuptake inhibitors of 5-HT</t>
  </si>
  <si>
    <r>
      <t>Cyclobenzaprine</t>
    </r>
    <r>
      <rPr>
        <i/>
        <sz val="11"/>
        <color theme="1"/>
        <rFont val="Calibri"/>
        <family val="2"/>
        <scheme val="minor"/>
      </rPr>
      <t xml:space="preserve"> was FDA-approved in the 1970s as a muscle relaxant. It’s structurally similar to amitriptyline (TCA), but not approved for FM — historically used off-label in low doses for sleep.</t>
    </r>
  </si>
  <si>
    <r>
      <t>accepted NDA + two positive Phase-3s + PDUFA → reasonable likelihood of approval, though not guaranteed</t>
    </r>
    <r>
      <rPr>
        <b/>
        <sz val="11"/>
        <color theme="1"/>
        <rFont val="Calibri"/>
        <family val="2"/>
        <scheme val="minor"/>
      </rPr>
      <t>.</t>
    </r>
  </si>
  <si>
    <t>Conditional probabli</t>
  </si>
  <si>
    <t>it is not a new drugs, just administred differently</t>
  </si>
  <si>
    <t>Duloxetine</t>
  </si>
  <si>
    <t xml:space="preserve">Pregabalin </t>
  </si>
  <si>
    <t>Milnacipran</t>
  </si>
  <si>
    <t>Launch</t>
  </si>
  <si>
    <t>PFE</t>
  </si>
  <si>
    <t>Phase III [S,S]-reboxetine n=1129 NCT00612170</t>
  </si>
  <si>
    <t>FIQ</t>
  </si>
  <si>
    <t>PGI-C</t>
  </si>
  <si>
    <t>4mg</t>
  </si>
  <si>
    <t>p&lt;0.001</t>
  </si>
  <si>
    <t>8mg</t>
  </si>
  <si>
    <t>10mg</t>
  </si>
  <si>
    <t>p=0.025</t>
  </si>
  <si>
    <t>p=0.023</t>
  </si>
  <si>
    <t>AXS-14 4mg</t>
  </si>
  <si>
    <t>AXS-14 8mg</t>
  </si>
  <si>
    <t>AXS-14 10mg</t>
  </si>
  <si>
    <t>Pain</t>
  </si>
  <si>
    <t>Change from baseline @ Week 14</t>
  </si>
  <si>
    <t>Administred drug</t>
  </si>
  <si>
    <t>-0.6 (0.000)</t>
  </si>
  <si>
    <t>-0.73 (0.000)</t>
  </si>
  <si>
    <t>-0.76 (0.000)</t>
  </si>
  <si>
    <t>-0.42 (0.025)</t>
  </si>
  <si>
    <t>-7.6 (0.000)</t>
  </si>
  <si>
    <t>-7.11 (0.000)</t>
  </si>
  <si>
    <t>-6.67 (0.000)</t>
  </si>
  <si>
    <t>-3.87 (0.023)</t>
  </si>
  <si>
    <t>TNX-SL 102 5.6mg</t>
  </si>
  <si>
    <t>Tonmya manufacturing will be outsorced??</t>
  </si>
  <si>
    <t>Tests for high serotonin have not been added in the trials?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</si>
</sst>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0" fontId="2" fillId="0" borderId="0" xfId="1"/>
    <xf numFmtId="3" fontId="0" fillId="0" borderId="0" xfId="0" applyNumberFormat="1"/>
    <xf numFmtId="0" fontId="0" fillId="0" borderId="1" xfId="0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  <xf numFmtId="9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1" xfId="0" applyBorder="1" applyAlignment="1">
      <alignment horizontal="center"/>
    </xf>
    <xf numFmtId="2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1</xdr:row>
      <xdr:rowOff>171450</xdr:rowOff>
    </xdr:from>
    <xdr:to>
      <xdr:col>5</xdr:col>
      <xdr:colOff>654050</xdr:colOff>
      <xdr:row>28</xdr:row>
      <xdr:rowOff>120650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DD8A20C-2B6B-3946-7CD7-415DEC3A52B7}"/>
            </a:ext>
          </a:extLst>
        </xdr:cNvPr>
        <xdr:cNvCxnSpPr/>
      </xdr:nvCxnSpPr>
      <xdr:spPr>
        <a:xfrm>
          <a:off x="5791200" y="355600"/>
          <a:ext cx="0" cy="4737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31750</xdr:colOff>
      <xdr:row>1</xdr:row>
      <xdr:rowOff>82550</xdr:rowOff>
    </xdr:from>
    <xdr:to>
      <xdr:col>18</xdr:col>
      <xdr:colOff>31750</xdr:colOff>
      <xdr:row>33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4B86D27-DBB0-DC13-55EF-EE4B599546C0}"/>
            </a:ext>
          </a:extLst>
        </xdr:cNvPr>
        <xdr:cNvCxnSpPr/>
      </xdr:nvCxnSpPr>
      <xdr:spPr>
        <a:xfrm>
          <a:off x="13150850" y="266700"/>
          <a:ext cx="0" cy="5829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471980</xdr:colOff>
      <xdr:row>16</xdr:row>
      <xdr:rowOff>92923</xdr:rowOff>
    </xdr:from>
    <xdr:to>
      <xdr:col>6</xdr:col>
      <xdr:colOff>572954</xdr:colOff>
      <xdr:row>32</xdr:row>
      <xdr:rowOff>85835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F290DD-161E-1305-2C77-EF02BDB9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980" y="3035820"/>
          <a:ext cx="5286077" cy="2935808"/>
        </a:xfrm>
        <a:prstGeom prst="rect">
          <a:avLst/>
        </a:prstGeom>
      </xdr:spPr>
    </xdr:pic>
    <xdr:clientData/>
  </xdr:twoCellAnchor>
  <xdr:twoCellAnchor editAs="oneCell">
    <xdr:from>
      <xdr:col>6</xdr:col>
      <xdr:colOff>538905</xdr:colOff>
      <xdr:row>16</xdr:row>
      <xdr:rowOff>58026</xdr:rowOff>
    </xdr:from>
    <xdr:to>
      <xdr:col>13</xdr:col>
      <xdr:colOff>242887</xdr:colOff>
      <xdr:row>29</xdr:row>
      <xdr:rowOff>140745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80FA5-F1AE-DABB-EB35-5A621C280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4008" y="3000923"/>
          <a:ext cx="3965051" cy="2473822"/>
        </a:xfrm>
        <a:prstGeom prst="rect">
          <a:avLst/>
        </a:prstGeom>
      </xdr:spPr>
    </xdr:pic>
    <xdr:clientData/>
  </xdr:twoCellAnchor>
  <xdr:twoCellAnchor editAs="oneCell">
    <xdr:from>
      <xdr:col>10</xdr:col>
      <xdr:colOff>607383</xdr:colOff>
      <xdr:row>0</xdr:row>
      <xdr:rowOff>174986</xdr:rowOff>
    </xdr:from>
    <xdr:to>
      <xdr:col>16</xdr:col>
      <xdr:colOff>567151</xdr:colOff>
      <xdr:row>14</xdr:row>
      <xdr:rowOff>122873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3B1760-1671-AC23-03A0-E2B8E412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2037" y="174986"/>
          <a:ext cx="3623229" cy="2546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34</xdr:row>
      <xdr:rowOff>0</xdr:rowOff>
    </xdr:from>
    <xdr:to>
      <xdr:col>17</xdr:col>
      <xdr:colOff>19150</xdr:colOff>
      <xdr:row>82</xdr:row>
      <xdr:rowOff>52757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FF45B-BF24-327B-762F-FDF17464B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706" y="6350000"/>
          <a:ext cx="9207973" cy="90174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17</xdr:col>
      <xdr:colOff>108055</xdr:colOff>
      <xdr:row>123</xdr:row>
      <xdr:rowOff>92651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B8061-40EA-341C-52B5-F41E018F7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1706" y="15501471"/>
          <a:ext cx="9296878" cy="7563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6"/>
  <sheetViews>
    <sheetView tabSelected="1" topLeftCell="H13" zoomScale="145" zoomScaleNormal="145" workbookViewId="0">
      <selection activeCell="L22" sqref="L22"/>
    </sheetView>
  </sheetViews>
  <sheetFormatPr defaultRowHeight="14.5" x14ac:dyDescent="0.35"/>
  <cols>
    <col min="3" max="3" width="9.90625" bestFit="1" customWidth="1"/>
    <col min="4" max="4" width="22.6328125" bestFit="1" customWidth="1"/>
    <col min="5" max="5" width="12.6328125" bestFit="1" customWidth="1"/>
    <col min="6" max="6" width="12.6328125" customWidth="1"/>
    <col min="7" max="7" width="23.453125" bestFit="1" customWidth="1"/>
    <col min="11" max="11" width="17.26953125" bestFit="1" customWidth="1"/>
    <col min="12" max="13" width="23.81640625" customWidth="1"/>
  </cols>
  <sheetData>
    <row r="2" spans="2:14" x14ac:dyDescent="0.35">
      <c r="B2" s="4" t="s">
        <v>6</v>
      </c>
      <c r="C2" s="4" t="s">
        <v>7</v>
      </c>
      <c r="D2" s="4" t="s">
        <v>8</v>
      </c>
      <c r="E2" s="4" t="s">
        <v>111</v>
      </c>
      <c r="F2" s="4" t="s">
        <v>46</v>
      </c>
      <c r="G2" s="4" t="s">
        <v>10</v>
      </c>
    </row>
    <row r="3" spans="2:14" x14ac:dyDescent="0.35">
      <c r="B3" t="s">
        <v>42</v>
      </c>
      <c r="D3" t="s">
        <v>27</v>
      </c>
      <c r="G3">
        <v>2036</v>
      </c>
      <c r="L3" t="s">
        <v>0</v>
      </c>
      <c r="M3">
        <v>39</v>
      </c>
    </row>
    <row r="4" spans="2:14" x14ac:dyDescent="0.35">
      <c r="B4" s="2" t="s">
        <v>28</v>
      </c>
      <c r="C4" t="s">
        <v>29</v>
      </c>
      <c r="D4" t="s">
        <v>71</v>
      </c>
      <c r="E4" t="s">
        <v>43</v>
      </c>
      <c r="G4">
        <v>2034</v>
      </c>
      <c r="L4" t="s">
        <v>1</v>
      </c>
      <c r="M4">
        <v>4400</v>
      </c>
    </row>
    <row r="5" spans="2:14" x14ac:dyDescent="0.35">
      <c r="B5" t="s">
        <v>26</v>
      </c>
      <c r="D5" t="s">
        <v>27</v>
      </c>
      <c r="G5">
        <v>2031</v>
      </c>
      <c r="L5" t="s">
        <v>2</v>
      </c>
      <c r="M5" s="1">
        <f>M3*M4</f>
        <v>171600</v>
      </c>
    </row>
    <row r="6" spans="2:14" x14ac:dyDescent="0.35">
      <c r="L6" t="s">
        <v>5</v>
      </c>
      <c r="M6">
        <v>563</v>
      </c>
      <c r="N6" t="s">
        <v>12</v>
      </c>
    </row>
    <row r="7" spans="2:14" x14ac:dyDescent="0.35">
      <c r="L7" t="s">
        <v>4</v>
      </c>
      <c r="M7" s="1">
        <v>131716</v>
      </c>
      <c r="N7" t="s">
        <v>12</v>
      </c>
    </row>
    <row r="8" spans="2:14" x14ac:dyDescent="0.35">
      <c r="L8" t="s">
        <v>3</v>
      </c>
      <c r="M8" s="1">
        <f>M5+M6-M7</f>
        <v>40447</v>
      </c>
    </row>
    <row r="9" spans="2:14" x14ac:dyDescent="0.35">
      <c r="B9" s="4"/>
      <c r="C9" s="4"/>
      <c r="D9" s="4"/>
      <c r="E9" s="4" t="s">
        <v>11</v>
      </c>
      <c r="F9" s="4" t="s">
        <v>46</v>
      </c>
      <c r="G9" s="4" t="s">
        <v>47</v>
      </c>
    </row>
    <row r="10" spans="2:14" x14ac:dyDescent="0.35">
      <c r="B10" t="s">
        <v>15</v>
      </c>
      <c r="D10" t="s">
        <v>23</v>
      </c>
      <c r="E10" t="s">
        <v>17</v>
      </c>
      <c r="L10" t="s">
        <v>13</v>
      </c>
      <c r="M10" s="1">
        <v>18483</v>
      </c>
      <c r="N10" t="s">
        <v>12</v>
      </c>
    </row>
    <row r="11" spans="2:14" x14ac:dyDescent="0.35">
      <c r="B11" t="s">
        <v>16</v>
      </c>
      <c r="D11" t="s">
        <v>18</v>
      </c>
    </row>
    <row r="12" spans="2:14" x14ac:dyDescent="0.35">
      <c r="B12" t="s">
        <v>24</v>
      </c>
      <c r="D12" t="s">
        <v>25</v>
      </c>
      <c r="M12">
        <f>M7/M10</f>
        <v>7.126332305361684</v>
      </c>
      <c r="N12" t="s">
        <v>14</v>
      </c>
    </row>
    <row r="13" spans="2:14" x14ac:dyDescent="0.35">
      <c r="B13" s="2" t="s">
        <v>81</v>
      </c>
    </row>
    <row r="16" spans="2:14" x14ac:dyDescent="0.35">
      <c r="L16" t="s">
        <v>22</v>
      </c>
    </row>
    <row r="17" spans="11:13" x14ac:dyDescent="0.35">
      <c r="L17" t="s">
        <v>52</v>
      </c>
    </row>
    <row r="20" spans="11:13" x14ac:dyDescent="0.35">
      <c r="L20" t="s">
        <v>210</v>
      </c>
    </row>
    <row r="21" spans="11:13" x14ac:dyDescent="0.35">
      <c r="L21" t="s">
        <v>211</v>
      </c>
    </row>
    <row r="23" spans="11:13" x14ac:dyDescent="0.35">
      <c r="K23" t="s">
        <v>130</v>
      </c>
    </row>
    <row r="24" spans="11:13" x14ac:dyDescent="0.35">
      <c r="L24" s="6" t="s">
        <v>131</v>
      </c>
    </row>
    <row r="26" spans="11:13" x14ac:dyDescent="0.35">
      <c r="L26" s="6" t="s">
        <v>132</v>
      </c>
    </row>
    <row r="28" spans="11:13" x14ac:dyDescent="0.35">
      <c r="L28" s="6" t="s">
        <v>45</v>
      </c>
    </row>
    <row r="29" spans="11:13" x14ac:dyDescent="0.35">
      <c r="M29" t="s">
        <v>110</v>
      </c>
    </row>
    <row r="30" spans="11:13" x14ac:dyDescent="0.35">
      <c r="L30" s="6" t="s">
        <v>53</v>
      </c>
      <c r="M30" t="s">
        <v>126</v>
      </c>
    </row>
    <row r="31" spans="11:13" x14ac:dyDescent="0.35">
      <c r="L31" t="s">
        <v>54</v>
      </c>
      <c r="M31" t="s">
        <v>133</v>
      </c>
    </row>
    <row r="33" spans="12:13" x14ac:dyDescent="0.35">
      <c r="L33" t="s">
        <v>108</v>
      </c>
    </row>
    <row r="34" spans="12:13" x14ac:dyDescent="0.35">
      <c r="L34" s="6" t="s">
        <v>109</v>
      </c>
    </row>
    <row r="35" spans="12:13" x14ac:dyDescent="0.35">
      <c r="M35" t="s">
        <v>123</v>
      </c>
    </row>
    <row r="37" spans="12:13" x14ac:dyDescent="0.35">
      <c r="L37" s="6" t="s">
        <v>124</v>
      </c>
    </row>
    <row r="38" spans="12:13" x14ac:dyDescent="0.35">
      <c r="L38" s="6"/>
    </row>
    <row r="39" spans="12:13" x14ac:dyDescent="0.35">
      <c r="L39" s="6" t="s">
        <v>125</v>
      </c>
    </row>
    <row r="40" spans="12:13" x14ac:dyDescent="0.35">
      <c r="L40" t="s">
        <v>120</v>
      </c>
    </row>
    <row r="41" spans="12:13" x14ac:dyDescent="0.35">
      <c r="L41" t="s">
        <v>121</v>
      </c>
    </row>
    <row r="42" spans="12:13" x14ac:dyDescent="0.35">
      <c r="L42" t="s">
        <v>122</v>
      </c>
    </row>
    <row r="44" spans="12:13" x14ac:dyDescent="0.35">
      <c r="L44" s="6" t="s">
        <v>127</v>
      </c>
    </row>
    <row r="45" spans="12:13" x14ac:dyDescent="0.35">
      <c r="L45" t="s">
        <v>128</v>
      </c>
    </row>
    <row r="47" spans="12:13" x14ac:dyDescent="0.35">
      <c r="L47" s="6" t="s">
        <v>129</v>
      </c>
    </row>
    <row r="49" spans="12:12" x14ac:dyDescent="0.35">
      <c r="L49" s="6" t="s">
        <v>177</v>
      </c>
    </row>
    <row r="50" spans="12:12" x14ac:dyDescent="0.35">
      <c r="L50" s="6"/>
    </row>
    <row r="51" spans="12:12" x14ac:dyDescent="0.35">
      <c r="L51" s="6"/>
    </row>
    <row r="52" spans="12:12" x14ac:dyDescent="0.35">
      <c r="L52" s="6"/>
    </row>
    <row r="53" spans="12:12" x14ac:dyDescent="0.35">
      <c r="L53" t="s">
        <v>179</v>
      </c>
    </row>
    <row r="54" spans="12:12" x14ac:dyDescent="0.35">
      <c r="L54" s="6" t="s">
        <v>178</v>
      </c>
    </row>
    <row r="56" spans="12:12" x14ac:dyDescent="0.35">
      <c r="L56" t="s">
        <v>180</v>
      </c>
    </row>
  </sheetData>
  <hyperlinks>
    <hyperlink ref="B4" location="Tonmya!A1" display="Tonmya" xr:uid="{4F5511B3-89AA-4C5A-A907-D684E92F33E5}"/>
    <hyperlink ref="B13" location="'TNX-1900'!A1" display="TNX-1900" xr:uid="{DF7F4962-DAF9-464E-8510-CED1E0CC7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25E2-2AE2-4BB0-91CD-B61CFA8DE08F}">
  <dimension ref="A1:CN29"/>
  <sheetViews>
    <sheetView workbookViewId="0">
      <pane xSplit="2" ySplit="2" topLeftCell="AC3" activePane="bottomRight" state="frozen"/>
      <selection pane="topRight" activeCell="C1" sqref="C1"/>
      <selection pane="bottomLeft" activeCell="A3" sqref="A3"/>
      <selection pane="bottomRight" activeCell="AI26" sqref="AI26"/>
    </sheetView>
  </sheetViews>
  <sheetFormatPr defaultRowHeight="14.5" x14ac:dyDescent="0.35"/>
  <cols>
    <col min="1" max="1" width="5.08984375" bestFit="1" customWidth="1"/>
    <col min="2" max="2" width="41.54296875" bestFit="1" customWidth="1"/>
    <col min="5" max="6" width="9.453125" bestFit="1" customWidth="1"/>
    <col min="7" max="7" width="8.81640625" bestFit="1" customWidth="1"/>
    <col min="35" max="35" width="13" bestFit="1" customWidth="1"/>
  </cols>
  <sheetData>
    <row r="1" spans="1:92" x14ac:dyDescent="0.35">
      <c r="A1" s="2" t="s">
        <v>19</v>
      </c>
    </row>
    <row r="2" spans="1:92" x14ac:dyDescent="0.35">
      <c r="B2" t="s">
        <v>135</v>
      </c>
      <c r="E2" t="s">
        <v>41</v>
      </c>
      <c r="F2" t="s">
        <v>20</v>
      </c>
      <c r="G2" t="s">
        <v>21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P2">
        <v>2023</v>
      </c>
      <c r="Q2">
        <v>2024</v>
      </c>
      <c r="R2">
        <v>2025</v>
      </c>
      <c r="S2">
        <f>R2+1</f>
        <v>2026</v>
      </c>
      <c r="T2">
        <f t="shared" ref="T2:AG2" si="0">S2+1</f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  <c r="Z2">
        <f t="shared" si="0"/>
        <v>2033</v>
      </c>
      <c r="AA2">
        <f t="shared" si="0"/>
        <v>2034</v>
      </c>
      <c r="AB2">
        <f t="shared" si="0"/>
        <v>2035</v>
      </c>
      <c r="AC2">
        <f t="shared" si="0"/>
        <v>2036</v>
      </c>
      <c r="AD2">
        <f t="shared" si="0"/>
        <v>2037</v>
      </c>
      <c r="AE2">
        <f t="shared" si="0"/>
        <v>2038</v>
      </c>
      <c r="AF2">
        <f t="shared" si="0"/>
        <v>2039</v>
      </c>
      <c r="AG2">
        <f t="shared" si="0"/>
        <v>2040</v>
      </c>
      <c r="AH2">
        <f t="shared" ref="AH2" si="1">AG2+1</f>
        <v>2041</v>
      </c>
      <c r="AI2">
        <f t="shared" ref="AI2" si="2">AH2+1</f>
        <v>2042</v>
      </c>
      <c r="AJ2">
        <f t="shared" ref="AJ2" si="3">AI2+1</f>
        <v>2043</v>
      </c>
      <c r="AK2">
        <f t="shared" ref="AK2" si="4">AJ2+1</f>
        <v>2044</v>
      </c>
      <c r="AL2">
        <f t="shared" ref="AL2" si="5">AK2+1</f>
        <v>2045</v>
      </c>
      <c r="AM2">
        <f t="shared" ref="AM2" si="6">AL2+1</f>
        <v>2046</v>
      </c>
      <c r="AN2">
        <f t="shared" ref="AN2" si="7">AM2+1</f>
        <v>2047</v>
      </c>
      <c r="AO2">
        <f t="shared" ref="AO2" si="8">AN2+1</f>
        <v>2048</v>
      </c>
      <c r="AP2">
        <f t="shared" ref="AP2" si="9">AO2+1</f>
        <v>2049</v>
      </c>
      <c r="AQ2">
        <f t="shared" ref="AQ2" si="10">AP2+1</f>
        <v>2050</v>
      </c>
      <c r="AR2">
        <f t="shared" ref="AR2" si="11">AQ2+1</f>
        <v>2051</v>
      </c>
      <c r="AS2">
        <f t="shared" ref="AS2" si="12">AR2+1</f>
        <v>2052</v>
      </c>
      <c r="AT2">
        <f t="shared" ref="AT2" si="13">AS2+1</f>
        <v>2053</v>
      </c>
      <c r="AU2">
        <f t="shared" ref="AU2" si="14">AT2+1</f>
        <v>2054</v>
      </c>
      <c r="AV2">
        <f t="shared" ref="AV2" si="15">AU2+1</f>
        <v>2055</v>
      </c>
      <c r="AW2">
        <f t="shared" ref="AW2" si="16">AV2+1</f>
        <v>2056</v>
      </c>
      <c r="AX2">
        <f t="shared" ref="AX2" si="17">AW2+1</f>
        <v>2057</v>
      </c>
      <c r="AY2">
        <f t="shared" ref="AY2" si="18">AX2+1</f>
        <v>2058</v>
      </c>
      <c r="AZ2">
        <f t="shared" ref="AZ2" si="19">AY2+1</f>
        <v>2059</v>
      </c>
      <c r="BA2">
        <f t="shared" ref="BA2" si="20">AZ2+1</f>
        <v>2060</v>
      </c>
      <c r="BB2">
        <f t="shared" ref="BB2" si="21">BA2+1</f>
        <v>2061</v>
      </c>
      <c r="BC2">
        <f t="shared" ref="BC2" si="22">BB2+1</f>
        <v>2062</v>
      </c>
      <c r="BD2">
        <f t="shared" ref="BD2" si="23">BC2+1</f>
        <v>2063</v>
      </c>
      <c r="BE2">
        <f t="shared" ref="BE2" si="24">BD2+1</f>
        <v>2064</v>
      </c>
      <c r="BF2">
        <f t="shared" ref="BF2" si="25">BE2+1</f>
        <v>2065</v>
      </c>
      <c r="BG2">
        <f t="shared" ref="BG2" si="26">BF2+1</f>
        <v>2066</v>
      </c>
      <c r="BH2">
        <f t="shared" ref="BH2" si="27">BG2+1</f>
        <v>2067</v>
      </c>
      <c r="BI2">
        <f t="shared" ref="BI2" si="28">BH2+1</f>
        <v>2068</v>
      </c>
      <c r="BJ2">
        <f t="shared" ref="BJ2" si="29">BI2+1</f>
        <v>2069</v>
      </c>
      <c r="BK2">
        <f t="shared" ref="BK2" si="30">BJ2+1</f>
        <v>2070</v>
      </c>
      <c r="BL2">
        <f t="shared" ref="BL2" si="31">BK2+1</f>
        <v>2071</v>
      </c>
      <c r="BM2">
        <f t="shared" ref="BM2" si="32">BL2+1</f>
        <v>2072</v>
      </c>
      <c r="BN2">
        <f t="shared" ref="BN2" si="33">BM2+1</f>
        <v>2073</v>
      </c>
      <c r="BO2">
        <f t="shared" ref="BO2" si="34">BN2+1</f>
        <v>2074</v>
      </c>
      <c r="BP2">
        <f t="shared" ref="BP2" si="35">BO2+1</f>
        <v>2075</v>
      </c>
      <c r="BQ2">
        <f t="shared" ref="BQ2" si="36">BP2+1</f>
        <v>2076</v>
      </c>
      <c r="BR2">
        <f t="shared" ref="BR2" si="37">BQ2+1</f>
        <v>2077</v>
      </c>
      <c r="BS2">
        <f t="shared" ref="BS2" si="38">BR2+1</f>
        <v>2078</v>
      </c>
      <c r="BT2">
        <f t="shared" ref="BT2" si="39">BS2+1</f>
        <v>2079</v>
      </c>
      <c r="BU2">
        <f t="shared" ref="BU2" si="40">BT2+1</f>
        <v>2080</v>
      </c>
      <c r="BV2">
        <f t="shared" ref="BV2" si="41">BU2+1</f>
        <v>2081</v>
      </c>
      <c r="BW2">
        <f t="shared" ref="BW2" si="42">BV2+1</f>
        <v>2082</v>
      </c>
      <c r="BX2">
        <f t="shared" ref="BX2" si="43">BW2+1</f>
        <v>2083</v>
      </c>
      <c r="BY2">
        <f t="shared" ref="BY2" si="44">BX2+1</f>
        <v>2084</v>
      </c>
      <c r="BZ2">
        <f t="shared" ref="BZ2" si="45">BY2+1</f>
        <v>2085</v>
      </c>
      <c r="CA2">
        <f t="shared" ref="CA2" si="46">BZ2+1</f>
        <v>2086</v>
      </c>
      <c r="CB2">
        <f t="shared" ref="CB2" si="47">CA2+1</f>
        <v>2087</v>
      </c>
      <c r="CC2">
        <f t="shared" ref="CC2" si="48">CB2+1</f>
        <v>2088</v>
      </c>
      <c r="CD2">
        <f t="shared" ref="CD2" si="49">CC2+1</f>
        <v>2089</v>
      </c>
      <c r="CE2">
        <f t="shared" ref="CE2" si="50">CD2+1</f>
        <v>2090</v>
      </c>
      <c r="CF2">
        <f t="shared" ref="CF2" si="51">CE2+1</f>
        <v>2091</v>
      </c>
      <c r="CG2">
        <f t="shared" ref="CG2" si="52">CF2+1</f>
        <v>2092</v>
      </c>
      <c r="CH2">
        <f t="shared" ref="CH2" si="53">CG2+1</f>
        <v>2093</v>
      </c>
      <c r="CI2">
        <f t="shared" ref="CI2" si="54">CH2+1</f>
        <v>2094</v>
      </c>
      <c r="CJ2">
        <f t="shared" ref="CJ2" si="55">CI2+1</f>
        <v>2095</v>
      </c>
      <c r="CK2">
        <f t="shared" ref="CK2" si="56">CJ2+1</f>
        <v>2096</v>
      </c>
      <c r="CL2">
        <f t="shared" ref="CL2" si="57">CK2+1</f>
        <v>2097</v>
      </c>
      <c r="CM2">
        <f t="shared" ref="CM2" si="58">CL2+1</f>
        <v>2098</v>
      </c>
      <c r="CN2">
        <f t="shared" ref="CN2" si="59">CM2+1</f>
        <v>2099</v>
      </c>
    </row>
    <row r="3" spans="1:92" x14ac:dyDescent="0.35">
      <c r="B3" t="s">
        <v>28</v>
      </c>
      <c r="E3">
        <v>0</v>
      </c>
      <c r="F3">
        <v>0</v>
      </c>
      <c r="P3" s="3">
        <v>0</v>
      </c>
      <c r="Q3" s="3">
        <v>0</v>
      </c>
      <c r="R3" s="3">
        <v>0</v>
      </c>
      <c r="S3" s="3">
        <v>70000</v>
      </c>
      <c r="T3" s="3">
        <f>S3*1.3</f>
        <v>91000</v>
      </c>
      <c r="U3" s="3">
        <f>T3*1.3</f>
        <v>118300</v>
      </c>
      <c r="V3" s="3">
        <f t="shared" ref="V3:X3" si="60">U3*1.3</f>
        <v>153790</v>
      </c>
      <c r="W3" s="3">
        <f t="shared" si="60"/>
        <v>199927</v>
      </c>
      <c r="X3" s="3">
        <f t="shared" si="60"/>
        <v>259905.1</v>
      </c>
      <c r="Y3" s="3">
        <f>X3*1.2</f>
        <v>311886.12</v>
      </c>
      <c r="Z3" s="3">
        <f>Y3*1.2</f>
        <v>374263.34399999998</v>
      </c>
      <c r="AA3" s="3">
        <f>Z3*1.1</f>
        <v>411689.67840000003</v>
      </c>
      <c r="AB3" s="3">
        <f>AA3*1.12</f>
        <v>461092.43980800005</v>
      </c>
      <c r="AC3" s="3">
        <f>AB3*1.1</f>
        <v>507201.68378880009</v>
      </c>
      <c r="AD3" s="3">
        <f>AC3*0.99</f>
        <v>502129.6669509121</v>
      </c>
      <c r="AE3" s="3">
        <f>AD3*0.99</f>
        <v>497108.37028140295</v>
      </c>
    </row>
    <row r="4" spans="1:92" x14ac:dyDescent="0.35">
      <c r="B4" t="s">
        <v>42</v>
      </c>
      <c r="E4">
        <v>1847</v>
      </c>
      <c r="F4">
        <v>2026</v>
      </c>
      <c r="P4" s="3">
        <v>6304</v>
      </c>
      <c r="Q4" s="3">
        <v>8546</v>
      </c>
      <c r="R4" s="3">
        <f>Q4*1.1</f>
        <v>9400.6</v>
      </c>
      <c r="S4" s="3">
        <f>R4*1.25</f>
        <v>11750.75</v>
      </c>
      <c r="T4" s="3">
        <f>S4*1.25</f>
        <v>14688.4375</v>
      </c>
      <c r="U4" s="3">
        <f>T4*1.1</f>
        <v>16157.281250000002</v>
      </c>
      <c r="V4" s="3">
        <f>U4*1.1</f>
        <v>17773.009375000005</v>
      </c>
      <c r="W4" s="3">
        <f>V4*1.1</f>
        <v>19550.310312500009</v>
      </c>
      <c r="X4" s="3">
        <f>W4*1.1</f>
        <v>21505.341343750013</v>
      </c>
      <c r="Y4" s="3">
        <f>X4*1.1</f>
        <v>23655.875478125017</v>
      </c>
      <c r="Z4" s="3">
        <f>Y4*0.8</f>
        <v>18924.700382500014</v>
      </c>
      <c r="AA4" s="3">
        <f t="shared" ref="AA4:AE4" si="61">Z4*0.8</f>
        <v>15139.760306000011</v>
      </c>
      <c r="AB4" s="3">
        <f t="shared" si="61"/>
        <v>12111.80824480001</v>
      </c>
      <c r="AC4" s="3">
        <f t="shared" si="61"/>
        <v>9689.4465958400087</v>
      </c>
      <c r="AD4" s="3">
        <f t="shared" si="61"/>
        <v>7751.557276672007</v>
      </c>
      <c r="AE4" s="3">
        <f t="shared" si="61"/>
        <v>6201.2458213376058</v>
      </c>
    </row>
    <row r="5" spans="1:92" x14ac:dyDescent="0.35">
      <c r="B5" t="s">
        <v>26</v>
      </c>
      <c r="E5">
        <v>635</v>
      </c>
      <c r="F5">
        <v>403</v>
      </c>
      <c r="G5">
        <f>F5*1.1</f>
        <v>443.3</v>
      </c>
      <c r="P5" s="3">
        <v>1464</v>
      </c>
      <c r="Q5" s="3">
        <v>1548</v>
      </c>
      <c r="R5" s="3">
        <f>Q5*1.05</f>
        <v>1625.4</v>
      </c>
      <c r="S5" s="3">
        <f>R5*1.1</f>
        <v>1787.9400000000003</v>
      </c>
      <c r="T5" s="3">
        <f>S5*1.2</f>
        <v>2145.5280000000002</v>
      </c>
      <c r="U5" s="3">
        <f>T5*1.05</f>
        <v>2252.8044000000004</v>
      </c>
      <c r="V5" s="3">
        <f>U5*1.05</f>
        <v>2365.4446200000007</v>
      </c>
      <c r="W5" s="3">
        <f>V5*1.05</f>
        <v>2483.7168510000006</v>
      </c>
      <c r="X5" s="3">
        <f>W5*1.05</f>
        <v>2607.9026935500005</v>
      </c>
      <c r="Y5" s="3">
        <f>X5*1.05</f>
        <v>2738.2978282275008</v>
      </c>
      <c r="Z5" s="3">
        <f>Y5*0.98</f>
        <v>2683.5318716629508</v>
      </c>
      <c r="AA5" s="3">
        <f t="shared" ref="AA5:AE5" si="62">Z5*0.98</f>
        <v>2629.8612342296919</v>
      </c>
      <c r="AB5" s="3">
        <f t="shared" si="62"/>
        <v>2577.2640095450979</v>
      </c>
      <c r="AC5" s="3">
        <f t="shared" si="62"/>
        <v>2525.7187293541961</v>
      </c>
      <c r="AD5" s="3">
        <f t="shared" si="62"/>
        <v>2475.2043547671119</v>
      </c>
      <c r="AE5" s="3">
        <f t="shared" si="62"/>
        <v>2425.7002676717698</v>
      </c>
    </row>
    <row r="6" spans="1:92" x14ac:dyDescent="0.35">
      <c r="B6" t="s">
        <v>30</v>
      </c>
      <c r="C6" s="1"/>
      <c r="D6" s="1"/>
      <c r="E6" s="3">
        <f>SUM(E4:E5)</f>
        <v>2482</v>
      </c>
      <c r="F6" s="3">
        <f>SUM(F4:F5)</f>
        <v>2429</v>
      </c>
      <c r="G6" s="3">
        <v>2430</v>
      </c>
      <c r="H6" s="3">
        <v>3300</v>
      </c>
      <c r="I6" s="3">
        <v>3820</v>
      </c>
      <c r="J6" s="3">
        <v>22600</v>
      </c>
      <c r="K6" s="3">
        <v>37800</v>
      </c>
      <c r="L6" s="3">
        <v>47900</v>
      </c>
      <c r="M6" s="3">
        <v>57900</v>
      </c>
      <c r="N6" s="3"/>
      <c r="O6" s="3"/>
      <c r="P6" s="3">
        <f>SUM(P4:P5)</f>
        <v>7768</v>
      </c>
      <c r="Q6" s="3">
        <f t="shared" ref="Q6:R6" si="63">SUM(Q4:Q5)</f>
        <v>10094</v>
      </c>
      <c r="R6" s="3">
        <f t="shared" si="63"/>
        <v>11026</v>
      </c>
      <c r="S6" s="3">
        <f>SUM(S3:S5)</f>
        <v>83538.69</v>
      </c>
      <c r="T6" s="3">
        <f t="shared" ref="T6:AE6" si="64">SUM(T3:T5)</f>
        <v>107833.96550000001</v>
      </c>
      <c r="U6" s="3">
        <f t="shared" si="64"/>
        <v>136710.08564999999</v>
      </c>
      <c r="V6" s="3">
        <f t="shared" si="64"/>
        <v>173928.45399499999</v>
      </c>
      <c r="W6" s="3">
        <f t="shared" si="64"/>
        <v>221961.02716350002</v>
      </c>
      <c r="X6" s="3">
        <f t="shared" si="64"/>
        <v>284018.34403729998</v>
      </c>
      <c r="Y6" s="3">
        <f t="shared" si="64"/>
        <v>338280.29330635251</v>
      </c>
      <c r="Z6" s="3">
        <f t="shared" si="64"/>
        <v>395871.57625416294</v>
      </c>
      <c r="AA6" s="3">
        <f t="shared" si="64"/>
        <v>429459.29994022974</v>
      </c>
      <c r="AB6" s="3">
        <f t="shared" si="64"/>
        <v>475781.51206234517</v>
      </c>
      <c r="AC6" s="3">
        <f t="shared" si="64"/>
        <v>519416.84911399428</v>
      </c>
      <c r="AD6" s="3">
        <f t="shared" si="64"/>
        <v>512356.42858235119</v>
      </c>
      <c r="AE6" s="3">
        <f t="shared" si="64"/>
        <v>505735.31637041236</v>
      </c>
    </row>
    <row r="7" spans="1:92" x14ac:dyDescent="0.35">
      <c r="B7" t="s">
        <v>31</v>
      </c>
      <c r="C7" s="1"/>
      <c r="D7" s="1"/>
      <c r="E7" s="3">
        <v>1660</v>
      </c>
      <c r="F7" s="3">
        <v>943</v>
      </c>
      <c r="G7" s="3"/>
      <c r="H7" s="3"/>
      <c r="I7" s="3"/>
      <c r="J7" s="3"/>
      <c r="K7" s="3"/>
      <c r="L7" s="3"/>
      <c r="M7" s="3"/>
      <c r="N7" s="3"/>
      <c r="O7" s="3"/>
      <c r="P7" s="3">
        <v>4741</v>
      </c>
      <c r="Q7" s="3">
        <v>7765</v>
      </c>
      <c r="R7" s="3">
        <f>R6*0.77</f>
        <v>8490.02</v>
      </c>
      <c r="S7" s="3">
        <f t="shared" ref="S7:T7" si="65">S6*0.77</f>
        <v>64324.791300000004</v>
      </c>
      <c r="T7" s="3">
        <f t="shared" si="65"/>
        <v>83032.153435</v>
      </c>
      <c r="U7" s="3">
        <f>U6*0.5</f>
        <v>68355.042824999997</v>
      </c>
      <c r="V7" s="3">
        <f t="shared" ref="V7:Z7" si="66">V6*0.5</f>
        <v>86964.226997499994</v>
      </c>
      <c r="W7" s="3">
        <f t="shared" si="66"/>
        <v>110980.51358175001</v>
      </c>
      <c r="X7" s="3">
        <f>X6*0.4</f>
        <v>113607.33761491999</v>
      </c>
      <c r="Y7" s="3">
        <f t="shared" si="66"/>
        <v>169140.14665317626</v>
      </c>
      <c r="Z7" s="3">
        <f t="shared" si="66"/>
        <v>197935.78812708147</v>
      </c>
      <c r="AA7" s="3">
        <f t="shared" ref="AA7:AE7" si="67">AA6*0.5</f>
        <v>214729.64997011487</v>
      </c>
      <c r="AB7" s="3">
        <f t="shared" si="67"/>
        <v>237890.75603117258</v>
      </c>
      <c r="AC7" s="3">
        <f t="shared" si="67"/>
        <v>259708.42455699714</v>
      </c>
      <c r="AD7" s="3">
        <f t="shared" si="67"/>
        <v>256178.21429117559</v>
      </c>
      <c r="AE7" s="3">
        <f t="shared" si="67"/>
        <v>252867.65818520618</v>
      </c>
    </row>
    <row r="8" spans="1:92" x14ac:dyDescent="0.35">
      <c r="B8" t="s">
        <v>32</v>
      </c>
      <c r="C8" s="1"/>
      <c r="D8" s="1"/>
      <c r="E8" s="3">
        <v>12863</v>
      </c>
      <c r="F8" s="3">
        <v>7436</v>
      </c>
      <c r="G8" s="3"/>
      <c r="H8" s="3"/>
      <c r="I8" s="3"/>
      <c r="J8" s="3"/>
      <c r="K8" s="3"/>
      <c r="L8" s="3"/>
      <c r="M8" s="3"/>
      <c r="N8" s="3"/>
      <c r="O8" s="3"/>
      <c r="P8" s="3">
        <v>86655</v>
      </c>
      <c r="Q8" s="3">
        <v>39972</v>
      </c>
      <c r="R8" s="3">
        <f>Q8*1.2</f>
        <v>47966.400000000001</v>
      </c>
      <c r="S8" s="3">
        <f>R8*1.05</f>
        <v>50364.72</v>
      </c>
      <c r="T8" s="3">
        <f>S8*1.05</f>
        <v>52882.956000000006</v>
      </c>
      <c r="U8" s="3">
        <f>T8*1.05</f>
        <v>55527.103800000012</v>
      </c>
      <c r="V8" s="3">
        <f t="shared" ref="V8:AE8" si="68">U8*1.05</f>
        <v>58303.458990000014</v>
      </c>
      <c r="W8" s="3">
        <f t="shared" si="68"/>
        <v>61218.631939500017</v>
      </c>
      <c r="X8" s="3">
        <f t="shared" si="68"/>
        <v>64279.56353647502</v>
      </c>
      <c r="Y8" s="3">
        <f t="shared" si="68"/>
        <v>67493.541713298779</v>
      </c>
      <c r="Z8" s="3">
        <f t="shared" si="68"/>
        <v>70868.218798963717</v>
      </c>
      <c r="AA8" s="3">
        <f t="shared" si="68"/>
        <v>74411.629738911899</v>
      </c>
      <c r="AB8" s="3">
        <f t="shared" si="68"/>
        <v>78132.211225857493</v>
      </c>
      <c r="AC8" s="3">
        <f t="shared" si="68"/>
        <v>82038.821787150373</v>
      </c>
      <c r="AD8" s="3">
        <f t="shared" si="68"/>
        <v>86140.762876507899</v>
      </c>
      <c r="AE8" s="3">
        <f t="shared" si="68"/>
        <v>90447.801020333296</v>
      </c>
    </row>
    <row r="9" spans="1:92" x14ac:dyDescent="0.35">
      <c r="B9" t="s">
        <v>33</v>
      </c>
      <c r="C9" s="1"/>
      <c r="D9" s="1"/>
      <c r="E9" s="3">
        <v>9310</v>
      </c>
      <c r="F9" s="3">
        <v>10104</v>
      </c>
      <c r="G9" s="3"/>
      <c r="H9" s="3"/>
      <c r="I9" s="3"/>
      <c r="J9" s="3"/>
      <c r="K9" s="3"/>
      <c r="L9" s="3"/>
      <c r="M9" s="3"/>
      <c r="N9" s="3"/>
      <c r="O9" s="3"/>
      <c r="P9" s="3">
        <v>34752</v>
      </c>
      <c r="Q9" s="3">
        <v>40101</v>
      </c>
      <c r="R9" s="3">
        <f>Q9*1.05</f>
        <v>42106.05</v>
      </c>
      <c r="S9" s="3">
        <f t="shared" ref="S9:U9" si="69">R9*1.05</f>
        <v>44211.352500000008</v>
      </c>
      <c r="T9" s="3">
        <f t="shared" si="69"/>
        <v>46421.920125000011</v>
      </c>
      <c r="U9" s="3">
        <f t="shared" si="69"/>
        <v>48743.016131250013</v>
      </c>
      <c r="V9" s="3">
        <f>U9*1.02</f>
        <v>49717.876453875011</v>
      </c>
      <c r="W9" s="3">
        <f t="shared" ref="W9:AE9" si="70">V9*1.02</f>
        <v>50712.233982952515</v>
      </c>
      <c r="X9" s="3">
        <f t="shared" si="70"/>
        <v>51726.478662611567</v>
      </c>
      <c r="Y9" s="3">
        <f t="shared" si="70"/>
        <v>52761.008235863803</v>
      </c>
      <c r="Z9" s="3">
        <f t="shared" si="70"/>
        <v>53816.22840058108</v>
      </c>
      <c r="AA9" s="3">
        <f t="shared" si="70"/>
        <v>54892.552968592703</v>
      </c>
      <c r="AB9" s="3">
        <f t="shared" si="70"/>
        <v>55990.404027964556</v>
      </c>
      <c r="AC9" s="3">
        <f t="shared" si="70"/>
        <v>57110.212108523847</v>
      </c>
      <c r="AD9" s="3">
        <f t="shared" si="70"/>
        <v>58252.416350694322</v>
      </c>
      <c r="AE9" s="3">
        <f t="shared" si="70"/>
        <v>59417.464677708209</v>
      </c>
    </row>
    <row r="10" spans="1:92" x14ac:dyDescent="0.35">
      <c r="B10" t="s">
        <v>44</v>
      </c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58957</v>
      </c>
      <c r="R10" s="3">
        <v>0</v>
      </c>
      <c r="S10" s="3"/>
      <c r="T10" s="3"/>
      <c r="U10" s="3"/>
    </row>
    <row r="11" spans="1:92" x14ac:dyDescent="0.35">
      <c r="B11" t="s">
        <v>34</v>
      </c>
      <c r="C11" s="1"/>
      <c r="D11" s="1"/>
      <c r="E11" s="3">
        <f>SUM(E7:E10)</f>
        <v>23833</v>
      </c>
      <c r="F11" s="3">
        <f>SUM(F7:F10)</f>
        <v>18483</v>
      </c>
      <c r="G11" s="3">
        <f>SUM(G7:G9)</f>
        <v>0</v>
      </c>
      <c r="H11" s="3"/>
      <c r="I11" s="3"/>
      <c r="J11" s="3"/>
      <c r="K11" s="3"/>
      <c r="L11" s="3"/>
      <c r="M11" s="3"/>
      <c r="N11" s="3"/>
      <c r="O11" s="3"/>
      <c r="P11" s="3">
        <f>SUM(P7:P10)</f>
        <v>126148</v>
      </c>
      <c r="Q11" s="3">
        <f>SUM(Q7:Q10)</f>
        <v>146795</v>
      </c>
      <c r="R11" s="3">
        <f t="shared" ref="R11:AE11" si="71">SUM(R7:R10)</f>
        <v>98562.47</v>
      </c>
      <c r="S11" s="3">
        <f t="shared" si="71"/>
        <v>158900.86380000002</v>
      </c>
      <c r="T11" s="3">
        <f t="shared" si="71"/>
        <v>182337.02956</v>
      </c>
      <c r="U11" s="3">
        <f t="shared" si="71"/>
        <v>172625.16275625001</v>
      </c>
      <c r="V11" s="3">
        <f t="shared" si="71"/>
        <v>194985.56244137502</v>
      </c>
      <c r="W11" s="3">
        <f t="shared" si="71"/>
        <v>222911.37950420254</v>
      </c>
      <c r="X11" s="3">
        <f t="shared" si="71"/>
        <v>229613.37981400656</v>
      </c>
      <c r="Y11" s="3">
        <f t="shared" si="71"/>
        <v>289394.69660233887</v>
      </c>
      <c r="Z11" s="3">
        <f t="shared" si="71"/>
        <v>322620.23532662622</v>
      </c>
      <c r="AA11" s="3">
        <f t="shared" si="71"/>
        <v>344033.83267761953</v>
      </c>
      <c r="AB11" s="3">
        <f t="shared" si="71"/>
        <v>372013.37128499465</v>
      </c>
      <c r="AC11" s="3">
        <f t="shared" si="71"/>
        <v>398857.4584526713</v>
      </c>
      <c r="AD11" s="3">
        <f t="shared" si="71"/>
        <v>400571.39351837779</v>
      </c>
      <c r="AE11" s="3">
        <f t="shared" si="71"/>
        <v>402732.92388324771</v>
      </c>
    </row>
    <row r="12" spans="1:92" x14ac:dyDescent="0.35">
      <c r="B12" t="s">
        <v>35</v>
      </c>
      <c r="C12" s="1"/>
      <c r="D12" s="1"/>
      <c r="E12" s="3">
        <f>E6-E11</f>
        <v>-21351</v>
      </c>
      <c r="F12" s="3">
        <f>F6-F11</f>
        <v>-16054</v>
      </c>
      <c r="G12" s="3">
        <f>G6-G11</f>
        <v>2430</v>
      </c>
      <c r="H12" s="3"/>
      <c r="I12" s="3"/>
      <c r="J12" s="3"/>
      <c r="K12" s="3"/>
      <c r="L12" s="3"/>
      <c r="M12" s="3"/>
      <c r="N12" s="3"/>
      <c r="O12" s="3"/>
      <c r="P12" s="3">
        <f>P6-P11</f>
        <v>-118380</v>
      </c>
      <c r="Q12" s="3">
        <f>Q6-Q11</f>
        <v>-136701</v>
      </c>
      <c r="R12" s="3">
        <f t="shared" ref="R12:AE12" si="72">R6-R11</f>
        <v>-87536.47</v>
      </c>
      <c r="S12" s="3">
        <f t="shared" si="72"/>
        <v>-75362.173800000019</v>
      </c>
      <c r="T12" s="3">
        <f t="shared" si="72"/>
        <v>-74503.06405999999</v>
      </c>
      <c r="U12" s="3">
        <f t="shared" si="72"/>
        <v>-35915.077106250013</v>
      </c>
      <c r="V12" s="3">
        <f t="shared" si="72"/>
        <v>-21057.10844637503</v>
      </c>
      <c r="W12" s="3">
        <f t="shared" si="72"/>
        <v>-950.35234070252045</v>
      </c>
      <c r="X12" s="3">
        <f t="shared" si="72"/>
        <v>54404.964223293413</v>
      </c>
      <c r="Y12" s="3">
        <f t="shared" si="72"/>
        <v>48885.596704013646</v>
      </c>
      <c r="Z12" s="3">
        <f t="shared" si="72"/>
        <v>73251.340927536716</v>
      </c>
      <c r="AA12" s="3">
        <f t="shared" si="72"/>
        <v>85425.467262610211</v>
      </c>
      <c r="AB12" s="3">
        <f t="shared" si="72"/>
        <v>103768.14077735052</v>
      </c>
      <c r="AC12" s="3">
        <f t="shared" si="72"/>
        <v>120559.39066132298</v>
      </c>
      <c r="AD12" s="3">
        <f t="shared" si="72"/>
        <v>111785.0350639734</v>
      </c>
      <c r="AE12" s="3">
        <f t="shared" si="72"/>
        <v>103002.39248716464</v>
      </c>
    </row>
    <row r="13" spans="1:92" x14ac:dyDescent="0.35">
      <c r="B13" t="s">
        <v>36</v>
      </c>
      <c r="C13" s="1"/>
      <c r="D13" s="1"/>
      <c r="E13" s="3">
        <v>0</v>
      </c>
      <c r="F13" s="3">
        <v>923</v>
      </c>
      <c r="G13" s="3"/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2594</v>
      </c>
      <c r="R13" s="3">
        <v>2500</v>
      </c>
      <c r="S13" s="3">
        <v>2500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92" x14ac:dyDescent="0.35">
      <c r="B14" t="s">
        <v>37</v>
      </c>
      <c r="C14" s="1"/>
      <c r="D14" s="1"/>
      <c r="E14" s="3">
        <v>7005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6150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92" x14ac:dyDescent="0.35">
      <c r="B15" t="s">
        <v>38</v>
      </c>
      <c r="C15" s="1"/>
      <c r="D15" s="1"/>
      <c r="E15" s="3">
        <v>0</v>
      </c>
      <c r="F15" s="3">
        <v>-2092</v>
      </c>
      <c r="G15" s="3"/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92" x14ac:dyDescent="0.35">
      <c r="B16" t="s">
        <v>39</v>
      </c>
      <c r="C16" s="1"/>
      <c r="D16" s="1"/>
      <c r="E16" s="3">
        <v>-593</v>
      </c>
      <c r="F16" s="3">
        <v>394</v>
      </c>
      <c r="G16" s="3"/>
      <c r="H16" s="3"/>
      <c r="I16" s="3"/>
      <c r="J16" s="3"/>
      <c r="K16" s="3"/>
      <c r="L16" s="3"/>
      <c r="M16" s="3"/>
      <c r="N16" s="3"/>
      <c r="O16" s="3"/>
      <c r="P16" s="3">
        <v>1722</v>
      </c>
      <c r="Q16" s="3">
        <v>-2079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</row>
    <row r="17" spans="2:92" x14ac:dyDescent="0.35">
      <c r="B17" t="s">
        <v>136</v>
      </c>
      <c r="C17" s="1"/>
      <c r="D17" s="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>
        <f>Y12*0.2</f>
        <v>9777.1193408027302</v>
      </c>
      <c r="Z17">
        <f t="shared" ref="Z17:AE17" si="73">Z12*0.2</f>
        <v>14650.268185507344</v>
      </c>
      <c r="AA17">
        <f t="shared" si="73"/>
        <v>17085.093452522044</v>
      </c>
      <c r="AB17">
        <f t="shared" si="73"/>
        <v>20753.628155470105</v>
      </c>
      <c r="AC17">
        <f t="shared" si="73"/>
        <v>24111.878132264595</v>
      </c>
      <c r="AD17">
        <f t="shared" si="73"/>
        <v>22357.007012794682</v>
      </c>
      <c r="AE17">
        <f t="shared" si="73"/>
        <v>20600.47849743293</v>
      </c>
    </row>
    <row r="18" spans="2:92" x14ac:dyDescent="0.35">
      <c r="B18" t="s">
        <v>40</v>
      </c>
      <c r="C18" s="1"/>
      <c r="D18" s="1"/>
      <c r="E18" s="3">
        <f>E12+SUM(E13:E16)</f>
        <v>-14939</v>
      </c>
      <c r="F18" s="3">
        <f>F12+SUM(F13:F16)</f>
        <v>-16829</v>
      </c>
      <c r="G18" s="3">
        <f>G12+SUM(G13:G16)</f>
        <v>2430</v>
      </c>
      <c r="H18" s="3"/>
      <c r="I18" s="3"/>
      <c r="J18" s="3"/>
      <c r="K18" s="3"/>
      <c r="L18" s="3"/>
      <c r="M18" s="3"/>
      <c r="N18" s="3"/>
      <c r="O18" s="3"/>
      <c r="P18" s="3">
        <f>P12+SUM(P13:P16)</f>
        <v>-116658</v>
      </c>
      <c r="Q18" s="3">
        <f>Q12+SUM(Q13:Q16)</f>
        <v>-130036</v>
      </c>
      <c r="R18" s="3">
        <f>R12+SUM(R13:R16)</f>
        <v>-85036.47</v>
      </c>
      <c r="S18" s="3">
        <f t="shared" ref="S18:X18" si="74">S12+SUM(S13:S16)</f>
        <v>-72862.173800000019</v>
      </c>
      <c r="T18" s="3">
        <f t="shared" si="74"/>
        <v>-74503.06405999999</v>
      </c>
      <c r="U18" s="3">
        <f t="shared" si="74"/>
        <v>-35915.077106250013</v>
      </c>
      <c r="V18" s="3">
        <f t="shared" si="74"/>
        <v>-21057.10844637503</v>
      </c>
      <c r="W18" s="3">
        <f t="shared" si="74"/>
        <v>-950.35234070252045</v>
      </c>
      <c r="X18" s="3">
        <f t="shared" si="74"/>
        <v>54404.964223293413</v>
      </c>
      <c r="Y18" s="3">
        <f>Y12+SUM(Y13:Y16)-Y17</f>
        <v>39108.477363210914</v>
      </c>
      <c r="Z18" s="3">
        <f t="shared" ref="Z18:AE18" si="75">Z12+SUM(Z13:Z16)-Z17</f>
        <v>58601.07274202937</v>
      </c>
      <c r="AA18" s="3">
        <f t="shared" si="75"/>
        <v>68340.373810088175</v>
      </c>
      <c r="AB18" s="3">
        <f t="shared" si="75"/>
        <v>83014.512621880422</v>
      </c>
      <c r="AC18" s="3">
        <f t="shared" si="75"/>
        <v>96447.512529058382</v>
      </c>
      <c r="AD18" s="3">
        <f t="shared" si="75"/>
        <v>89428.028051178713</v>
      </c>
      <c r="AE18" s="3">
        <f t="shared" si="75"/>
        <v>82401.913989731722</v>
      </c>
      <c r="AF18" s="3">
        <f>AE18*0.99</f>
        <v>81577.894849834411</v>
      </c>
      <c r="AG18" s="3">
        <f t="shared" ref="AG18:CN18" si="76">AF18*0.99</f>
        <v>80762.115901336059</v>
      </c>
      <c r="AH18" s="3">
        <f t="shared" si="76"/>
        <v>79954.494742322699</v>
      </c>
      <c r="AI18" s="3">
        <f t="shared" si="76"/>
        <v>79154.949794899469</v>
      </c>
      <c r="AJ18" s="3">
        <f t="shared" si="76"/>
        <v>78363.40029695048</v>
      </c>
      <c r="AK18" s="3">
        <f t="shared" si="76"/>
        <v>77579.766293980982</v>
      </c>
      <c r="AL18" s="3">
        <f t="shared" si="76"/>
        <v>76803.968631041178</v>
      </c>
      <c r="AM18" s="3">
        <f t="shared" si="76"/>
        <v>76035.928944730767</v>
      </c>
      <c r="AN18" s="3">
        <f t="shared" si="76"/>
        <v>75275.569655283456</v>
      </c>
      <c r="AO18" s="3">
        <f t="shared" si="76"/>
        <v>74522.813958730621</v>
      </c>
      <c r="AP18" s="3">
        <f t="shared" si="76"/>
        <v>73777.585819143322</v>
      </c>
      <c r="AQ18" s="3">
        <f t="shared" si="76"/>
        <v>73039.809960951883</v>
      </c>
      <c r="AR18" s="3">
        <f t="shared" si="76"/>
        <v>72309.411861342363</v>
      </c>
      <c r="AS18" s="3">
        <f t="shared" si="76"/>
        <v>71586.317742728934</v>
      </c>
      <c r="AT18" s="3">
        <f t="shared" si="76"/>
        <v>70870.454565301639</v>
      </c>
      <c r="AU18" s="3">
        <f t="shared" si="76"/>
        <v>70161.750019648622</v>
      </c>
      <c r="AV18" s="3">
        <f t="shared" si="76"/>
        <v>69460.132519452134</v>
      </c>
      <c r="AW18" s="3">
        <f t="shared" si="76"/>
        <v>68765.531194257608</v>
      </c>
      <c r="AX18" s="3">
        <f t="shared" si="76"/>
        <v>68077.875882315027</v>
      </c>
      <c r="AY18" s="3">
        <f t="shared" si="76"/>
        <v>67397.097123491883</v>
      </c>
      <c r="AZ18" s="3">
        <f t="shared" si="76"/>
        <v>66723.126152256969</v>
      </c>
      <c r="BA18" s="3">
        <f t="shared" si="76"/>
        <v>66055.894890734402</v>
      </c>
      <c r="BB18" s="3">
        <f t="shared" si="76"/>
        <v>65395.335941827056</v>
      </c>
      <c r="BC18" s="3">
        <f t="shared" si="76"/>
        <v>64741.382582408783</v>
      </c>
      <c r="BD18" s="3">
        <f t="shared" si="76"/>
        <v>64093.968756584698</v>
      </c>
      <c r="BE18" s="3">
        <f t="shared" si="76"/>
        <v>63453.029069018849</v>
      </c>
      <c r="BF18" s="3">
        <f t="shared" si="76"/>
        <v>62818.498778328656</v>
      </c>
      <c r="BG18" s="3">
        <f t="shared" si="76"/>
        <v>62190.31379054537</v>
      </c>
      <c r="BH18" s="3">
        <f t="shared" si="76"/>
        <v>61568.410652639912</v>
      </c>
      <c r="BI18" s="3">
        <f t="shared" si="76"/>
        <v>60952.72654611351</v>
      </c>
      <c r="BJ18" s="3">
        <f t="shared" si="76"/>
        <v>60343.199280652378</v>
      </c>
      <c r="BK18" s="3">
        <f t="shared" si="76"/>
        <v>59739.767287845854</v>
      </c>
      <c r="BL18" s="3">
        <f t="shared" si="76"/>
        <v>59142.369614967392</v>
      </c>
      <c r="BM18" s="3">
        <f t="shared" si="76"/>
        <v>58550.945918817721</v>
      </c>
      <c r="BN18" s="3">
        <f t="shared" si="76"/>
        <v>57965.436459629542</v>
      </c>
      <c r="BO18" s="3">
        <f t="shared" si="76"/>
        <v>57385.782095033246</v>
      </c>
      <c r="BP18" s="3">
        <f t="shared" si="76"/>
        <v>56811.924274082914</v>
      </c>
      <c r="BQ18" s="3">
        <f t="shared" si="76"/>
        <v>56243.805031342083</v>
      </c>
      <c r="BR18" s="3">
        <f t="shared" si="76"/>
        <v>55681.366981028659</v>
      </c>
      <c r="BS18" s="3">
        <f t="shared" si="76"/>
        <v>55124.553311218369</v>
      </c>
      <c r="BT18" s="3">
        <f t="shared" si="76"/>
        <v>54573.307778106187</v>
      </c>
      <c r="BU18" s="3">
        <f t="shared" si="76"/>
        <v>54027.574700325124</v>
      </c>
      <c r="BV18" s="3">
        <f t="shared" si="76"/>
        <v>53487.298953321872</v>
      </c>
      <c r="BW18" s="3">
        <f t="shared" si="76"/>
        <v>52952.42596378865</v>
      </c>
      <c r="BX18" s="3">
        <f t="shared" si="76"/>
        <v>52422.901704150761</v>
      </c>
      <c r="BY18" s="3">
        <f t="shared" si="76"/>
        <v>51898.672687109254</v>
      </c>
      <c r="BZ18" s="3">
        <f t="shared" si="76"/>
        <v>51379.685960238159</v>
      </c>
      <c r="CA18" s="3">
        <f t="shared" si="76"/>
        <v>50865.889100635774</v>
      </c>
      <c r="CB18" s="3">
        <f t="shared" si="76"/>
        <v>50357.230209629415</v>
      </c>
      <c r="CC18" s="3">
        <f t="shared" si="76"/>
        <v>49853.657907533117</v>
      </c>
      <c r="CD18" s="3">
        <f t="shared" si="76"/>
        <v>49355.121328457783</v>
      </c>
      <c r="CE18" s="3">
        <f t="shared" si="76"/>
        <v>48861.570115173206</v>
      </c>
      <c r="CF18" s="3">
        <f t="shared" si="76"/>
        <v>48372.954414021471</v>
      </c>
      <c r="CG18" s="3">
        <f t="shared" si="76"/>
        <v>47889.224869881255</v>
      </c>
      <c r="CH18" s="3">
        <f t="shared" si="76"/>
        <v>47410.332621182439</v>
      </c>
      <c r="CI18" s="3">
        <f t="shared" si="76"/>
        <v>46936.229294970617</v>
      </c>
      <c r="CJ18" s="3">
        <f t="shared" si="76"/>
        <v>46466.86700202091</v>
      </c>
      <c r="CK18" s="3">
        <f t="shared" si="76"/>
        <v>46002.198332000698</v>
      </c>
      <c r="CL18" s="3">
        <f t="shared" si="76"/>
        <v>45542.176348680689</v>
      </c>
      <c r="CM18" s="3">
        <f t="shared" si="76"/>
        <v>45086.754585193885</v>
      </c>
      <c r="CN18" s="3">
        <f t="shared" si="76"/>
        <v>44635.887039341942</v>
      </c>
    </row>
    <row r="19" spans="2:92" x14ac:dyDescent="0.35">
      <c r="B19" t="s">
        <v>107</v>
      </c>
      <c r="E19" s="3">
        <v>-0.18</v>
      </c>
      <c r="F19" s="3">
        <v>-2.84</v>
      </c>
      <c r="G19">
        <v>-2.77</v>
      </c>
      <c r="H19">
        <v>-3.08</v>
      </c>
      <c r="I19">
        <v>-3.45</v>
      </c>
      <c r="J19">
        <v>-2.16</v>
      </c>
      <c r="K19">
        <v>-1.05</v>
      </c>
      <c r="L19">
        <v>-0.9</v>
      </c>
      <c r="M19">
        <v>-5.6000000000000001E-2</v>
      </c>
      <c r="R19" s="3">
        <v>-12.13</v>
      </c>
      <c r="S19">
        <v>-6.07</v>
      </c>
    </row>
    <row r="20" spans="2:92" x14ac:dyDescent="0.35">
      <c r="B20" t="s">
        <v>118</v>
      </c>
      <c r="Q20" s="9" t="e">
        <f>Q3/P3-1</f>
        <v>#DIV/0!</v>
      </c>
      <c r="R20" s="9" t="e">
        <f t="shared" ref="R20:AE20" si="77">R3/Q3-1</f>
        <v>#DIV/0!</v>
      </c>
      <c r="S20" s="9" t="e">
        <f t="shared" si="77"/>
        <v>#DIV/0!</v>
      </c>
      <c r="T20" s="9">
        <f t="shared" si="77"/>
        <v>0.30000000000000004</v>
      </c>
      <c r="U20" s="9">
        <f t="shared" si="77"/>
        <v>0.30000000000000004</v>
      </c>
      <c r="V20" s="9">
        <f t="shared" si="77"/>
        <v>0.30000000000000004</v>
      </c>
      <c r="W20" s="9">
        <f t="shared" si="77"/>
        <v>0.30000000000000004</v>
      </c>
      <c r="X20" s="9">
        <f t="shared" si="77"/>
        <v>0.30000000000000004</v>
      </c>
      <c r="Y20" s="9">
        <f t="shared" si="77"/>
        <v>0.19999999999999996</v>
      </c>
      <c r="Z20" s="9">
        <f t="shared" si="77"/>
        <v>0.19999999999999996</v>
      </c>
      <c r="AA20" s="9">
        <f t="shared" si="77"/>
        <v>0.10000000000000009</v>
      </c>
      <c r="AB20" s="9">
        <f t="shared" si="77"/>
        <v>0.12000000000000011</v>
      </c>
      <c r="AC20" s="9">
        <f t="shared" si="77"/>
        <v>0.10000000000000009</v>
      </c>
      <c r="AD20" s="9">
        <f t="shared" si="77"/>
        <v>-1.0000000000000009E-2</v>
      </c>
      <c r="AE20" s="9">
        <f t="shared" si="77"/>
        <v>-1.0000000000000009E-2</v>
      </c>
    </row>
    <row r="21" spans="2:92" x14ac:dyDescent="0.35">
      <c r="F21" s="9">
        <f>F4/E4-1</f>
        <v>9.6913914455874384E-2</v>
      </c>
      <c r="G21" s="9"/>
      <c r="Q21" s="9">
        <f>Q4/P4-1</f>
        <v>0.35564720812182737</v>
      </c>
      <c r="R21" s="9">
        <f>R4/Q4-1</f>
        <v>0.10000000000000009</v>
      </c>
      <c r="S21" s="9">
        <f>S4/R4-1</f>
        <v>0.25</v>
      </c>
      <c r="T21" s="9">
        <f>T4/S4-1</f>
        <v>0.25</v>
      </c>
      <c r="U21" s="9">
        <f t="shared" ref="U21:AE21" si="78">U4/T4-1</f>
        <v>0.10000000000000009</v>
      </c>
      <c r="V21" s="9">
        <f t="shared" si="78"/>
        <v>0.10000000000000009</v>
      </c>
      <c r="W21" s="9">
        <f t="shared" si="78"/>
        <v>0.10000000000000009</v>
      </c>
      <c r="X21" s="9">
        <f t="shared" si="78"/>
        <v>0.10000000000000009</v>
      </c>
      <c r="Y21" s="9">
        <f t="shared" si="78"/>
        <v>0.10000000000000009</v>
      </c>
      <c r="Z21" s="9">
        <f t="shared" si="78"/>
        <v>-0.19999999999999996</v>
      </c>
      <c r="AA21" s="9">
        <f t="shared" si="78"/>
        <v>-0.19999999999999996</v>
      </c>
      <c r="AB21" s="9">
        <f t="shared" si="78"/>
        <v>-0.19999999999999996</v>
      </c>
      <c r="AC21" s="9">
        <f t="shared" si="78"/>
        <v>-0.19999999999999996</v>
      </c>
      <c r="AD21" s="9">
        <f t="shared" si="78"/>
        <v>-0.19999999999999996</v>
      </c>
      <c r="AE21" s="9">
        <f t="shared" si="78"/>
        <v>-0.19999999999999996</v>
      </c>
    </row>
    <row r="22" spans="2:92" x14ac:dyDescent="0.35">
      <c r="F22" s="9">
        <f>F5/E5-1</f>
        <v>-0.36535433070866141</v>
      </c>
      <c r="G22" s="9"/>
      <c r="Q22" s="9">
        <f>Q5/P5-1</f>
        <v>5.7377049180327822E-2</v>
      </c>
      <c r="R22" s="9">
        <f>R5/Q5-1</f>
        <v>5.0000000000000044E-2</v>
      </c>
      <c r="S22" s="9">
        <f>S5/R5-1</f>
        <v>0.10000000000000009</v>
      </c>
      <c r="T22" s="9">
        <f t="shared" ref="T22:AE22" si="79">T5/S5-1</f>
        <v>0.19999999999999996</v>
      </c>
      <c r="U22" s="9">
        <f t="shared" si="79"/>
        <v>5.0000000000000044E-2</v>
      </c>
      <c r="V22" s="9">
        <f t="shared" si="79"/>
        <v>5.0000000000000044E-2</v>
      </c>
      <c r="W22" s="9">
        <f t="shared" si="79"/>
        <v>5.0000000000000044E-2</v>
      </c>
      <c r="X22" s="9">
        <f t="shared" si="79"/>
        <v>5.0000000000000044E-2</v>
      </c>
      <c r="Y22" s="9">
        <f t="shared" si="79"/>
        <v>5.0000000000000044E-2</v>
      </c>
      <c r="Z22" s="9">
        <f t="shared" si="79"/>
        <v>-2.0000000000000018E-2</v>
      </c>
      <c r="AA22" s="9">
        <f t="shared" si="79"/>
        <v>-1.9999999999999907E-2</v>
      </c>
      <c r="AB22" s="9">
        <f t="shared" si="79"/>
        <v>-2.0000000000000129E-2</v>
      </c>
      <c r="AC22" s="9">
        <f t="shared" si="79"/>
        <v>-1.9999999999999907E-2</v>
      </c>
      <c r="AD22" s="9">
        <f t="shared" si="79"/>
        <v>-2.0000000000000129E-2</v>
      </c>
      <c r="AE22" s="9">
        <f t="shared" si="79"/>
        <v>-1.9999999999999907E-2</v>
      </c>
    </row>
    <row r="23" spans="2:92" x14ac:dyDescent="0.35">
      <c r="G23" s="9">
        <f>G6/F6-1</f>
        <v>4.1169205434332667E-4</v>
      </c>
      <c r="H23" s="9">
        <f t="shared" ref="H23:M23" si="80">H6/G6-1</f>
        <v>0.35802469135802473</v>
      </c>
      <c r="I23" s="9">
        <f t="shared" si="80"/>
        <v>0.15757575757575748</v>
      </c>
      <c r="J23" s="9">
        <f t="shared" si="80"/>
        <v>4.9162303664921465</v>
      </c>
      <c r="K23" s="9">
        <f t="shared" si="80"/>
        <v>0.67256637168141586</v>
      </c>
      <c r="L23" s="9">
        <f t="shared" si="80"/>
        <v>0.26719576719576721</v>
      </c>
      <c r="M23" s="9">
        <f t="shared" si="80"/>
        <v>0.20876826722338215</v>
      </c>
      <c r="Q23" s="9">
        <f t="shared" ref="Q23:S23" si="81">Q6/P6-1</f>
        <v>0.29943357363542744</v>
      </c>
      <c r="R23" s="9">
        <f t="shared" si="81"/>
        <v>9.2332078462452838E-2</v>
      </c>
      <c r="S23" s="9">
        <f t="shared" si="81"/>
        <v>6.576518229639035</v>
      </c>
      <c r="T23" s="9">
        <f t="shared" ref="T23:AE23" si="82">T6/S6-1</f>
        <v>0.29082662775774915</v>
      </c>
      <c r="U23" s="9">
        <f t="shared" si="82"/>
        <v>0.26778316104863986</v>
      </c>
      <c r="V23" s="9">
        <f t="shared" si="82"/>
        <v>0.27224303289725871</v>
      </c>
      <c r="W23" s="9">
        <f t="shared" si="82"/>
        <v>0.27616282480082788</v>
      </c>
      <c r="X23" s="9">
        <f t="shared" si="82"/>
        <v>0.27958654574114727</v>
      </c>
      <c r="Y23" s="9">
        <f t="shared" si="82"/>
        <v>0.19105086135537208</v>
      </c>
      <c r="Z23" s="9">
        <f t="shared" si="82"/>
        <v>0.17024723014430743</v>
      </c>
      <c r="AA23" s="9">
        <f t="shared" si="82"/>
        <v>8.4844999491709761E-2</v>
      </c>
      <c r="AB23" s="9">
        <f t="shared" si="82"/>
        <v>0.10786170454001653</v>
      </c>
      <c r="AC23" s="9">
        <f t="shared" si="82"/>
        <v>9.1712973172297652E-2</v>
      </c>
      <c r="AD23" s="9">
        <f t="shared" si="82"/>
        <v>-1.3592975552654041E-2</v>
      </c>
      <c r="AE23" s="9">
        <f t="shared" si="82"/>
        <v>-1.2922863542981E-2</v>
      </c>
    </row>
    <row r="24" spans="2:92" x14ac:dyDescent="0.35">
      <c r="P24" s="9">
        <f>P7/P6</f>
        <v>0.6103244078269825</v>
      </c>
      <c r="Q24" s="9">
        <f>Q7/Q6</f>
        <v>0.7692688725975827</v>
      </c>
      <c r="AH24" t="s">
        <v>138</v>
      </c>
      <c r="AI24" s="9">
        <v>-0.01</v>
      </c>
    </row>
    <row r="25" spans="2:92" x14ac:dyDescent="0.35">
      <c r="B25" t="s">
        <v>134</v>
      </c>
      <c r="E25">
        <f>E8/E6</f>
        <v>5.182514101531023</v>
      </c>
      <c r="F25">
        <f>F8/F6</f>
        <v>3.0613421160971592</v>
      </c>
      <c r="P25">
        <f>P8/P6</f>
        <v>11.15538105046344</v>
      </c>
      <c r="Q25">
        <f>Q8/Q6</f>
        <v>3.9599762234991083</v>
      </c>
      <c r="AH25" t="s">
        <v>137</v>
      </c>
      <c r="AI25" s="9">
        <v>0.1</v>
      </c>
    </row>
    <row r="26" spans="2:92" x14ac:dyDescent="0.35">
      <c r="Q26">
        <f>Q9/Q6</f>
        <v>3.9727560927283534</v>
      </c>
      <c r="AH26" t="s">
        <v>139</v>
      </c>
      <c r="AI26" s="1">
        <f>NPV(AI25,R18:CN18)+Main!M7-Main!M6</f>
        <v>299282.43554158573</v>
      </c>
    </row>
    <row r="27" spans="2:92" x14ac:dyDescent="0.35">
      <c r="AH27" t="s">
        <v>140</v>
      </c>
      <c r="AI27" s="10">
        <f>AI26/Main!M4</f>
        <v>68.018735350360387</v>
      </c>
      <c r="AJ27">
        <v>70</v>
      </c>
    </row>
    <row r="28" spans="2:92" x14ac:dyDescent="0.35">
      <c r="AJ28">
        <v>46.49</v>
      </c>
    </row>
    <row r="29" spans="2:92" x14ac:dyDescent="0.35">
      <c r="AJ29" s="11">
        <f>AJ27/AJ28-1</f>
        <v>0.50570015057001494</v>
      </c>
    </row>
  </sheetData>
  <hyperlinks>
    <hyperlink ref="A1" location="Main!A1" display="Main" xr:uid="{5E841431-0BEB-49E9-935A-3C30CDB86354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ECF7-A1D6-48D1-9816-EE2CF372345B}">
  <dimension ref="A1"/>
  <sheetViews>
    <sheetView workbookViewId="0"/>
  </sheetViews>
  <sheetFormatPr defaultRowHeight="14.5" x14ac:dyDescent="0.35"/>
  <sheetData>
    <row r="1" spans="1:1" x14ac:dyDescent="0.35">
      <c r="A1" s="2" t="s">
        <v>19</v>
      </c>
    </row>
  </sheetData>
  <hyperlinks>
    <hyperlink ref="A1" location="Main!A1" display="Main" xr:uid="{8C30F06F-4E82-4103-A4BE-E8BF55AC6F1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D68A-8EF2-4F6C-86EB-26A0CF12EBA7}">
  <dimension ref="A1:I81"/>
  <sheetViews>
    <sheetView zoomScale="115" zoomScaleNormal="115" workbookViewId="0">
      <selection activeCell="C4" sqref="C4"/>
    </sheetView>
  </sheetViews>
  <sheetFormatPr defaultRowHeight="14.5" x14ac:dyDescent="0.35"/>
  <cols>
    <col min="2" max="2" width="13.90625" bestFit="1" customWidth="1"/>
    <col min="3" max="3" width="25.453125" customWidth="1"/>
  </cols>
  <sheetData>
    <row r="1" spans="1:3" x14ac:dyDescent="0.35">
      <c r="A1" s="2" t="s">
        <v>19</v>
      </c>
    </row>
    <row r="2" spans="1:3" x14ac:dyDescent="0.35">
      <c r="B2" t="s">
        <v>6</v>
      </c>
      <c r="C2" t="s">
        <v>28</v>
      </c>
    </row>
    <row r="3" spans="1:3" x14ac:dyDescent="0.35">
      <c r="B3" t="s">
        <v>7</v>
      </c>
      <c r="C3" t="s">
        <v>74</v>
      </c>
    </row>
    <row r="4" spans="1:3" x14ac:dyDescent="0.35">
      <c r="B4" t="s">
        <v>8</v>
      </c>
      <c r="C4" t="s">
        <v>51</v>
      </c>
    </row>
    <row r="5" spans="1:3" x14ac:dyDescent="0.35">
      <c r="B5" t="s">
        <v>46</v>
      </c>
      <c r="C5" t="s">
        <v>150</v>
      </c>
    </row>
    <row r="6" spans="1:3" x14ac:dyDescent="0.35">
      <c r="B6" t="s">
        <v>10</v>
      </c>
      <c r="C6" s="3" t="s">
        <v>119</v>
      </c>
    </row>
    <row r="7" spans="1:3" x14ac:dyDescent="0.35">
      <c r="B7" s="2" t="s">
        <v>47</v>
      </c>
      <c r="C7" t="s">
        <v>141</v>
      </c>
    </row>
    <row r="8" spans="1:3" x14ac:dyDescent="0.35">
      <c r="B8" t="s">
        <v>48</v>
      </c>
      <c r="C8" t="s">
        <v>153</v>
      </c>
    </row>
    <row r="9" spans="1:3" x14ac:dyDescent="0.35">
      <c r="B9" t="s">
        <v>9</v>
      </c>
      <c r="C9" t="s">
        <v>82</v>
      </c>
    </row>
    <row r="10" spans="1:3" x14ac:dyDescent="0.35">
      <c r="B10" t="s">
        <v>50</v>
      </c>
    </row>
    <row r="11" spans="1:3" x14ac:dyDescent="0.35">
      <c r="B11" t="s">
        <v>49</v>
      </c>
    </row>
    <row r="12" spans="1:3" x14ac:dyDescent="0.35">
      <c r="C12" s="7" t="s">
        <v>158</v>
      </c>
    </row>
    <row r="14" spans="1:3" x14ac:dyDescent="0.35">
      <c r="C14" t="s">
        <v>77</v>
      </c>
    </row>
    <row r="15" spans="1:3" x14ac:dyDescent="0.35">
      <c r="C15" t="s">
        <v>144</v>
      </c>
    </row>
    <row r="34" spans="3:9" x14ac:dyDescent="0.35">
      <c r="D34" t="s">
        <v>146</v>
      </c>
      <c r="G34" t="s">
        <v>148</v>
      </c>
    </row>
    <row r="35" spans="3:9" x14ac:dyDescent="0.35">
      <c r="D35" t="s">
        <v>149</v>
      </c>
      <c r="G35" t="s">
        <v>149</v>
      </c>
    </row>
    <row r="36" spans="3:9" x14ac:dyDescent="0.35">
      <c r="C36" t="s">
        <v>76</v>
      </c>
      <c r="D36">
        <v>-1.2</v>
      </c>
      <c r="G36">
        <v>-8.4</v>
      </c>
    </row>
    <row r="37" spans="3:9" x14ac:dyDescent="0.35">
      <c r="C37" t="s">
        <v>145</v>
      </c>
      <c r="D37">
        <v>-1.8</v>
      </c>
      <c r="E37" s="5">
        <f>D37-D36</f>
        <v>-0.60000000000000009</v>
      </c>
      <c r="F37" t="s">
        <v>78</v>
      </c>
      <c r="G37">
        <v>-16</v>
      </c>
      <c r="H37">
        <f>G37-G36</f>
        <v>-7.6</v>
      </c>
      <c r="I37" t="s">
        <v>147</v>
      </c>
    </row>
    <row r="38" spans="3:9" x14ac:dyDescent="0.35">
      <c r="E38" s="5"/>
    </row>
    <row r="39" spans="3:9" x14ac:dyDescent="0.35">
      <c r="C39" t="s">
        <v>162</v>
      </c>
      <c r="D39">
        <v>231</v>
      </c>
      <c r="E39" s="5">
        <v>226</v>
      </c>
    </row>
    <row r="40" spans="3:9" x14ac:dyDescent="0.35">
      <c r="C40" t="s">
        <v>163</v>
      </c>
      <c r="D40">
        <v>187</v>
      </c>
      <c r="E40">
        <v>179</v>
      </c>
    </row>
    <row r="41" spans="3:9" x14ac:dyDescent="0.35">
      <c r="C41" t="s">
        <v>164</v>
      </c>
      <c r="D41">
        <v>44</v>
      </c>
      <c r="E41">
        <v>47</v>
      </c>
      <c r="F41" s="11">
        <f>SUM(D41:E41)/SUM(D39:E39)</f>
        <v>0.19912472647702406</v>
      </c>
    </row>
    <row r="42" spans="3:9" x14ac:dyDescent="0.35">
      <c r="C42" t="s">
        <v>168</v>
      </c>
      <c r="D42" s="9">
        <f>D41/D39</f>
        <v>0.19047619047619047</v>
      </c>
      <c r="E42" s="9">
        <f>E41/E39</f>
        <v>0.20796460176991149</v>
      </c>
    </row>
    <row r="45" spans="3:9" x14ac:dyDescent="0.35">
      <c r="C45" s="7" t="s">
        <v>157</v>
      </c>
    </row>
    <row r="46" spans="3:9" x14ac:dyDescent="0.35">
      <c r="C46" t="s">
        <v>167</v>
      </c>
      <c r="E46" t="s">
        <v>159</v>
      </c>
      <c r="H46" t="s">
        <v>148</v>
      </c>
    </row>
    <row r="47" spans="3:9" x14ac:dyDescent="0.35">
      <c r="E47" t="s">
        <v>149</v>
      </c>
      <c r="H47" t="s">
        <v>149</v>
      </c>
    </row>
    <row r="48" spans="3:9" x14ac:dyDescent="0.35">
      <c r="C48" t="s">
        <v>76</v>
      </c>
    </row>
    <row r="49" spans="3:9" x14ac:dyDescent="0.35">
      <c r="C49" t="s">
        <v>156</v>
      </c>
      <c r="F49">
        <v>-0.2</v>
      </c>
      <c r="G49" t="s">
        <v>161</v>
      </c>
      <c r="H49">
        <v>-1.9</v>
      </c>
      <c r="I49" t="s">
        <v>160</v>
      </c>
    </row>
    <row r="51" spans="3:9" x14ac:dyDescent="0.35">
      <c r="C51" t="s">
        <v>162</v>
      </c>
      <c r="D51">
        <v>256</v>
      </c>
      <c r="E51">
        <v>258</v>
      </c>
    </row>
    <row r="52" spans="3:9" x14ac:dyDescent="0.35">
      <c r="C52" t="s">
        <v>163</v>
      </c>
      <c r="D52">
        <v>189</v>
      </c>
      <c r="E52">
        <v>210</v>
      </c>
      <c r="F52" s="11"/>
    </row>
    <row r="53" spans="3:9" x14ac:dyDescent="0.35">
      <c r="C53" t="s">
        <v>164</v>
      </c>
      <c r="D53">
        <v>67</v>
      </c>
      <c r="E53">
        <v>48</v>
      </c>
      <c r="F53" s="11">
        <f>SUM(D53:E53)/SUM(D51:E51)</f>
        <v>0.22373540856031129</v>
      </c>
    </row>
    <row r="54" spans="3:9" x14ac:dyDescent="0.35">
      <c r="C54" t="s">
        <v>168</v>
      </c>
      <c r="D54" s="9">
        <f>D53/D51</f>
        <v>0.26171875</v>
      </c>
      <c r="E54" s="9">
        <f>E53/E51</f>
        <v>0.18604651162790697</v>
      </c>
    </row>
    <row r="61" spans="3:9" x14ac:dyDescent="0.35">
      <c r="C61" s="7" t="s">
        <v>165</v>
      </c>
    </row>
    <row r="62" spans="3:9" x14ac:dyDescent="0.35">
      <c r="C62" t="s">
        <v>166</v>
      </c>
    </row>
    <row r="64" spans="3:9" x14ac:dyDescent="0.35">
      <c r="G64" t="s">
        <v>169</v>
      </c>
      <c r="H64" t="s">
        <v>148</v>
      </c>
    </row>
    <row r="65" spans="2:9" x14ac:dyDescent="0.35">
      <c r="C65" t="s">
        <v>162</v>
      </c>
      <c r="D65">
        <v>248</v>
      </c>
      <c r="E65">
        <v>255</v>
      </c>
      <c r="G65">
        <v>-1.9</v>
      </c>
      <c r="H65">
        <v>-4.4000000000000004</v>
      </c>
      <c r="I65" t="s">
        <v>170</v>
      </c>
    </row>
    <row r="66" spans="2:9" x14ac:dyDescent="0.35">
      <c r="C66" t="s">
        <v>163</v>
      </c>
      <c r="D66">
        <v>204</v>
      </c>
      <c r="E66">
        <v>213</v>
      </c>
    </row>
    <row r="67" spans="2:9" x14ac:dyDescent="0.35">
      <c r="C67" t="s">
        <v>164</v>
      </c>
      <c r="D67">
        <v>44</v>
      </c>
      <c r="E67">
        <v>42</v>
      </c>
      <c r="F67" s="11">
        <f>SUM(D67:E67)/SUM(D65:E65)</f>
        <v>0.1709741550695825</v>
      </c>
    </row>
    <row r="68" spans="2:9" x14ac:dyDescent="0.35">
      <c r="C68" t="s">
        <v>168</v>
      </c>
      <c r="D68" s="9">
        <f>D67/D65</f>
        <v>0.17741935483870969</v>
      </c>
      <c r="E68" s="9">
        <f>E67/E65</f>
        <v>0.16470588235294117</v>
      </c>
    </row>
    <row r="72" spans="2:9" x14ac:dyDescent="0.35">
      <c r="C72" s="7" t="s">
        <v>79</v>
      </c>
    </row>
    <row r="73" spans="2:9" x14ac:dyDescent="0.35">
      <c r="C73" t="s">
        <v>80</v>
      </c>
    </row>
    <row r="77" spans="2:9" x14ac:dyDescent="0.35">
      <c r="B77" t="s">
        <v>62</v>
      </c>
    </row>
    <row r="78" spans="2:9" x14ac:dyDescent="0.35">
      <c r="C78" t="s">
        <v>72</v>
      </c>
    </row>
    <row r="79" spans="2:9" x14ac:dyDescent="0.35">
      <c r="C79" t="s">
        <v>73</v>
      </c>
    </row>
    <row r="81" spans="3:3" x14ac:dyDescent="0.35">
      <c r="C81" t="s">
        <v>75</v>
      </c>
    </row>
  </sheetData>
  <hyperlinks>
    <hyperlink ref="A1" location="Main!A1" display="Main" xr:uid="{12AFD02A-0982-475A-A550-F58D9F28D1D8}"/>
    <hyperlink ref="B7" location="Competition!A1" display="Competition" xr:uid="{D45EE1B8-FDE6-4F9A-B4B4-2163E6E3A3EC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66A2-5525-4EAA-B4CE-8BBA492F1D8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424F-01A2-4312-8727-91A5936906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2F3C-0E86-4E49-879E-15524DE51C26}">
  <dimension ref="A1:AB52"/>
  <sheetViews>
    <sheetView zoomScale="160" zoomScaleNormal="160" workbookViewId="0">
      <selection activeCell="I5" sqref="I5:P5"/>
    </sheetView>
  </sheetViews>
  <sheetFormatPr defaultRowHeight="14.5" x14ac:dyDescent="0.35"/>
  <cols>
    <col min="1" max="1" width="5.08984375" bestFit="1" customWidth="1"/>
    <col min="2" max="2" width="7.90625" customWidth="1"/>
    <col min="3" max="3" width="33.08984375" customWidth="1"/>
    <col min="4" max="4" width="17.1796875" bestFit="1" customWidth="1"/>
    <col min="5" max="5" width="22.81640625" customWidth="1"/>
  </cols>
  <sheetData>
    <row r="1" spans="1:28" x14ac:dyDescent="0.35">
      <c r="A1" s="2" t="s">
        <v>19</v>
      </c>
    </row>
    <row r="3" spans="1:28" x14ac:dyDescent="0.35">
      <c r="B3" t="s">
        <v>83</v>
      </c>
      <c r="H3" t="s">
        <v>114</v>
      </c>
    </row>
    <row r="4" spans="1:28" x14ac:dyDescent="0.35">
      <c r="C4" t="s">
        <v>87</v>
      </c>
      <c r="D4" t="s">
        <v>6</v>
      </c>
      <c r="E4" t="s">
        <v>7</v>
      </c>
      <c r="F4" t="s">
        <v>112</v>
      </c>
      <c r="G4" t="s">
        <v>113</v>
      </c>
      <c r="H4">
        <v>2004</v>
      </c>
      <c r="I4">
        <f t="shared" ref="I4:K4" si="0">J4-1</f>
        <v>2005</v>
      </c>
      <c r="J4">
        <f t="shared" si="0"/>
        <v>2006</v>
      </c>
      <c r="K4">
        <f t="shared" si="0"/>
        <v>2007</v>
      </c>
      <c r="L4">
        <f t="shared" ref="L4:N4" si="1">M4-1</f>
        <v>2008</v>
      </c>
      <c r="M4">
        <f t="shared" si="1"/>
        <v>2009</v>
      </c>
      <c r="N4">
        <f t="shared" si="1"/>
        <v>2010</v>
      </c>
      <c r="O4">
        <f>P4-1</f>
        <v>2011</v>
      </c>
      <c r="P4">
        <v>2012</v>
      </c>
      <c r="Q4">
        <v>2013</v>
      </c>
      <c r="R4">
        <v>2014</v>
      </c>
      <c r="S4">
        <v>2015</v>
      </c>
      <c r="T4">
        <v>2016</v>
      </c>
      <c r="U4">
        <v>2017</v>
      </c>
      <c r="V4">
        <v>2018</v>
      </c>
      <c r="W4">
        <v>2019</v>
      </c>
      <c r="X4">
        <v>2020</v>
      </c>
      <c r="Y4">
        <v>2021</v>
      </c>
      <c r="Z4">
        <v>2022</v>
      </c>
      <c r="AA4">
        <v>2023</v>
      </c>
      <c r="AB4">
        <v>2024</v>
      </c>
    </row>
    <row r="5" spans="1:28" x14ac:dyDescent="0.35">
      <c r="C5" t="s">
        <v>116</v>
      </c>
      <c r="D5" t="s">
        <v>84</v>
      </c>
      <c r="E5" t="s">
        <v>90</v>
      </c>
      <c r="F5">
        <v>2005</v>
      </c>
      <c r="G5">
        <v>2019</v>
      </c>
      <c r="H5">
        <v>0</v>
      </c>
      <c r="I5" s="3">
        <v>291</v>
      </c>
      <c r="J5" s="3">
        <v>1156</v>
      </c>
      <c r="K5" s="3">
        <v>1829</v>
      </c>
      <c r="L5" s="3">
        <v>2573</v>
      </c>
      <c r="M5" s="3">
        <v>2840</v>
      </c>
      <c r="N5" s="3">
        <v>3093</v>
      </c>
      <c r="O5" s="3">
        <v>3693</v>
      </c>
      <c r="P5" s="3">
        <v>4158</v>
      </c>
      <c r="Q5" s="3">
        <v>4595</v>
      </c>
      <c r="R5" s="3">
        <v>5168</v>
      </c>
      <c r="S5" s="3">
        <v>3710</v>
      </c>
      <c r="T5" s="3">
        <v>3831</v>
      </c>
      <c r="U5" s="3">
        <v>3901</v>
      </c>
      <c r="V5" s="3">
        <v>4970</v>
      </c>
      <c r="W5" s="3">
        <v>3321</v>
      </c>
      <c r="Y5" s="3">
        <v>728.5</v>
      </c>
      <c r="Z5" s="3">
        <v>623.79999999999995</v>
      </c>
      <c r="AA5" s="3">
        <v>556.5</v>
      </c>
      <c r="AB5" s="3">
        <v>495.4</v>
      </c>
    </row>
    <row r="6" spans="1:28" x14ac:dyDescent="0.35">
      <c r="C6" t="s">
        <v>88</v>
      </c>
      <c r="D6" t="s">
        <v>85</v>
      </c>
      <c r="E6" t="s">
        <v>91</v>
      </c>
      <c r="F6">
        <v>2004</v>
      </c>
      <c r="G6">
        <v>2014</v>
      </c>
      <c r="P6">
        <v>4994</v>
      </c>
      <c r="Q6">
        <v>5084</v>
      </c>
      <c r="R6">
        <v>1615</v>
      </c>
      <c r="S6">
        <v>1028</v>
      </c>
      <c r="T6">
        <v>931</v>
      </c>
      <c r="U6">
        <v>757</v>
      </c>
      <c r="V6">
        <f>54+654</f>
        <v>708</v>
      </c>
      <c r="W6">
        <f>50+676</f>
        <v>726</v>
      </c>
      <c r="X6">
        <f>42+726</f>
        <v>768</v>
      </c>
      <c r="Y6">
        <f>38.7+542.8</f>
        <v>581.5</v>
      </c>
    </row>
    <row r="7" spans="1:28" x14ac:dyDescent="0.35">
      <c r="C7" t="s">
        <v>89</v>
      </c>
      <c r="D7" t="s">
        <v>86</v>
      </c>
      <c r="E7" t="s">
        <v>92</v>
      </c>
      <c r="F7">
        <v>2009</v>
      </c>
      <c r="G7" s="8" t="s">
        <v>115</v>
      </c>
    </row>
    <row r="8" spans="1:28" x14ac:dyDescent="0.35">
      <c r="C8" t="s">
        <v>95</v>
      </c>
      <c r="D8" t="s">
        <v>93</v>
      </c>
      <c r="E8" t="s">
        <v>94</v>
      </c>
    </row>
    <row r="9" spans="1:28" x14ac:dyDescent="0.35">
      <c r="C9" t="s">
        <v>96</v>
      </c>
      <c r="D9" t="s">
        <v>97</v>
      </c>
      <c r="E9" t="s">
        <v>98</v>
      </c>
    </row>
    <row r="10" spans="1:28" x14ac:dyDescent="0.35">
      <c r="C10" t="s">
        <v>99</v>
      </c>
      <c r="D10" t="s">
        <v>100</v>
      </c>
    </row>
    <row r="12" spans="1:28" x14ac:dyDescent="0.35">
      <c r="C12" s="5" t="s">
        <v>117</v>
      </c>
    </row>
    <row r="13" spans="1:28" x14ac:dyDescent="0.35">
      <c r="J13" s="9">
        <f>J5/I5-1</f>
        <v>2.9725085910652922</v>
      </c>
      <c r="K13" s="9">
        <f t="shared" ref="K13:AB14" si="2">K5/J5-1</f>
        <v>0.58217993079584773</v>
      </c>
      <c r="L13" s="9">
        <f t="shared" si="2"/>
        <v>0.40677966101694918</v>
      </c>
      <c r="M13" s="9">
        <f t="shared" si="2"/>
        <v>0.10376991838321037</v>
      </c>
      <c r="N13" s="9">
        <f t="shared" si="2"/>
        <v>8.9084507042253458E-2</v>
      </c>
      <c r="O13" s="9">
        <f t="shared" si="2"/>
        <v>0.19398642095053353</v>
      </c>
      <c r="P13" s="9">
        <f t="shared" si="2"/>
        <v>0.12591389114541029</v>
      </c>
      <c r="Q13" s="9">
        <f t="shared" si="2"/>
        <v>0.10509860509860514</v>
      </c>
      <c r="R13" s="9">
        <f t="shared" si="2"/>
        <v>0.12470076169749733</v>
      </c>
      <c r="S13" s="9">
        <f t="shared" si="2"/>
        <v>-0.28212074303405577</v>
      </c>
      <c r="T13" s="9">
        <f t="shared" si="2"/>
        <v>3.2614555256064603E-2</v>
      </c>
      <c r="U13" s="9">
        <f t="shared" si="2"/>
        <v>1.8271991647089481E-2</v>
      </c>
      <c r="V13" s="9">
        <f t="shared" si="2"/>
        <v>0.27403229941040763</v>
      </c>
      <c r="W13" s="9">
        <f t="shared" si="2"/>
        <v>-0.33179074446680079</v>
      </c>
      <c r="X13" s="9">
        <f t="shared" si="2"/>
        <v>-1</v>
      </c>
      <c r="Y13" s="9" t="e">
        <f t="shared" si="2"/>
        <v>#DIV/0!</v>
      </c>
      <c r="Z13" s="9">
        <f t="shared" si="2"/>
        <v>-0.14371997254632818</v>
      </c>
      <c r="AA13" s="9">
        <f t="shared" si="2"/>
        <v>-0.10788714331516502</v>
      </c>
      <c r="AB13" s="9">
        <f t="shared" si="2"/>
        <v>-0.10979335130278534</v>
      </c>
    </row>
    <row r="14" spans="1:28" x14ac:dyDescent="0.35">
      <c r="J14" s="9"/>
      <c r="Q14" s="9">
        <f t="shared" si="2"/>
        <v>1.8021625951141429E-2</v>
      </c>
      <c r="R14" s="9">
        <f t="shared" si="2"/>
        <v>-0.68233674272226597</v>
      </c>
      <c r="S14" s="9">
        <f t="shared" si="2"/>
        <v>-0.36346749226006192</v>
      </c>
      <c r="T14" s="9">
        <f t="shared" si="2"/>
        <v>-9.4357976653696496E-2</v>
      </c>
      <c r="U14" s="9">
        <f t="shared" si="2"/>
        <v>-0.18689581095596131</v>
      </c>
      <c r="V14" s="9">
        <f t="shared" si="2"/>
        <v>-6.4729194187582606E-2</v>
      </c>
      <c r="W14" s="9">
        <f t="shared" si="2"/>
        <v>2.5423728813559254E-2</v>
      </c>
      <c r="X14" s="9">
        <f t="shared" si="2"/>
        <v>5.7851239669421517E-2</v>
      </c>
      <c r="Y14" s="9">
        <f t="shared" si="2"/>
        <v>-0.24283854166666663</v>
      </c>
    </row>
    <row r="15" spans="1:28" x14ac:dyDescent="0.35">
      <c r="C15" t="s">
        <v>176</v>
      </c>
    </row>
    <row r="16" spans="1:28" x14ac:dyDescent="0.35">
      <c r="C16" t="s">
        <v>175</v>
      </c>
    </row>
    <row r="18" spans="3:8" x14ac:dyDescent="0.35">
      <c r="C18" s="4" t="s">
        <v>87</v>
      </c>
      <c r="D18" s="4" t="s">
        <v>6</v>
      </c>
      <c r="E18" s="4" t="s">
        <v>7</v>
      </c>
      <c r="F18" s="4" t="s">
        <v>184</v>
      </c>
    </row>
    <row r="19" spans="3:8" x14ac:dyDescent="0.35">
      <c r="C19" t="s">
        <v>185</v>
      </c>
      <c r="D19" t="s">
        <v>84</v>
      </c>
      <c r="E19" t="s">
        <v>181</v>
      </c>
      <c r="F19">
        <v>2004</v>
      </c>
    </row>
    <row r="20" spans="3:8" x14ac:dyDescent="0.35">
      <c r="C20" t="s">
        <v>88</v>
      </c>
      <c r="D20" t="s">
        <v>85</v>
      </c>
      <c r="E20" t="s">
        <v>182</v>
      </c>
      <c r="F20">
        <v>2005</v>
      </c>
    </row>
    <row r="21" spans="3:8" x14ac:dyDescent="0.35">
      <c r="C21" t="s">
        <v>89</v>
      </c>
      <c r="D21" t="s">
        <v>86</v>
      </c>
      <c r="E21" t="s">
        <v>183</v>
      </c>
      <c r="F21">
        <v>2009</v>
      </c>
    </row>
    <row r="24" spans="3:8" x14ac:dyDescent="0.35">
      <c r="C24" s="4" t="s">
        <v>200</v>
      </c>
      <c r="D24" s="18" t="s">
        <v>199</v>
      </c>
      <c r="E24" s="18"/>
    </row>
    <row r="25" spans="3:8" x14ac:dyDescent="0.35">
      <c r="D25" s="12" t="s">
        <v>198</v>
      </c>
      <c r="E25" s="12" t="s">
        <v>148</v>
      </c>
    </row>
    <row r="26" spans="3:8" x14ac:dyDescent="0.35">
      <c r="C26" s="16" t="s">
        <v>209</v>
      </c>
      <c r="D26" s="13" t="s">
        <v>201</v>
      </c>
      <c r="E26" s="14" t="s">
        <v>205</v>
      </c>
    </row>
    <row r="27" spans="3:8" x14ac:dyDescent="0.35">
      <c r="C27" s="16" t="s">
        <v>195</v>
      </c>
      <c r="D27" s="14" t="s">
        <v>202</v>
      </c>
      <c r="E27" s="14" t="s">
        <v>206</v>
      </c>
    </row>
    <row r="28" spans="3:8" x14ac:dyDescent="0.35">
      <c r="C28" s="16" t="s">
        <v>196</v>
      </c>
      <c r="D28" s="14" t="s">
        <v>203</v>
      </c>
      <c r="E28" s="14" t="s">
        <v>207</v>
      </c>
    </row>
    <row r="29" spans="3:8" x14ac:dyDescent="0.35">
      <c r="C29" s="17" t="s">
        <v>197</v>
      </c>
      <c r="D29" s="15" t="s">
        <v>204</v>
      </c>
      <c r="E29" s="15" t="s">
        <v>208</v>
      </c>
    </row>
    <row r="32" spans="3:8" x14ac:dyDescent="0.35">
      <c r="E32" t="s">
        <v>146</v>
      </c>
      <c r="H32" t="s">
        <v>148</v>
      </c>
    </row>
    <row r="33" spans="4:12" x14ac:dyDescent="0.35">
      <c r="E33" t="s">
        <v>149</v>
      </c>
      <c r="H33" t="s">
        <v>149</v>
      </c>
    </row>
    <row r="34" spans="4:12" x14ac:dyDescent="0.35">
      <c r="D34" t="s">
        <v>76</v>
      </c>
      <c r="E34">
        <v>-1.2</v>
      </c>
      <c r="H34">
        <v>-8.4</v>
      </c>
    </row>
    <row r="35" spans="4:12" x14ac:dyDescent="0.35">
      <c r="D35" t="s">
        <v>145</v>
      </c>
      <c r="E35">
        <v>-1.8</v>
      </c>
      <c r="F35" s="5">
        <v>-0.60000000000000009</v>
      </c>
      <c r="G35" t="s">
        <v>78</v>
      </c>
      <c r="H35">
        <v>-16</v>
      </c>
      <c r="I35">
        <v>-7.6</v>
      </c>
      <c r="J35" t="s">
        <v>147</v>
      </c>
    </row>
    <row r="36" spans="4:12" x14ac:dyDescent="0.35">
      <c r="F36" s="5"/>
    </row>
    <row r="37" spans="4:12" x14ac:dyDescent="0.35">
      <c r="D37" t="s">
        <v>162</v>
      </c>
      <c r="E37">
        <v>231</v>
      </c>
      <c r="F37" s="5">
        <v>226</v>
      </c>
    </row>
    <row r="38" spans="4:12" x14ac:dyDescent="0.35">
      <c r="D38" t="s">
        <v>163</v>
      </c>
      <c r="E38">
        <v>187</v>
      </c>
      <c r="F38">
        <v>179</v>
      </c>
    </row>
    <row r="39" spans="4:12" x14ac:dyDescent="0.35">
      <c r="D39" t="s">
        <v>164</v>
      </c>
      <c r="E39">
        <v>44</v>
      </c>
      <c r="F39">
        <v>47</v>
      </c>
      <c r="G39" s="11">
        <v>0.19912472647702406</v>
      </c>
    </row>
    <row r="40" spans="4:12" x14ac:dyDescent="0.35">
      <c r="D40" t="s">
        <v>168</v>
      </c>
      <c r="E40" s="9">
        <v>0.19047619047619047</v>
      </c>
      <c r="F40" s="9">
        <v>0.20796460176991149</v>
      </c>
    </row>
    <row r="45" spans="4:12" x14ac:dyDescent="0.35">
      <c r="E45" s="7"/>
    </row>
    <row r="46" spans="4:12" x14ac:dyDescent="0.35">
      <c r="E46" t="s">
        <v>186</v>
      </c>
    </row>
    <row r="47" spans="4:12" x14ac:dyDescent="0.35">
      <c r="F47" t="s">
        <v>146</v>
      </c>
      <c r="I47" t="s">
        <v>187</v>
      </c>
      <c r="L47" t="s">
        <v>188</v>
      </c>
    </row>
    <row r="48" spans="4:12" x14ac:dyDescent="0.35">
      <c r="F48" t="s">
        <v>149</v>
      </c>
      <c r="I48" t="s">
        <v>149</v>
      </c>
      <c r="L48" t="s">
        <v>149</v>
      </c>
    </row>
    <row r="49" spans="5:13" x14ac:dyDescent="0.35">
      <c r="E49" t="s">
        <v>76</v>
      </c>
      <c r="F49">
        <v>5.41</v>
      </c>
      <c r="I49">
        <v>48.52</v>
      </c>
    </row>
    <row r="50" spans="5:13" x14ac:dyDescent="0.35">
      <c r="E50" t="s">
        <v>189</v>
      </c>
      <c r="F50">
        <v>4.68</v>
      </c>
      <c r="G50">
        <v>-0.73000000000000043</v>
      </c>
      <c r="H50" t="s">
        <v>190</v>
      </c>
      <c r="I50">
        <v>41.41</v>
      </c>
      <c r="J50">
        <v>-7.1100000000000065</v>
      </c>
      <c r="K50" t="s">
        <v>190</v>
      </c>
      <c r="M50" t="s">
        <v>190</v>
      </c>
    </row>
    <row r="51" spans="5:13" x14ac:dyDescent="0.35">
      <c r="E51" t="s">
        <v>191</v>
      </c>
      <c r="F51">
        <v>4.6500000000000004</v>
      </c>
      <c r="G51">
        <v>-0.75999999999999979</v>
      </c>
      <c r="H51" t="s">
        <v>190</v>
      </c>
      <c r="I51">
        <v>41.85</v>
      </c>
      <c r="J51">
        <v>-6.6700000000000017</v>
      </c>
      <c r="K51" t="s">
        <v>190</v>
      </c>
      <c r="M51" t="s">
        <v>190</v>
      </c>
    </row>
    <row r="52" spans="5:13" x14ac:dyDescent="0.35">
      <c r="E52" t="s">
        <v>192</v>
      </c>
      <c r="F52">
        <v>4.99</v>
      </c>
      <c r="G52">
        <v>-0.41999999999999993</v>
      </c>
      <c r="H52" t="s">
        <v>193</v>
      </c>
      <c r="I52">
        <v>44.65</v>
      </c>
      <c r="J52">
        <v>-3.8700000000000045</v>
      </c>
      <c r="K52" t="s">
        <v>194</v>
      </c>
      <c r="M52" t="s">
        <v>193</v>
      </c>
    </row>
  </sheetData>
  <mergeCells count="1">
    <mergeCell ref="D24:E24"/>
  </mergeCells>
  <hyperlinks>
    <hyperlink ref="A1" location="Main!A1" display="Main" xr:uid="{8F6BEC10-04C7-4726-A633-993B6C81B85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0B71-3F77-4A14-A6C0-BF1034C74437}">
  <dimension ref="A1:C30"/>
  <sheetViews>
    <sheetView topLeftCell="A70" zoomScale="130" zoomScaleNormal="130" workbookViewId="0">
      <selection activeCell="S35" sqref="S35"/>
    </sheetView>
  </sheetViews>
  <sheetFormatPr defaultRowHeight="14.5" x14ac:dyDescent="0.35"/>
  <cols>
    <col min="1" max="1" width="5.08984375" bestFit="1" customWidth="1"/>
    <col min="2" max="2" width="15.90625" bestFit="1" customWidth="1"/>
  </cols>
  <sheetData>
    <row r="1" spans="1:3" x14ac:dyDescent="0.35">
      <c r="A1" s="2" t="s">
        <v>19</v>
      </c>
    </row>
    <row r="2" spans="1:3" x14ac:dyDescent="0.35">
      <c r="B2" t="s">
        <v>6</v>
      </c>
      <c r="C2" t="s">
        <v>55</v>
      </c>
    </row>
    <row r="3" spans="1:3" x14ac:dyDescent="0.35">
      <c r="B3" t="s">
        <v>60</v>
      </c>
      <c r="C3" t="s">
        <v>61</v>
      </c>
    </row>
    <row r="4" spans="1:3" x14ac:dyDescent="0.35">
      <c r="B4" t="s">
        <v>56</v>
      </c>
      <c r="C4" t="s">
        <v>59</v>
      </c>
    </row>
    <row r="5" spans="1:3" x14ac:dyDescent="0.35">
      <c r="B5" t="s">
        <v>57</v>
      </c>
      <c r="C5" t="s">
        <v>58</v>
      </c>
    </row>
    <row r="8" spans="1:3" x14ac:dyDescent="0.35">
      <c r="B8" s="7" t="s">
        <v>62</v>
      </c>
    </row>
    <row r="9" spans="1:3" x14ac:dyDescent="0.35">
      <c r="C9" t="s">
        <v>63</v>
      </c>
    </row>
    <row r="10" spans="1:3" x14ac:dyDescent="0.35">
      <c r="C10" t="s">
        <v>64</v>
      </c>
    </row>
    <row r="11" spans="1:3" x14ac:dyDescent="0.35">
      <c r="C11" t="s">
        <v>65</v>
      </c>
    </row>
    <row r="13" spans="1:3" x14ac:dyDescent="0.35">
      <c r="C13" t="s">
        <v>66</v>
      </c>
    </row>
    <row r="14" spans="1:3" x14ac:dyDescent="0.35">
      <c r="C14" t="s">
        <v>67</v>
      </c>
    </row>
    <row r="16" spans="1:3" x14ac:dyDescent="0.35">
      <c r="C16" t="s">
        <v>68</v>
      </c>
    </row>
    <row r="18" spans="3:3" x14ac:dyDescent="0.35">
      <c r="C18" t="s">
        <v>69</v>
      </c>
    </row>
    <row r="20" spans="3:3" x14ac:dyDescent="0.35">
      <c r="C20" t="s">
        <v>70</v>
      </c>
    </row>
    <row r="23" spans="3:3" x14ac:dyDescent="0.35">
      <c r="C23" t="s">
        <v>171</v>
      </c>
    </row>
    <row r="26" spans="3:3" x14ac:dyDescent="0.35">
      <c r="C26" t="s">
        <v>172</v>
      </c>
    </row>
    <row r="28" spans="3:3" x14ac:dyDescent="0.35">
      <c r="C28" t="s">
        <v>173</v>
      </c>
    </row>
    <row r="30" spans="3:3" x14ac:dyDescent="0.35">
      <c r="C30" t="s">
        <v>174</v>
      </c>
    </row>
  </sheetData>
  <hyperlinks>
    <hyperlink ref="A1" location="Main!A1" display="Main" xr:uid="{408F5E4F-8F2A-41D9-BCBC-D890D237A946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0409-179F-4C07-B4C1-3DB39CE5C4AE}">
  <dimension ref="A1:C10"/>
  <sheetViews>
    <sheetView workbookViewId="0"/>
  </sheetViews>
  <sheetFormatPr defaultRowHeight="14.5" x14ac:dyDescent="0.35"/>
  <cols>
    <col min="1" max="1" width="5.08984375" bestFit="1" customWidth="1"/>
    <col min="2" max="2" width="4.1796875" customWidth="1"/>
  </cols>
  <sheetData>
    <row r="1" spans="1:3" x14ac:dyDescent="0.35">
      <c r="A1" s="2" t="s">
        <v>19</v>
      </c>
    </row>
    <row r="3" spans="1:3" x14ac:dyDescent="0.35">
      <c r="B3">
        <v>1</v>
      </c>
      <c r="C3" t="s">
        <v>142</v>
      </c>
    </row>
    <row r="4" spans="1:3" x14ac:dyDescent="0.35">
      <c r="C4" t="s">
        <v>143</v>
      </c>
    </row>
    <row r="6" spans="1:3" x14ac:dyDescent="0.35">
      <c r="B6">
        <v>2</v>
      </c>
      <c r="C6" t="s">
        <v>151</v>
      </c>
    </row>
    <row r="7" spans="1:3" x14ac:dyDescent="0.35">
      <c r="C7" t="s">
        <v>152</v>
      </c>
    </row>
    <row r="9" spans="1:3" x14ac:dyDescent="0.35">
      <c r="B9">
        <v>3</v>
      </c>
      <c r="C9" t="s">
        <v>154</v>
      </c>
    </row>
    <row r="10" spans="1:3" x14ac:dyDescent="0.35">
      <c r="C10" t="s">
        <v>155</v>
      </c>
    </row>
  </sheetData>
  <hyperlinks>
    <hyperlink ref="A1" location="Main!A1" display="Main" xr:uid="{00B79F72-73AB-464A-A982-9730A8FEA6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Model</vt:lpstr>
      <vt:lpstr>TNX-1900</vt:lpstr>
      <vt:lpstr>Tonmya</vt:lpstr>
      <vt:lpstr>RALLY</vt:lpstr>
      <vt:lpstr>RESILIENT</vt:lpstr>
      <vt:lpstr>Competition</vt:lpstr>
      <vt:lpstr>FM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2025-08-12T21:05:54Z</dcterms:modified>
</cp:coreProperties>
</file>