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7.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120" windowWidth="28755" windowHeight="13095" activeTab="0"/>
  </bookViews>
  <sheets>
    <sheet name="Data" sheetId="6" r:id="rId1"/>
    <sheet name="Disclaimer" r:id="rId5" sheetId="7"/>
  </sheets>
  <calcPr calcId="125725"/>
</workbook>
</file>

<file path=xl/sharedStrings.xml><?xml version="1.0" encoding="utf-8"?>
<sst xmlns="http://schemas.openxmlformats.org/spreadsheetml/2006/main" count="36" uniqueCount="35">
  <si>
    <t>Search Criteria:</t>
  </si>
  <si>
    <t>Downloaded on:</t>
  </si>
  <si>
    <t xml:space="preserve"> </t>
  </si>
  <si>
    <t>Created for:</t>
  </si>
  <si>
    <t>My Layout: Social &amp; Web Presence</t>
  </si>
  <si>
    <t xml:space="preserve">Location: United States &gt; West Coast &gt; California; Backing Status: Accelerator/Incubator-backed, Angel-backed; Ownership Status: Privately held (backing); </t>
  </si>
  <si>
    <t>6/9/2017</t>
  </si>
  <si>
    <t>Dave Kochbeck, Silicon Valley Bank (Parent)</t>
  </si>
  <si>
    <t>Company ID</t>
  </si>
  <si>
    <t>Company Name</t>
  </si>
  <si>
    <t>Growth Rate</t>
  </si>
  <si>
    <t>Size Multiple</t>
  </si>
  <si>
    <t>Compete Unique Visitors</t>
  </si>
  <si>
    <t>Majestic Referring Domains</t>
  </si>
  <si>
    <t>Facebook Likes</t>
  </si>
  <si>
    <t>Twitter Followers</t>
  </si>
  <si>
    <t>Employees</t>
  </si>
  <si>
    <t>Total Raised</t>
  </si>
  <si>
    <t>Primary Industry Code</t>
  </si>
  <si>
    <t>Description</t>
  </si>
  <si>
    <t>Active Investors</t>
  </si>
  <si>
    <t>Company Financing Status</t>
  </si>
  <si>
    <t>Ownership Status</t>
  </si>
  <si>
    <t>HQ Location</t>
  </si>
  <si>
    <t>Website</t>
  </si>
  <si>
    <t>PitchBook Link</t>
  </si>
  <si>
    <t>All data copyright PitchBook Data, Inc.</t>
  </si>
  <si>
    <t>For customized data reports and analyses, contact us at:</t>
  </si>
  <si>
    <t xml:space="preserve">clientservices@pitchbook.com </t>
  </si>
  <si>
    <t xml:space="preserve">In accordance with the </t>
  </si>
  <si>
    <t>PitchBook User Agreement</t>
  </si>
  <si>
    <t>, this document and its contents are meant for data purposes only. This file must be deleted by all recipients after 30 days of download unless express written consent has been given by PitchBook Data, Inc.</t>
  </si>
  <si>
    <t>If you have any further questions or concerns, please contact client services at 1-877-267-5593 or by email at</t>
  </si>
  <si>
    <t>clientservices@pitchbook.com.</t>
  </si>
  <si>
    <t>© PitchBook Data, Inc. 2017</t>
  </si>
</sst>
</file>

<file path=xl/styles.xml><?xml version="1.0" encoding="utf-8"?>
<styleSheet xmlns="http://schemas.openxmlformats.org/spreadsheetml/2006/main">
  <numFmts count="5">
    <numFmt numFmtId="165" formatCode="#,##0.00&quot;%&quot;;[red]-#,##0.00&quot;%&quot;"/>
    <numFmt numFmtId="166" formatCode="#,##0.00x;[red]-#,##0.00x"/>
    <numFmt numFmtId="167" formatCode="#,##0;"/>
    <numFmt numFmtId="168" formatCode="#,##0;[red](#,##0)"/>
    <numFmt numFmtId="169" formatCode="#,##0.00;[red](#,##0.00)"/>
  </numFmts>
  <fonts count="128">
    <font>
      <sz val="11"/>
      <color theme="1"/>
      <name val="Calibri"/>
      <family val="2"/>
      <scheme val="minor"/>
    </font>
    <font>
      <sz val="10"/>
      <name val="Arial"/>
      <family val="2"/>
      <charset val="204"/>
    </font>
    <font>
      <sz val="8"/>
      <color theme="1"/>
      <name val="Arial"/>
      <family val="2"/>
      <charset val="204"/>
    </font>
    <font>
      <sz val="8"/>
      <color indexed="8"/>
      <name val="Arial"/>
      <family val="2"/>
    </font>
    <font>
      <b/>
      <sz val="8"/>
      <color indexed="16"/>
      <name val="Arial"/>
      <family val="2"/>
    </font>
    <font>
      <sz val="8"/>
      <color indexed="8"/>
      <name val="Arial"/>
      <family val="2"/>
      <charset val="204"/>
    </font>
    <font>
      <b/>
      <sz val="16"/>
      <color indexed="8"/>
      <name val="Arial"/>
      <family val="2"/>
    </font>
    <font>
      <name val="Arial"/>
      <sz val="8.0"/>
      <color indexed="9"/>
      <b val="true"/>
    </font>
    <font>
      <name val="Arial"/>
      <sz val="8.0"/>
      <color indexed="9"/>
      <b val="true"/>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Arial"/>
      <sz val="8.0"/>
    </font>
    <font xmlns:main="http://schemas.openxmlformats.org/spreadsheetml/2006/main">
      <main:b/>
      <main:sz val="14"/>
      <main:color indexed="8"/>
      <main:name val="Arial"/>
      <main:family val="2"/>
    </font>
    <font xmlns:main="http://schemas.openxmlformats.org/spreadsheetml/2006/main">
      <main:i/>
      <main:sz val="10"/>
      <main:color indexed="8"/>
      <main:name val="Arial"/>
      <main:family val="2"/>
      <main:charset val="204"/>
    </font>
    <font xmlns:main="http://schemas.openxmlformats.org/spreadsheetml/2006/main">
      <main:i/>
      <main:u/>
      <main:sz val="10"/>
      <main:color indexed="12"/>
      <main:name val="Arial"/>
      <main:family val="2"/>
      <main:charset val="204"/>
    </font>
    <font xmlns:main="http://schemas.openxmlformats.org/spreadsheetml/2006/main">
      <main:i/>
      <main:sz val="10"/>
      <main:name val="Arial"/>
      <main:family val="2"/>
      <main:charset val="204"/>
    </font>
    <font xmlns:main="http://schemas.openxmlformats.org/spreadsheetml/2006/main">
      <main:i/>
      <main:sz val="10"/>
      <main:color theme="3" tint="0.39997558519241921"/>
      <main:name val="Arial"/>
      <main:family val="2"/>
      <main:charset val="204"/>
    </font>
    <font xmlns:main="http://schemas.openxmlformats.org/spreadsheetml/2006/main">
      <main:i/>
      <main:sz val="10"/>
      <main:name val="Arial"/>
      <main:family val="2"/>
      <main:charset val="204"/>
    </font>
    <font xmlns:main="http://schemas.openxmlformats.org/spreadsheetml/2006/main">
      <main:i/>
      <main:sz val="10"/>
      <main:name val="Arial"/>
      <main:family val="2"/>
      <main:charset val="204"/>
    </font>
    <font xmlns:main="http://schemas.openxmlformats.org/spreadsheetml/2006/main">
      <main:i/>
      <main:sz val="10"/>
      <main:color theme="3" tint="0.39997558519241921"/>
      <main:name val="Arial"/>
      <main:family val="2"/>
      <main:charset val="204"/>
    </font>
    <font xmlns:main="http://schemas.openxmlformats.org/spreadsheetml/2006/main">
      <main:i/>
      <main:sz val="10"/>
      <main:color theme="3" tint="0.39997558519241921"/>
      <main:name val="Arial"/>
      <main:family val="2"/>
      <main:charset val="204"/>
    </font>
    <font xmlns:main="http://schemas.openxmlformats.org/spreadsheetml/2006/main">
      <main:i/>
      <main:u/>
      <main:sz val="10"/>
      <main:color indexed="12"/>
      <main:name val="Arial"/>
      <main:family val="2"/>
      <main:charset val="204"/>
    </font>
    <font xmlns:main="http://schemas.openxmlformats.org/spreadsheetml/2006/main">
      <main:i/>
      <main:sz val="10"/>
      <main:color theme="3" tint="0.39997558519241921"/>
      <main:name val="Arial"/>
      <main:family val="2"/>
      <main:charset val="204"/>
    </font>
    <font>
      <name val="Arial"/>
      <sz val="8.0"/>
    </font>
  </fonts>
  <fills count="10">
    <fill>
      <patternFill patternType="none"/>
    </fill>
    <fill>
      <patternFill patternType="gray125"/>
    </fill>
    <fill>
      <patternFill patternType="solid">
        <fgColor indexed="9"/>
        <bgColor indexed="64"/>
      </patternFill>
    </fill>
    <fill>
      <patternFill>
        <fgColor rgb="4F81BD"/>
      </patternFill>
    </fill>
    <fill>
      <patternFill patternType="solid">
        <fgColor rgb="4F81BD"/>
      </patternFill>
    </fill>
    <fill>
      <patternFill>
        <fgColor rgb="EEF3F8"/>
      </patternFill>
    </fill>
    <fill>
      <patternFill patternType="solid">
        <fgColor rgb="EEF3F8"/>
      </patternFill>
    </fill>
    <fill>
      <patternFill>
        <fgColor rgb="FFFFFF"/>
      </patternFill>
    </fill>
    <fill>
      <patternFill patternType="solid">
        <fgColor rgb="FFFFFF"/>
      </patternFill>
    </fill>
    <fill>
      <patternFill patternType="solid">
        <fgColor rgb="FFFFFF"/>
        <bgColor indexed="64"/>
      </patternFill>
    </fill>
  </fills>
  <borders count="7">
    <border>
      <left/>
      <right/>
      <top/>
      <bottom/>
      <diagonal/>
    </border>
    <border>
      <top style="thin"/>
    </border>
    <border>
      <top style="thin">
        <color indexed="8"/>
      </top>
    </border>
    <border>
      <right style="thin"/>
      <top style="thin">
        <color indexed="8"/>
      </top>
    </border>
    <border>
      <right style="thin">
        <color indexed="8"/>
      </right>
      <top style="thin">
        <color indexed="8"/>
      </top>
    </border>
    <border>
      <right style="dotted"/>
    </border>
    <border>
      <right style="dotted">
        <color rgb="969696"/>
      </right>
    </border>
  </borders>
  <cellStyleXfs count="2">
    <xf numFmtId="0" fontId="0" fillId="0" borderId="0"/>
    <xf numFmtId="0" fontId="1" fillId="0" borderId="0"/>
  </cellStyleXfs>
  <cellXfs count="128">
    <xf numFmtId="0" fontId="0" fillId="0" borderId="0" xfId="0"/>
    <xf numFmtId="0" fontId="3" fillId="2" borderId="0" xfId="0" applyFont="1" applyFill="1" applyAlignment="1">
      <alignment horizontal="right"/>
    </xf>
    <xf numFmtId="0" fontId="2" fillId="0" borderId="0" xfId="0" applyFont="1" applyAlignment="1">
      <alignment horizontal="center" vertical="top"/>
    </xf>
    <xf numFmtId="14" fontId="5" fillId="0" borderId="0" xfId="0" applyNumberFormat="1" applyFont="1" applyFill="1" applyAlignment="1">
      <alignment horizontal="left"/>
    </xf>
    <xf numFmtId="0" fontId="5" fillId="0" borderId="0" xfId="0" applyFont="1" applyFill="1"/>
    <xf numFmtId="0" fontId="6" fillId="0" borderId="0" xfId="0" applyFont="1" applyFill="1" applyAlignment="1">
      <alignment horizontal="left"/>
    </xf>
    <xf numFmtId="0" fontId="4" fillId="2" borderId="0" xfId="0" applyFont="1" applyFill="1" applyAlignment="1">
      <alignment horizontal="left" vertical="top" wrapText="true"/>
    </xf>
    <xf numFmtId="0" fontId="7" fillId="4" borderId="2" xfId="0" applyFill="true" applyFont="true" applyBorder="true">
      <alignment horizontal="center" vertical="center" wrapText="true"/>
    </xf>
    <xf numFmtId="0" fontId="8" fillId="4" borderId="4" xfId="0" applyFill="true" applyFont="true" applyBorder="true">
      <alignment horizontal="center" vertical="center" wrapText="true"/>
    </xf>
    <xf numFmtId="0" fontId="9" fillId="6" borderId="6" xfId="0" applyFill="true" applyFont="true" applyBorder="true">
      <alignment horizontal="general" vertical="top" indent="1" wrapText="false"/>
    </xf>
    <xf numFmtId="0" fontId="10" fillId="6" borderId="6" xfId="0" applyFill="true" applyFont="true" applyBorder="true">
      <alignment horizontal="left" vertical="top" indent="1" wrapText="false"/>
    </xf>
    <xf numFmtId="165" fontId="11" fillId="6" borderId="6" xfId="0" applyFill="true" applyFont="true" applyBorder="true" applyNumberFormat="true">
      <alignment horizontal="right" vertical="top" indent="1" wrapText="false"/>
    </xf>
    <xf numFmtId="166" fontId="12" fillId="6" borderId="6" xfId="0" applyFill="true" applyFont="true" applyBorder="true" applyNumberFormat="true">
      <alignment horizontal="right" vertical="top" indent="1" wrapText="false"/>
    </xf>
    <xf numFmtId="167" fontId="13" fillId="6" borderId="6" xfId="0" applyFill="true" applyFont="true" applyBorder="true" applyNumberFormat="true">
      <alignment horizontal="right" vertical="top" indent="1" wrapText="false"/>
    </xf>
    <xf numFmtId="167" fontId="14" fillId="6" borderId="6" xfId="0" applyFill="true" applyFont="true" applyBorder="true" applyNumberFormat="true">
      <alignment horizontal="right" vertical="top" indent="1" wrapText="false"/>
    </xf>
    <xf numFmtId="167" fontId="15" fillId="6" borderId="6" xfId="0" applyFill="true" applyFont="true" applyBorder="true" applyNumberFormat="true">
      <alignment horizontal="right" vertical="top" indent="1" wrapText="false"/>
    </xf>
    <xf numFmtId="167" fontId="16" fillId="6" borderId="6" xfId="0" applyFill="true" applyFont="true" applyBorder="true" applyNumberFormat="true">
      <alignment horizontal="right" vertical="top" indent="1" wrapText="false"/>
    </xf>
    <xf numFmtId="168" fontId="17" fillId="6" borderId="6" xfId="0" applyFill="true" applyFont="true" applyBorder="true" applyNumberFormat="true">
      <alignment horizontal="right" vertical="top" indent="1" wrapText="false"/>
    </xf>
    <xf numFmtId="169" fontId="18" fillId="6" borderId="6" xfId="0" applyFill="true" applyFont="true" applyBorder="true" applyNumberFormat="true">
      <alignment horizontal="right" vertical="top" indent="1" wrapText="false"/>
    </xf>
    <xf numFmtId="0" fontId="19" fillId="6" borderId="6" xfId="0" applyFill="true" applyFont="true" applyBorder="true">
      <alignment horizontal="left" vertical="top" indent="1" wrapText="false"/>
    </xf>
    <xf numFmtId="0" fontId="20" fillId="6" borderId="6" xfId="0" applyFill="true" applyFont="true" applyBorder="true">
      <alignment horizontal="left" vertical="top" indent="1" wrapText="false"/>
    </xf>
    <xf numFmtId="0" fontId="21" fillId="6" borderId="6" xfId="0" applyFill="true" applyFont="true" applyBorder="true">
      <alignment horizontal="left" vertical="top" indent="1" wrapText="false"/>
    </xf>
    <xf numFmtId="0" fontId="22" fillId="6" borderId="6" xfId="0" applyFill="true" applyFont="true" applyBorder="true">
      <alignment horizontal="left" vertical="top" indent="1" wrapText="false"/>
    </xf>
    <xf numFmtId="0" fontId="23" fillId="6" borderId="6" xfId="0" applyFill="true" applyFont="true" applyBorder="true">
      <alignment horizontal="left" vertical="top" indent="1" wrapText="false"/>
    </xf>
    <xf numFmtId="0" fontId="24" fillId="6" borderId="6" xfId="0" applyFill="true" applyFont="true" applyBorder="true">
      <alignment horizontal="left" vertical="top" indent="1" wrapText="false"/>
    </xf>
    <xf numFmtId="0" fontId="25" fillId="6" borderId="6" xfId="0" applyFill="true" applyFont="true" applyBorder="true">
      <alignment horizontal="left" vertical="top" indent="1" wrapText="false"/>
    </xf>
    <xf numFmtId="0" fontId="26" fillId="6" borderId="6" xfId="0" applyFill="true" applyFont="true" applyBorder="true">
      <alignment horizontal="general" vertical="top" indent="1" wrapText="false"/>
    </xf>
    <xf numFmtId="0" fontId="27" fillId="8" borderId="6" xfId="0" applyFill="true" applyFont="true" applyBorder="true">
      <alignment horizontal="general" vertical="top" indent="1" wrapText="false"/>
    </xf>
    <xf numFmtId="0" fontId="28" fillId="8" borderId="6" xfId="0" applyFill="true" applyFont="true" applyBorder="true">
      <alignment horizontal="left" vertical="top" indent="1" wrapText="false"/>
    </xf>
    <xf numFmtId="165" fontId="29" fillId="8" borderId="6" xfId="0" applyFill="true" applyFont="true" applyBorder="true" applyNumberFormat="true">
      <alignment horizontal="right" vertical="top" indent="1" wrapText="false"/>
    </xf>
    <xf numFmtId="166" fontId="30" fillId="8" borderId="6" xfId="0" applyFill="true" applyFont="true" applyBorder="true" applyNumberFormat="true">
      <alignment horizontal="right" vertical="top" indent="1" wrapText="false"/>
    </xf>
    <xf numFmtId="167" fontId="31" fillId="8" borderId="6" xfId="0" applyFill="true" applyFont="true" applyBorder="true" applyNumberFormat="true">
      <alignment horizontal="right" vertical="top" indent="1" wrapText="false"/>
    </xf>
    <xf numFmtId="167" fontId="32" fillId="8" borderId="6" xfId="0" applyFill="true" applyFont="true" applyBorder="true" applyNumberFormat="true">
      <alignment horizontal="right" vertical="top" indent="1" wrapText="false"/>
    </xf>
    <xf numFmtId="167" fontId="33" fillId="8" borderId="6" xfId="0" applyFill="true" applyFont="true" applyBorder="true" applyNumberFormat="true">
      <alignment horizontal="right" vertical="top" indent="1" wrapText="false"/>
    </xf>
    <xf numFmtId="167" fontId="34" fillId="8" borderId="6" xfId="0" applyFill="true" applyFont="true" applyBorder="true" applyNumberFormat="true">
      <alignment horizontal="right" vertical="top" indent="1" wrapText="false"/>
    </xf>
    <xf numFmtId="168" fontId="35" fillId="8" borderId="6" xfId="0" applyFill="true" applyFont="true" applyBorder="true" applyNumberFormat="true">
      <alignment horizontal="right" vertical="top" indent="1" wrapText="false"/>
    </xf>
    <xf numFmtId="169" fontId="36" fillId="8" borderId="6" xfId="0" applyFill="true" applyFont="true" applyBorder="true" applyNumberFormat="true">
      <alignment horizontal="right" vertical="top" indent="1" wrapText="false"/>
    </xf>
    <xf numFmtId="0" fontId="37" fillId="8" borderId="6" xfId="0" applyFill="true" applyFont="true" applyBorder="true">
      <alignment horizontal="left" vertical="top" indent="1" wrapText="false"/>
    </xf>
    <xf numFmtId="0" fontId="38" fillId="8" borderId="6" xfId="0" applyFill="true" applyFont="true" applyBorder="true">
      <alignment horizontal="left" vertical="top" indent="1" wrapText="false"/>
    </xf>
    <xf numFmtId="0" fontId="39" fillId="8" borderId="6" xfId="0" applyFill="true" applyFont="true" applyBorder="true">
      <alignment horizontal="left" vertical="top" indent="1" wrapText="false"/>
    </xf>
    <xf numFmtId="0" fontId="40" fillId="8" borderId="6" xfId="0" applyFill="true" applyFont="true" applyBorder="true">
      <alignment horizontal="left" vertical="top" indent="1" wrapText="false"/>
    </xf>
    <xf numFmtId="0" fontId="41" fillId="8" borderId="6" xfId="0" applyFill="true" applyFont="true" applyBorder="true">
      <alignment horizontal="left" vertical="top" indent="1" wrapText="false"/>
    </xf>
    <xf numFmtId="0" fontId="42" fillId="8" borderId="6" xfId="0" applyFill="true" applyFont="true" applyBorder="true">
      <alignment horizontal="left" vertical="top" indent="1" wrapText="false"/>
    </xf>
    <xf numFmtId="0" fontId="43" fillId="8" borderId="6" xfId="0" applyFill="true" applyFont="true" applyBorder="true">
      <alignment horizontal="left" vertical="top" indent="1" wrapText="false"/>
    </xf>
    <xf numFmtId="0" fontId="44" fillId="8" borderId="6" xfId="0" applyFill="true" applyFont="true" applyBorder="true">
      <alignment horizontal="general" vertical="top" indent="1" wrapText="false"/>
    </xf>
    <xf numFmtId="0" fontId="45" fillId="6" borderId="6" xfId="0" applyFill="true" applyFont="true" applyBorder="true">
      <alignment horizontal="general" vertical="top" indent="1" wrapText="false"/>
    </xf>
    <xf numFmtId="0" fontId="46" fillId="6" borderId="6" xfId="0" applyFill="true" applyFont="true" applyBorder="true">
      <alignment horizontal="left" vertical="top" indent="1" wrapText="false"/>
    </xf>
    <xf numFmtId="165" fontId="47" fillId="6" borderId="6" xfId="0" applyFill="true" applyFont="true" applyBorder="true" applyNumberFormat="true">
      <alignment horizontal="right" vertical="top" indent="1" wrapText="false"/>
    </xf>
    <xf numFmtId="166" fontId="48" fillId="6" borderId="6" xfId="0" applyFill="true" applyFont="true" applyBorder="true" applyNumberFormat="true">
      <alignment horizontal="right" vertical="top" indent="1" wrapText="false"/>
    </xf>
    <xf numFmtId="167" fontId="49" fillId="6" borderId="6" xfId="0" applyFill="true" applyFont="true" applyBorder="true" applyNumberFormat="true">
      <alignment horizontal="right" vertical="top" indent="1" wrapText="false"/>
    </xf>
    <xf numFmtId="167" fontId="50" fillId="6" borderId="6" xfId="0" applyFill="true" applyFont="true" applyBorder="true" applyNumberFormat="true">
      <alignment horizontal="right" vertical="top" indent="1" wrapText="false"/>
    </xf>
    <xf numFmtId="167" fontId="51" fillId="6" borderId="6" xfId="0" applyFill="true" applyFont="true" applyBorder="true" applyNumberFormat="true">
      <alignment horizontal="right" vertical="top" indent="1" wrapText="false"/>
    </xf>
    <xf numFmtId="167" fontId="52" fillId="6" borderId="6" xfId="0" applyFill="true" applyFont="true" applyBorder="true" applyNumberFormat="true">
      <alignment horizontal="right" vertical="top" indent="1" wrapText="false"/>
    </xf>
    <xf numFmtId="168" fontId="53" fillId="6" borderId="6" xfId="0" applyFill="true" applyFont="true" applyBorder="true" applyNumberFormat="true">
      <alignment horizontal="right" vertical="top" indent="1" wrapText="false"/>
    </xf>
    <xf numFmtId="169" fontId="54" fillId="6" borderId="6" xfId="0" applyFill="true" applyFont="true" applyBorder="true" applyNumberFormat="true">
      <alignment horizontal="right" vertical="top" indent="1" wrapText="false"/>
    </xf>
    <xf numFmtId="0" fontId="55" fillId="6" borderId="6" xfId="0" applyFill="true" applyFont="true" applyBorder="true">
      <alignment horizontal="left" vertical="top" indent="1" wrapText="false"/>
    </xf>
    <xf numFmtId="0" fontId="56" fillId="6" borderId="6" xfId="0" applyFill="true" applyFont="true" applyBorder="true">
      <alignment horizontal="left" vertical="top" indent="1" wrapText="false"/>
    </xf>
    <xf numFmtId="0" fontId="57" fillId="6" borderId="6" xfId="0" applyFill="true" applyFont="true" applyBorder="true">
      <alignment horizontal="left" vertical="top" indent="1" wrapText="false"/>
    </xf>
    <xf numFmtId="0" fontId="58" fillId="6" borderId="6" xfId="0" applyFill="true" applyFont="true" applyBorder="true">
      <alignment horizontal="left" vertical="top" indent="1" wrapText="false"/>
    </xf>
    <xf numFmtId="0" fontId="59" fillId="6" borderId="6" xfId="0" applyFill="true" applyFont="true" applyBorder="true">
      <alignment horizontal="left" vertical="top" indent="1" wrapText="false"/>
    </xf>
    <xf numFmtId="0" fontId="60" fillId="6" borderId="6" xfId="0" applyFill="true" applyFont="true" applyBorder="true">
      <alignment horizontal="left" vertical="top" indent="1" wrapText="false"/>
    </xf>
    <xf numFmtId="0" fontId="61" fillId="6" borderId="6" xfId="0" applyFill="true" applyFont="true" applyBorder="true">
      <alignment horizontal="left" vertical="top" indent="1" wrapText="false"/>
    </xf>
    <xf numFmtId="0" fontId="62" fillId="6" borderId="6" xfId="0" applyFill="true" applyFont="true" applyBorder="true">
      <alignment horizontal="general" vertical="top" indent="1" wrapText="false"/>
    </xf>
    <xf numFmtId="0" fontId="63" fillId="8" borderId="6" xfId="0" applyFill="true" applyFont="true" applyBorder="true">
      <alignment horizontal="general" vertical="top" indent="1" wrapText="false"/>
    </xf>
    <xf numFmtId="0" fontId="64" fillId="8" borderId="6" xfId="0" applyFill="true" applyFont="true" applyBorder="true">
      <alignment horizontal="left" vertical="top" indent="1" wrapText="false"/>
    </xf>
    <xf numFmtId="165" fontId="65" fillId="8" borderId="6" xfId="0" applyFill="true" applyFont="true" applyBorder="true" applyNumberFormat="true">
      <alignment horizontal="right" vertical="top" indent="1" wrapText="false"/>
    </xf>
    <xf numFmtId="166" fontId="66" fillId="8" borderId="6" xfId="0" applyFill="true" applyFont="true" applyBorder="true" applyNumberFormat="true">
      <alignment horizontal="right" vertical="top" indent="1" wrapText="false"/>
    </xf>
    <xf numFmtId="167" fontId="67" fillId="8" borderId="6" xfId="0" applyFill="true" applyFont="true" applyBorder="true" applyNumberFormat="true">
      <alignment horizontal="right" vertical="top" indent="1" wrapText="false"/>
    </xf>
    <xf numFmtId="167" fontId="68" fillId="8" borderId="6" xfId="0" applyFill="true" applyFont="true" applyBorder="true" applyNumberFormat="true">
      <alignment horizontal="right" vertical="top" indent="1" wrapText="false"/>
    </xf>
    <xf numFmtId="167" fontId="69" fillId="8" borderId="6" xfId="0" applyFill="true" applyFont="true" applyBorder="true" applyNumberFormat="true">
      <alignment horizontal="right" vertical="top" indent="1" wrapText="false"/>
    </xf>
    <xf numFmtId="167" fontId="70" fillId="8" borderId="6" xfId="0" applyFill="true" applyFont="true" applyBorder="true" applyNumberFormat="true">
      <alignment horizontal="right" vertical="top" indent="1" wrapText="false"/>
    </xf>
    <xf numFmtId="168" fontId="71" fillId="8" borderId="6" xfId="0" applyFill="true" applyFont="true" applyBorder="true" applyNumberFormat="true">
      <alignment horizontal="right" vertical="top" indent="1" wrapText="false"/>
    </xf>
    <xf numFmtId="169" fontId="72" fillId="8" borderId="6" xfId="0" applyFill="true" applyFont="true" applyBorder="true" applyNumberFormat="true">
      <alignment horizontal="right" vertical="top" indent="1" wrapText="false"/>
    </xf>
    <xf numFmtId="0" fontId="73" fillId="8" borderId="6" xfId="0" applyFill="true" applyFont="true" applyBorder="true">
      <alignment horizontal="left" vertical="top" indent="1" wrapText="false"/>
    </xf>
    <xf numFmtId="0" fontId="74" fillId="8" borderId="6" xfId="0" applyFill="true" applyFont="true" applyBorder="true">
      <alignment horizontal="left" vertical="top" indent="1" wrapText="false"/>
    </xf>
    <xf numFmtId="0" fontId="75" fillId="8" borderId="6" xfId="0" applyFill="true" applyFont="true" applyBorder="true">
      <alignment horizontal="left" vertical="top" indent="1" wrapText="false"/>
    </xf>
    <xf numFmtId="0" fontId="76" fillId="8" borderId="6" xfId="0" applyFill="true" applyFont="true" applyBorder="true">
      <alignment horizontal="left" vertical="top" indent="1" wrapText="false"/>
    </xf>
    <xf numFmtId="0" fontId="77" fillId="8" borderId="6" xfId="0" applyFill="true" applyFont="true" applyBorder="true">
      <alignment horizontal="left" vertical="top" indent="1" wrapText="false"/>
    </xf>
    <xf numFmtId="0" fontId="78" fillId="8" borderId="6" xfId="0" applyFill="true" applyFont="true" applyBorder="true">
      <alignment horizontal="left" vertical="top" indent="1" wrapText="false"/>
    </xf>
    <xf numFmtId="0" fontId="79" fillId="8" borderId="6" xfId="0" applyFill="true" applyFont="true" applyBorder="true">
      <alignment horizontal="left" vertical="top" indent="1" wrapText="false"/>
    </xf>
    <xf numFmtId="0" fontId="80" fillId="8" borderId="6" xfId="0" applyFill="true" applyFont="true" applyBorder="true">
      <alignment horizontal="general" vertical="top" indent="1" wrapText="false"/>
    </xf>
    <xf numFmtId="0" fontId="81" fillId="6" borderId="6" xfId="0" applyFill="true" applyFont="true" applyBorder="true">
      <alignment horizontal="left" vertical="top" indent="1" wrapText="false"/>
    </xf>
    <xf numFmtId="0" fontId="82" fillId="8" borderId="6" xfId="0" applyFill="true" applyFont="true" applyBorder="true">
      <alignment horizontal="left" vertical="top" indent="1" wrapText="false"/>
    </xf>
    <xf numFmtId="0" fontId="83" fillId="6" borderId="6" xfId="0" applyFill="true" applyFont="true" applyBorder="true">
      <alignment horizontal="left" vertical="top" indent="1" wrapText="false"/>
    </xf>
    <xf numFmtId="0" fontId="84" fillId="8" borderId="6" xfId="0" applyFill="true" applyFont="true" applyBorder="true">
      <alignment horizontal="left" vertical="top" indent="1" wrapText="false"/>
    </xf>
    <xf numFmtId="165" fontId="85" fillId="6" borderId="6" xfId="0" applyFill="true" applyFont="true" applyBorder="true" applyNumberFormat="true">
      <alignment horizontal="left" vertical="top" indent="1" wrapText="false"/>
    </xf>
    <xf numFmtId="165" fontId="86" fillId="8" borderId="6" xfId="0" applyFill="true" applyFont="true" applyBorder="true" applyNumberFormat="true">
      <alignment horizontal="left" vertical="top" indent="1" wrapText="false"/>
    </xf>
    <xf numFmtId="166" fontId="87" fillId="6" borderId="6" xfId="0" applyFill="true" applyFont="true" applyBorder="true" applyNumberFormat="true">
      <alignment horizontal="left" vertical="top" indent="1" wrapText="false"/>
    </xf>
    <xf numFmtId="166" fontId="88" fillId="8" borderId="6" xfId="0" applyFill="true" applyFont="true" applyBorder="true" applyNumberFormat="true">
      <alignment horizontal="left" vertical="top" indent="1" wrapText="false"/>
    </xf>
    <xf numFmtId="167" fontId="89" fillId="6" borderId="6" xfId="0" applyFill="true" applyFont="true" applyBorder="true" applyNumberFormat="true">
      <alignment horizontal="left" vertical="top" indent="1" wrapText="false"/>
    </xf>
    <xf numFmtId="167" fontId="90" fillId="8" borderId="6" xfId="0" applyFill="true" applyFont="true" applyBorder="true" applyNumberFormat="true">
      <alignment horizontal="left" vertical="top" indent="1" wrapText="false"/>
    </xf>
    <xf numFmtId="167" fontId="91" fillId="6" borderId="6" xfId="0" applyFill="true" applyFont="true" applyBorder="true" applyNumberFormat="true">
      <alignment horizontal="left" vertical="top" indent="1" wrapText="false"/>
    </xf>
    <xf numFmtId="167" fontId="92" fillId="8" borderId="6" xfId="0" applyFill="true" applyFont="true" applyBorder="true" applyNumberFormat="true">
      <alignment horizontal="left" vertical="top" indent="1" wrapText="false"/>
    </xf>
    <xf numFmtId="167" fontId="93" fillId="6" borderId="6" xfId="0" applyFill="true" applyFont="true" applyBorder="true" applyNumberFormat="true">
      <alignment horizontal="left" vertical="top" indent="1" wrapText="false"/>
    </xf>
    <xf numFmtId="167" fontId="94" fillId="8" borderId="6" xfId="0" applyFill="true" applyFont="true" applyBorder="true" applyNumberFormat="true">
      <alignment horizontal="left" vertical="top" indent="1" wrapText="false"/>
    </xf>
    <xf numFmtId="167" fontId="95" fillId="6" borderId="6" xfId="0" applyFill="true" applyFont="true" applyBorder="true" applyNumberFormat="true">
      <alignment horizontal="left" vertical="top" indent="1" wrapText="false"/>
    </xf>
    <xf numFmtId="167" fontId="96" fillId="8" borderId="6" xfId="0" applyFill="true" applyFont="true" applyBorder="true" applyNumberFormat="true">
      <alignment horizontal="left" vertical="top" indent="1" wrapText="false"/>
    </xf>
    <xf numFmtId="168" fontId="97" fillId="6" borderId="6" xfId="0" applyFill="true" applyFont="true" applyBorder="true" applyNumberFormat="true">
      <alignment horizontal="left" vertical="top" indent="1" wrapText="false"/>
    </xf>
    <xf numFmtId="168" fontId="98" fillId="8" borderId="6" xfId="0" applyFill="true" applyFont="true" applyBorder="true" applyNumberFormat="true">
      <alignment horizontal="left" vertical="top" indent="1" wrapText="false"/>
    </xf>
    <xf numFmtId="169" fontId="99" fillId="6" borderId="6" xfId="0" applyFill="true" applyFont="true" applyBorder="true" applyNumberFormat="true">
      <alignment horizontal="left" vertical="top" indent="1" wrapText="false"/>
    </xf>
    <xf numFmtId="169" fontId="100" fillId="8" borderId="6" xfId="0" applyFill="true" applyFont="true" applyBorder="true" applyNumberFormat="true">
      <alignment horizontal="left" vertical="top" indent="1" wrapText="false"/>
    </xf>
    <xf numFmtId="0" fontId="101" fillId="6" borderId="6" xfId="0" applyFill="true" applyFont="true" applyBorder="true">
      <alignment horizontal="left" vertical="top" indent="1" wrapText="false"/>
    </xf>
    <xf numFmtId="0" fontId="102" fillId="8" borderId="6" xfId="0" applyFill="true" applyFont="true" applyBorder="true">
      <alignment horizontal="left" vertical="top" indent="1" wrapText="false"/>
    </xf>
    <xf numFmtId="0" fontId="103" fillId="6" borderId="6" xfId="0" applyFill="true" applyFont="true" applyBorder="true">
      <alignment horizontal="left" vertical="top" indent="1" wrapText="false"/>
    </xf>
    <xf numFmtId="0" fontId="104" fillId="8" borderId="6" xfId="0" applyFill="true" applyFont="true" applyBorder="true">
      <alignment horizontal="left" vertical="top" indent="1" wrapText="false"/>
    </xf>
    <xf numFmtId="0" fontId="105" fillId="6" borderId="6" xfId="0" applyFill="true" applyFont="true" applyBorder="true">
      <alignment horizontal="left" vertical="top" indent="1" wrapText="false"/>
    </xf>
    <xf numFmtId="0" fontId="106" fillId="8" borderId="6" xfId="0" applyFill="true" applyFont="true" applyBorder="true">
      <alignment horizontal="left" vertical="top" indent="1" wrapText="false"/>
    </xf>
    <xf numFmtId="0" fontId="107" fillId="6" borderId="6" xfId="0" applyFill="true" applyFont="true" applyBorder="true">
      <alignment horizontal="left" vertical="top" indent="1" wrapText="false"/>
    </xf>
    <xf numFmtId="0" fontId="108" fillId="8" borderId="6" xfId="0" applyFill="true" applyFont="true" applyBorder="true">
      <alignment horizontal="left" vertical="top" indent="1" wrapText="false"/>
    </xf>
    <xf numFmtId="0" fontId="109" fillId="6" borderId="6" xfId="0" applyFill="true" applyFont="true" applyBorder="true">
      <alignment horizontal="left" vertical="top" indent="1" wrapText="false"/>
    </xf>
    <xf numFmtId="0" fontId="110" fillId="8" borderId="6" xfId="0" applyFill="true" applyFont="true" applyBorder="true">
      <alignment horizontal="left" vertical="top" indent="1" wrapText="false"/>
    </xf>
    <xf numFmtId="0" fontId="111" fillId="6" borderId="6" xfId="0" applyFill="true" applyFont="true" applyBorder="true">
      <alignment horizontal="left" vertical="top" indent="1" wrapText="false"/>
    </xf>
    <xf numFmtId="0" fontId="112" fillId="8" borderId="6" xfId="0" applyFill="true" applyFont="true" applyBorder="true">
      <alignment horizontal="left" vertical="top" indent="1" wrapText="false"/>
    </xf>
    <xf numFmtId="0" fontId="113" fillId="6" borderId="6" xfId="0" applyFill="true" applyFont="true" applyBorder="true">
      <alignment horizontal="left" vertical="top" indent="1" wrapText="false"/>
    </xf>
    <xf numFmtId="0" fontId="114" fillId="8" borderId="6" xfId="0" applyFill="true" applyFont="true" applyBorder="true">
      <alignment horizontal="left" vertical="top" indent="1" wrapText="false"/>
    </xf>
    <xf numFmtId="0" fontId="115" fillId="0" borderId="0" xfId="0" applyFont="true">
      <alignment horizontal="general" vertical="bottom"/>
    </xf>
    <xf numFmtId="0" fontId="116" fillId="9" borderId="0" xfId="0" applyFont="true" applyFill="true" applyNumberFormat="true"/>
    <xf numFmtId="0" fontId="117" fillId="9" borderId="0" xfId="0" applyFont="true" applyFill="true" applyNumberFormat="true"/>
    <xf numFmtId="0" fontId="118" fillId="9" borderId="0" xfId="1" applyFont="true" applyFill="true" applyAlignment="1" applyProtection="1" applyNumberFormat="true"/>
    <xf numFmtId="0" fontId="119" fillId="9" borderId="0" xfId="0" applyFont="true" applyFill="true" applyNumberFormat="true"/>
    <xf numFmtId="0" fontId="120" fillId="9" borderId="0" xfId="2" applyFont="true" applyFill="true" applyAlignment="1" applyProtection="1" applyNumberFormat="true"/>
    <xf numFmtId="0" fontId="121" fillId="9" borderId="0" xfId="0" applyFont="true" applyFill="true" applyNumberFormat="true"/>
    <xf numFmtId="0" fontId="122" fillId="9" borderId="0" xfId="0" applyFont="true" applyFill="true" applyNumberFormat="true"/>
    <xf numFmtId="0" fontId="123" fillId="9" borderId="0" xfId="2" applyFont="true" applyFill="true" applyAlignment="1" applyProtection="1" applyNumberFormat="true"/>
    <xf numFmtId="0" fontId="124" fillId="9" borderId="0" xfId="2" applyFont="true" applyFill="true" applyAlignment="1" applyProtection="1" applyNumberFormat="true"/>
    <xf numFmtId="0" fontId="125" fillId="9" borderId="0" xfId="1" applyFont="true" applyFill="true" applyAlignment="1" applyProtection="1" applyNumberFormat="true"/>
    <xf numFmtId="0" fontId="126" fillId="9" borderId="0" xfId="2" applyFont="true" applyFill="true" applyAlignment="1" applyProtection="1" applyNumberFormat="true"/>
    <xf numFmtId="0" fontId="127" fillId="0" borderId="0" xfId="0" applyFont="true">
      <alignment horizontal="general" vertical="bottom"/>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theme" Target="theme/theme1.xml"/>
  <Relationship Id="rId3" Type="http://schemas.openxmlformats.org/officeDocument/2006/relationships/styles" Target="styles.xml"/>
  <Relationship Id="rId4" Type="http://schemas.openxmlformats.org/officeDocument/2006/relationships/sharedStrings" Target="sharedStrings.xml"/>
  <Relationship Id="rId5" Type="http://schemas.openxmlformats.org/officeDocument/2006/relationships/worksheet" Target="worksheets/sheet7.xml"/>
</Relationships>

</file>

<file path=xl/drawings/_rels/drawing1.xml.rels><?xml version="1.0" encoding="UTF-8"?>

<Relationships xmlns="http://schemas.openxmlformats.org/package/2006/relationships">
  <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1</xdr:col>
      <xdr:colOff>1353527</xdr:colOff>
      <xdr:row>1</xdr:row>
      <xdr:rowOff>76200</xdr:rowOff>
    </xdr:to>
    <xdr:pic>
      <xdr:nvPicPr>
        <xdr:cNvPr id="1" name="Picture 1" descr="Picture"/>
        <xdr:cNvPicPr>
          <a:picLocks noChangeAspect="true"/>
        </xdr:cNvPicPr>
      </xdr:nvPicPr>
      <xdr:blipFill>
        <a:blip r:embed="rId1"/>
        <a:stretch>
          <a:fillRect/>
        </a:stretch>
      </xdr:blipFill>
      <xdr:spPr>
        <a:xfrm>
          <a:off x="0" y="0"/>
          <a:ext cx="2076450" cy="4095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dimension ref="A1:G8"/>
  <sheetViews>
    <sheetView showGridLines="0" tabSelected="false" workbookViewId="0">
      <selection activeCell="A1" sqref="A1"/>
    </sheetView>
  </sheetViews>
  <sheetFormatPr defaultRowHeight="15"/>
  <cols>
    <col min="4" max="4" customWidth="true" width="10.83984375" collapsed="true"/>
    <col min="3" max="3" customWidth="true" width="10.83984375" collapsed="true"/>
    <col min="1" max="1" customWidth="true" width="10.83984375" collapsed="true"/>
    <col min="2" max="2" customWidth="true" width="33.2421875" collapsed="true"/>
    <col min="7" max="7" customWidth="true" width="12.28515625" collapsed="true"/>
    <col min="5" max="5" width="13.73046875" customWidth="true"/>
    <col min="6" max="6" width="15.17578125" customWidth="true"/>
    <col min="8" max="8" width="8.671875" customWidth="true"/>
    <col min="9" max="9" width="9.68359375" customWidth="true"/>
    <col min="10" max="10" width="9.25" customWidth="true"/>
    <col min="11" max="11" width="28.18359375" customWidth="true"/>
    <col min="12" max="12" width="33.2421875" customWidth="true"/>
    <col min="13" max="13" width="28.90625" customWidth="true"/>
    <col min="14" max="14" width="18.7890625" customWidth="true"/>
    <col min="15" max="15" width="11.5625" customWidth="true"/>
    <col min="16" max="16" width="20.234375" customWidth="true"/>
    <col min="17" max="17" width="18.7890625" customWidth="true"/>
    <col min="18" max="18" width="19.80078125" customWidth="true"/>
  </cols>
  <sheetData>
    <row r="1" spans="1:7" ht="26.25" customHeight="1">
      <c r="E1" s="5" t="s">
        <v>4</v>
      </c>
      <c r="F1" s="5"/>
      <c r="G1" s="5"/>
    </row>
    <row r="2" spans="1:7" ht="12" customHeight="1"/>
    <row r="3" spans="1:7" ht="9.75" customHeight="1"/>
    <row r="4" spans="1:7">
      <c r="A4" s="2" t="s">
        <v>0</v>
      </c>
      <c r="B4" s="6" t="s">
        <v>5</v>
      </c>
      <c r="C4" s="6"/>
      <c r="D4" s="6"/>
    </row>
    <row r="5" spans="1:7">
      <c r="B5" s="6"/>
      <c r="C5" s="6"/>
      <c r="D5" s="6"/>
      <c r="F5" s="1" t="s">
        <v>1</v>
      </c>
      <c r="G5" s="3" t="s">
        <v>6</v>
      </c>
    </row>
    <row r="6" spans="1:7">
      <c r="B6" s="6"/>
      <c r="C6" s="6"/>
      <c r="D6" s="6"/>
      <c r="F6" s="1" t="s">
        <v>3</v>
      </c>
      <c r="G6" s="4" t="s">
        <v>7</v>
      </c>
    </row>
    <row r="8" spans="1:7" ht="35.0" customHeight="true">
      <c r="A8" t="s" s="7">
        <v>8</v>
      </c>
      <c r="B8" t="s" s="7">
        <v>9</v>
      </c>
      <c r="C8" t="s" s="7">
        <v>10</v>
      </c>
      <c r="D8" t="s" s="7">
        <v>11</v>
      </c>
      <c r="E8" t="s" s="7">
        <v>12</v>
      </c>
      <c r="F8" t="s" s="7">
        <v>13</v>
      </c>
      <c r="G8" t="s" s="7">
        <v>14</v>
      </c>
      <c r="H8" t="s" s="7">
        <v>15</v>
      </c>
      <c r="I8" t="s" s="7">
        <v>16</v>
      </c>
      <c r="J8" t="s" s="7">
        <v>17</v>
      </c>
      <c r="K8" t="s" s="7">
        <v>18</v>
      </c>
      <c r="L8" t="s" s="7">
        <v>19</v>
      </c>
      <c r="M8" t="s" s="7">
        <v>20</v>
      </c>
      <c r="N8" t="s" s="7">
        <v>21</v>
      </c>
      <c r="O8" t="s" s="7">
        <v>22</v>
      </c>
      <c r="P8" t="s" s="7">
        <v>23</v>
      </c>
      <c r="Q8" t="s" s="7">
        <v>24</v>
      </c>
      <c r="R8" t="s" s="8">
        <v>25</v>
      </c>
    </row>
    <row r="9">
      <c r="A9" s="9" t="inlineStr">
        <is>
          <t>170123-59</t>
        </is>
      </c>
      <c r="B9" s="10" t="inlineStr">
        <is>
          <t>Zyudly Labs</t>
        </is>
      </c>
      <c r="C9" s="11" t="n">
        <v>0.1180476972807811</v>
      </c>
      <c r="D9" s="12" t="n">
        <v>0.4692784162201996</v>
      </c>
      <c r="E9" s="13" t="inlineStr">
        <is>
          <t/>
        </is>
      </c>
      <c r="F9" s="14" t="n">
        <v>29.0</v>
      </c>
      <c r="G9" s="15" t="n">
        <v>103.0</v>
      </c>
      <c r="H9" s="16" t="n">
        <v>6.0</v>
      </c>
      <c r="I9" s="17" t="inlineStr">
        <is>
          <t/>
        </is>
      </c>
      <c r="J9" s="18" t="n">
        <v>0.37</v>
      </c>
      <c r="K9" s="19" t="inlineStr">
        <is>
          <t>Network Management Software</t>
        </is>
      </c>
      <c r="L9" s="20" t="inlineStr">
        <is>
          <t>Provider of cyber-security analytics and intelligence intended to provide real time breach detection and automated remediation measures. The company offers cyber-security analytics and intelligence software powered by big data, predictive analytics, security domain and adversarial machine learning providing companies with real-time breach detection and with real-time alerts and notifications enabling companies to solve fraud and cyber security challenges effectively, efficiently and economically.</t>
        </is>
      </c>
      <c r="M9" s="21" t="inlineStr">
        <is>
          <t>500 Startups, Start Smart Labs</t>
        </is>
      </c>
      <c r="N9" s="22" t="inlineStr">
        <is>
          <t>Accelerator/Incubator Backed</t>
        </is>
      </c>
      <c r="O9" s="23" t="inlineStr">
        <is>
          <t>Privately Held (backing)</t>
        </is>
      </c>
      <c r="P9" s="24" t="inlineStr">
        <is>
          <t>Palo Alto, CA</t>
        </is>
      </c>
      <c r="Q9" s="25" t="inlineStr">
        <is>
          <t>www.zyudlylabs.com</t>
        </is>
      </c>
      <c r="R9" s="113">
        <f>HYPERLINK("https://my.pitchbook.com?c=170123-59", "View company online")</f>
      </c>
    </row>
    <row r="10">
      <c r="A10" s="27" t="inlineStr">
        <is>
          <t>103815-46</t>
        </is>
      </c>
      <c r="B10" s="28" t="inlineStr">
        <is>
          <t>Zymr</t>
        </is>
      </c>
      <c r="C10" s="86">
        <f>HYPERLINK("https://my.pitchbook.com?rrp=103815-46&amp;type=c", "This Company's information is not available to download. Need this Company? Request availability")</f>
      </c>
      <c r="D10" s="30" t="inlineStr">
        <is>
          <t/>
        </is>
      </c>
      <c r="E10" s="31" t="inlineStr">
        <is>
          <t/>
        </is>
      </c>
      <c r="F10" s="32" t="inlineStr">
        <is>
          <t/>
        </is>
      </c>
      <c r="G10" s="33" t="inlineStr">
        <is>
          <t/>
        </is>
      </c>
      <c r="H10" s="34" t="inlineStr">
        <is>
          <t/>
        </is>
      </c>
      <c r="I10" s="35" t="inlineStr">
        <is>
          <t/>
        </is>
      </c>
      <c r="J10" s="36" t="inlineStr">
        <is>
          <t/>
        </is>
      </c>
      <c r="K10" s="37" t="inlineStr">
        <is>
          <t/>
        </is>
      </c>
      <c r="L10" s="38" t="inlineStr">
        <is>
          <t/>
        </is>
      </c>
      <c r="M10" s="39" t="inlineStr">
        <is>
          <t/>
        </is>
      </c>
      <c r="N10" s="40" t="inlineStr">
        <is>
          <t/>
        </is>
      </c>
      <c r="O10" s="41" t="inlineStr">
        <is>
          <t/>
        </is>
      </c>
      <c r="P10" s="42" t="inlineStr">
        <is>
          <t/>
        </is>
      </c>
      <c r="Q10" s="43" t="inlineStr">
        <is>
          <t/>
        </is>
      </c>
      <c r="R10" s="44" t="inlineStr">
        <is>
          <t/>
        </is>
      </c>
    </row>
    <row r="11">
      <c r="A11" s="9" t="inlineStr">
        <is>
          <t>115308-37</t>
        </is>
      </c>
      <c r="B11" s="10" t="inlineStr">
        <is>
          <t>Zymochem</t>
        </is>
      </c>
      <c r="C11" s="11" t="n">
        <v>0.16749317249976595</v>
      </c>
      <c r="D11" s="12" t="n">
        <v>0.8266147503435639</v>
      </c>
      <c r="E11" s="13" t="inlineStr">
        <is>
          <t/>
        </is>
      </c>
      <c r="F11" s="14" t="n">
        <v>48.0</v>
      </c>
      <c r="G11" s="15" t="inlineStr">
        <is>
          <t/>
        </is>
      </c>
      <c r="H11" s="16" t="n">
        <v>126.0</v>
      </c>
      <c r="I11" s="17" t="n">
        <v>3.0</v>
      </c>
      <c r="J11" s="18" t="inlineStr">
        <is>
          <t/>
        </is>
      </c>
      <c r="K11" s="19" t="inlineStr">
        <is>
          <t>Biotechnology</t>
        </is>
      </c>
      <c r="L11" s="20" t="inlineStr">
        <is>
          <t>Developer of an eco-friendly chemical production system. The company develops microbes and microbial processes to turn sugar and other renewable feed stock, into valuable chemicals without emitting greenhouse gases.</t>
        </is>
      </c>
      <c r="M11" s="21" t="inlineStr">
        <is>
          <t>Breakout Labs, SOSV</t>
        </is>
      </c>
      <c r="N11" s="22" t="inlineStr">
        <is>
          <t>Accelerator/Incubator Backed</t>
        </is>
      </c>
      <c r="O11" s="23" t="inlineStr">
        <is>
          <t>Privately Held (backing)</t>
        </is>
      </c>
      <c r="P11" s="24" t="inlineStr">
        <is>
          <t>Emeryville, CA</t>
        </is>
      </c>
      <c r="Q11" s="25" t="inlineStr">
        <is>
          <t>www.zymochem.com</t>
        </is>
      </c>
      <c r="R11" s="113">
        <f>HYPERLINK("https://my.pitchbook.com?c=115308-37", "View company online")</f>
      </c>
    </row>
    <row r="12">
      <c r="A12" s="27" t="inlineStr">
        <is>
          <t>114984-46</t>
        </is>
      </c>
      <c r="B12" s="28" t="inlineStr">
        <is>
          <t>Zymbit</t>
        </is>
      </c>
      <c r="C12" s="29" t="n">
        <v>0.10791459950317796</v>
      </c>
      <c r="D12" s="30" t="n">
        <v>0.7083746605854196</v>
      </c>
      <c r="E12" s="31" t="inlineStr">
        <is>
          <t/>
        </is>
      </c>
      <c r="F12" s="32" t="n">
        <v>17.0</v>
      </c>
      <c r="G12" s="33" t="n">
        <v>55.0</v>
      </c>
      <c r="H12" s="34" t="n">
        <v>636.0</v>
      </c>
      <c r="I12" s="35" t="n">
        <v>6.0</v>
      </c>
      <c r="J12" s="36" t="n">
        <v>0.2</v>
      </c>
      <c r="K12" s="37" t="inlineStr">
        <is>
          <t>Computers, Parts and Peripherals</t>
        </is>
      </c>
      <c r="L12" s="38" t="inlineStr">
        <is>
          <t>Provider of pre-packaged hardware and software services. The company offers an open platform that allows users to customize and change the internet of things projects and devices.</t>
        </is>
      </c>
      <c r="M12" s="39" t="inlineStr">
        <is>
          <t/>
        </is>
      </c>
      <c r="N12" s="40" t="inlineStr">
        <is>
          <t>Angel-Backed</t>
        </is>
      </c>
      <c r="O12" s="41" t="inlineStr">
        <is>
          <t>Privately Held (backing)</t>
        </is>
      </c>
      <c r="P12" s="42" t="inlineStr">
        <is>
          <t>Santa Barbara, CA</t>
        </is>
      </c>
      <c r="Q12" s="43" t="inlineStr">
        <is>
          <t>www.zymbit.com</t>
        </is>
      </c>
      <c r="R12" s="114">
        <f>HYPERLINK("https://my.pitchbook.com?c=114984-46", "View company online")</f>
      </c>
    </row>
    <row r="13">
      <c r="A13" s="9" t="inlineStr">
        <is>
          <t>170032-96</t>
        </is>
      </c>
      <c r="B13" s="10" t="inlineStr">
        <is>
          <t>Zupa Noma</t>
        </is>
      </c>
      <c r="C13" s="11" t="n">
        <v>2.6066672955683763</v>
      </c>
      <c r="D13" s="12" t="n">
        <v>1.1644167617454282</v>
      </c>
      <c r="E13" s="13" t="inlineStr">
        <is>
          <t/>
        </is>
      </c>
      <c r="F13" s="14" t="n">
        <v>26.0</v>
      </c>
      <c r="G13" s="15" t="n">
        <v>1668.0</v>
      </c>
      <c r="H13" s="16" t="n">
        <v>405.0</v>
      </c>
      <c r="I13" s="17" t="inlineStr">
        <is>
          <t/>
        </is>
      </c>
      <c r="J13" s="18" t="inlineStr">
        <is>
          <t/>
        </is>
      </c>
      <c r="K13" s="19" t="inlineStr">
        <is>
          <t>Internet Retail</t>
        </is>
      </c>
      <c r="L13" s="20" t="inlineStr">
        <is>
          <t>Seller of bottled organic vegetable soup intended to provide drinkers with nutritious drinks. The company produces various flavored bottled soups made of fruits and vegetables and preserves them in high pressure processing technology and sells them online through their e-commerce platform enabling users to get instant access to ready to drink nutritious soups made of sun‐ripened fruits and vegetables.</t>
        </is>
      </c>
      <c r="M13" s="21" t="inlineStr">
        <is>
          <t>Sonoma Brands</t>
        </is>
      </c>
      <c r="N13" s="22" t="inlineStr">
        <is>
          <t>Accelerator/Incubator Backed</t>
        </is>
      </c>
      <c r="O13" s="23" t="inlineStr">
        <is>
          <t>Privately Held (backing)</t>
        </is>
      </c>
      <c r="P13" s="24" t="inlineStr">
        <is>
          <t>Sonoma, CA</t>
        </is>
      </c>
      <c r="Q13" s="25" t="inlineStr">
        <is>
          <t>www.drinkzupa.com</t>
        </is>
      </c>
      <c r="R13" s="113">
        <f>HYPERLINK("https://my.pitchbook.com?c=170032-96", "View company online")</f>
      </c>
    </row>
    <row r="14">
      <c r="A14" s="27" t="inlineStr">
        <is>
          <t>123484-96</t>
        </is>
      </c>
      <c r="B14" s="28" t="inlineStr">
        <is>
          <t>Zunn Labs</t>
        </is>
      </c>
      <c r="C14" s="29" t="n">
        <v>-0.021589426699952508</v>
      </c>
      <c r="D14" s="30" t="n">
        <v>0.7556047625686536</v>
      </c>
      <c r="E14" s="31" t="inlineStr">
        <is>
          <t/>
        </is>
      </c>
      <c r="F14" s="32" t="n">
        <v>15.0</v>
      </c>
      <c r="G14" s="33" t="n">
        <v>846.0</v>
      </c>
      <c r="H14" s="34" t="n">
        <v>410.0</v>
      </c>
      <c r="I14" s="35" t="inlineStr">
        <is>
          <t/>
        </is>
      </c>
      <c r="J14" s="36" t="n">
        <v>0.12</v>
      </c>
      <c r="K14" s="37" t="inlineStr">
        <is>
          <t>Electronics (B2C)</t>
        </is>
      </c>
      <c r="L14" s="38" t="inlineStr">
        <is>
          <t>Developer of application controlled LED lights. The company develops LED lights that can be used by the user as per their need.</t>
        </is>
      </c>
      <c r="M14" s="39" t="inlineStr">
        <is>
          <t>eLab Accelerator</t>
        </is>
      </c>
      <c r="N14" s="40" t="inlineStr">
        <is>
          <t>Accelerator/Incubator Backed</t>
        </is>
      </c>
      <c r="O14" s="41" t="inlineStr">
        <is>
          <t>Privately Held (backing)</t>
        </is>
      </c>
      <c r="P14" s="42" t="inlineStr">
        <is>
          <t>Los Angeles, CA</t>
        </is>
      </c>
      <c r="Q14" s="43" t="inlineStr">
        <is>
          <t>www.sunnlight.com</t>
        </is>
      </c>
      <c r="R14" s="114">
        <f>HYPERLINK("https://my.pitchbook.com?c=123484-96", "View company online")</f>
      </c>
    </row>
    <row r="15">
      <c r="A15" s="9" t="inlineStr">
        <is>
          <t>162373-69</t>
        </is>
      </c>
      <c r="B15" s="10" t="inlineStr">
        <is>
          <t>Zungle Panther</t>
        </is>
      </c>
      <c r="C15" s="11" t="n">
        <v>6.502371125842983</v>
      </c>
      <c r="D15" s="12" t="n">
        <v>96.28104750713446</v>
      </c>
      <c r="E15" s="13" t="inlineStr">
        <is>
          <t/>
        </is>
      </c>
      <c r="F15" s="14" t="n">
        <v>181.0</v>
      </c>
      <c r="G15" s="15" t="n">
        <v>148897.0</v>
      </c>
      <c r="H15" s="16" t="inlineStr">
        <is>
          <t/>
        </is>
      </c>
      <c r="I15" s="17" t="inlineStr">
        <is>
          <t/>
        </is>
      </c>
      <c r="J15" s="18" t="inlineStr">
        <is>
          <t/>
        </is>
      </c>
      <c r="K15" s="19" t="inlineStr">
        <is>
          <t>Accessories</t>
        </is>
      </c>
      <c r="L15" s="20" t="inlineStr">
        <is>
          <t>Developer of bone conduction audio sunglasses. The company manufactures sunglasses with built-in bone conduction speaker and noise canceling microphone to transmit sound waves to the skull via vibrations.</t>
        </is>
      </c>
      <c r="M15" s="21" t="inlineStr">
        <is>
          <t/>
        </is>
      </c>
      <c r="N15" s="22" t="inlineStr">
        <is>
          <t>Angel-Backed</t>
        </is>
      </c>
      <c r="O15" s="23" t="inlineStr">
        <is>
          <t>Privately Held (backing)</t>
        </is>
      </c>
      <c r="P15" s="24" t="inlineStr">
        <is>
          <t>Los Angeles, CA</t>
        </is>
      </c>
      <c r="Q15" s="25" t="inlineStr">
        <is>
          <t>www.zungleinc.com</t>
        </is>
      </c>
      <c r="R15" s="113">
        <f>HYPERLINK("https://my.pitchbook.com?c=162373-69", "View company online")</f>
      </c>
    </row>
    <row r="16">
      <c r="A16" s="27" t="inlineStr">
        <is>
          <t>103179-70</t>
        </is>
      </c>
      <c r="B16" s="28" t="inlineStr">
        <is>
          <t>Zumeo</t>
        </is>
      </c>
      <c r="C16" s="29" t="n">
        <v>0.0</v>
      </c>
      <c r="D16" s="30" t="n">
        <v>2.5405405405405403</v>
      </c>
      <c r="E16" s="31" t="inlineStr">
        <is>
          <t/>
        </is>
      </c>
      <c r="F16" s="32" t="n">
        <v>84.0</v>
      </c>
      <c r="G16" s="33" t="inlineStr">
        <is>
          <t/>
        </is>
      </c>
      <c r="H16" s="34" t="inlineStr">
        <is>
          <t/>
        </is>
      </c>
      <c r="I16" s="35" t="n">
        <v>1.0</v>
      </c>
      <c r="J16" s="36" t="n">
        <v>0.1</v>
      </c>
      <c r="K16" s="37" t="inlineStr">
        <is>
          <t>Other IT Services</t>
        </is>
      </c>
      <c r="L16" s="38" t="inlineStr">
        <is>
          <t>Provider of web design services. The company specializes in designing and developing graphical user interface, web and mobile architecture.</t>
        </is>
      </c>
      <c r="M16" s="39" t="inlineStr">
        <is>
          <t/>
        </is>
      </c>
      <c r="N16" s="40" t="inlineStr">
        <is>
          <t>Angel-Backed</t>
        </is>
      </c>
      <c r="O16" s="41" t="inlineStr">
        <is>
          <t>Privately Held (backing)</t>
        </is>
      </c>
      <c r="P16" s="42" t="inlineStr">
        <is>
          <t>San Francisco, CA</t>
        </is>
      </c>
      <c r="Q16" s="43" t="inlineStr">
        <is>
          <t>www.zumeodesign.com</t>
        </is>
      </c>
      <c r="R16" s="114">
        <f>HYPERLINK("https://my.pitchbook.com?c=103179-70", "View company online")</f>
      </c>
    </row>
    <row r="17">
      <c r="A17" s="9" t="inlineStr">
        <is>
          <t>170046-01</t>
        </is>
      </c>
      <c r="B17" s="10" t="inlineStr">
        <is>
          <t>Zuma 4 Productions</t>
        </is>
      </c>
      <c r="C17" s="11" t="inlineStr">
        <is>
          <t/>
        </is>
      </c>
      <c r="D17" s="12" t="inlineStr">
        <is>
          <t/>
        </is>
      </c>
      <c r="E17" s="13" t="inlineStr">
        <is>
          <t/>
        </is>
      </c>
      <c r="F17" s="14" t="inlineStr">
        <is>
          <t/>
        </is>
      </c>
      <c r="G17" s="15" t="inlineStr">
        <is>
          <t/>
        </is>
      </c>
      <c r="H17" s="16" t="inlineStr">
        <is>
          <t/>
        </is>
      </c>
      <c r="I17" s="17" t="inlineStr">
        <is>
          <t/>
        </is>
      </c>
      <c r="J17" s="18" t="n">
        <v>0.1</v>
      </c>
      <c r="K17" s="19" t="inlineStr">
        <is>
          <t>Other Business Products and Services</t>
        </is>
      </c>
      <c r="L17" s="20" t="inlineStr">
        <is>
          <t>The company is currently operating in Stealth mode.</t>
        </is>
      </c>
      <c r="M17" s="21" t="inlineStr">
        <is>
          <t/>
        </is>
      </c>
      <c r="N17" s="22" t="inlineStr">
        <is>
          <t>Angel-Backed</t>
        </is>
      </c>
      <c r="O17" s="23" t="inlineStr">
        <is>
          <t>Privately Held (backing)</t>
        </is>
      </c>
      <c r="P17" s="24" t="inlineStr">
        <is>
          <t>Malibu, CA</t>
        </is>
      </c>
      <c r="Q17" s="25" t="inlineStr">
        <is>
          <t/>
        </is>
      </c>
      <c r="R17" s="113">
        <f>HYPERLINK("https://my.pitchbook.com?c=170046-01", "View company online")</f>
      </c>
    </row>
    <row r="18">
      <c r="A18" s="27" t="inlineStr">
        <is>
          <t>102923-56</t>
        </is>
      </c>
      <c r="B18" s="28" t="inlineStr">
        <is>
          <t>Zulu</t>
        </is>
      </c>
      <c r="C18" s="29" t="n">
        <v>0.0</v>
      </c>
      <c r="D18" s="30" t="n">
        <v>0.1343084241205096</v>
      </c>
      <c r="E18" s="31" t="inlineStr">
        <is>
          <t/>
        </is>
      </c>
      <c r="F18" s="32" t="n">
        <v>7.0</v>
      </c>
      <c r="G18" s="33" t="n">
        <v>21.0</v>
      </c>
      <c r="H18" s="34" t="n">
        <v>47.0</v>
      </c>
      <c r="I18" s="35" t="n">
        <v>6.0</v>
      </c>
      <c r="J18" s="36" t="n">
        <v>1.25</v>
      </c>
      <c r="K18" s="37" t="inlineStr">
        <is>
          <t>Internet Retail</t>
        </is>
      </c>
      <c r="L18" s="38" t="inlineStr">
        <is>
          <t>Provider of a community-based grocery shopping application. The company offers an application which helps users to select the products from local stores to help local retailers grow their business and improve customer retention</t>
        </is>
      </c>
      <c r="M18" s="39" t="inlineStr">
        <is>
          <t/>
        </is>
      </c>
      <c r="N18" s="40" t="inlineStr">
        <is>
          <t>Angel-Backed</t>
        </is>
      </c>
      <c r="O18" s="41" t="inlineStr">
        <is>
          <t>Privately Held (backing)</t>
        </is>
      </c>
      <c r="P18" s="42" t="inlineStr">
        <is>
          <t>Sunnyvale, CA</t>
        </is>
      </c>
      <c r="Q18" s="43" t="inlineStr">
        <is>
          <t>www.citykart.net</t>
        </is>
      </c>
      <c r="R18" s="114">
        <f>HYPERLINK("https://my.pitchbook.com?c=102923-56", "View company online")</f>
      </c>
    </row>
    <row r="19">
      <c r="A19" s="9" t="inlineStr">
        <is>
          <t>125688-43</t>
        </is>
      </c>
      <c r="B19" s="10" t="inlineStr">
        <is>
          <t>Zugphonics</t>
        </is>
      </c>
      <c r="C19" s="11" t="inlineStr">
        <is>
          <t/>
        </is>
      </c>
      <c r="D19" s="12" t="inlineStr">
        <is>
          <t/>
        </is>
      </c>
      <c r="E19" s="13" t="inlineStr">
        <is>
          <t/>
        </is>
      </c>
      <c r="F19" s="14" t="inlineStr">
        <is>
          <t/>
        </is>
      </c>
      <c r="G19" s="15" t="inlineStr">
        <is>
          <t/>
        </is>
      </c>
      <c r="H19" s="16" t="inlineStr">
        <is>
          <t/>
        </is>
      </c>
      <c r="I19" s="17" t="inlineStr">
        <is>
          <t/>
        </is>
      </c>
      <c r="J19" s="18" t="n">
        <v>3.66</v>
      </c>
      <c r="K19" s="19" t="inlineStr">
        <is>
          <t>Educational Software</t>
        </is>
      </c>
      <c r="L19" s="20" t="inlineStr">
        <is>
          <t>Developer of multisensory phonics and reading fluency systems designed to teach, engage and entertain children. The company's multisensory phonics and reading fluency systems combines multi-sensory learning, humor and exploratory play, uses bluetooth connected smart letters and multi-sensory games to explore early reading skills and offers electronic educational products and devices for children that help them learn faster and develop their senses better, enabling them to learn faster and discover letters and sounds using a microscope.</t>
        </is>
      </c>
      <c r="M19" s="21" t="inlineStr">
        <is>
          <t>Andre Agassi, Jerry Brown (Investor)</t>
        </is>
      </c>
      <c r="N19" s="22" t="inlineStr">
        <is>
          <t>Angel-Backed</t>
        </is>
      </c>
      <c r="O19" s="23" t="inlineStr">
        <is>
          <t>Privately Held (backing)</t>
        </is>
      </c>
      <c r="P19" s="24" t="inlineStr">
        <is>
          <t>Sunnyvale, CA</t>
        </is>
      </c>
      <c r="Q19" s="25" t="inlineStr">
        <is>
          <t>www.zugworks.com</t>
        </is>
      </c>
      <c r="R19" s="113">
        <f>HYPERLINK("https://my.pitchbook.com?c=125688-43", "View company online")</f>
      </c>
    </row>
    <row r="20">
      <c r="A20" s="27" t="inlineStr">
        <is>
          <t>178186-33</t>
        </is>
      </c>
      <c r="B20" s="28" t="inlineStr">
        <is>
          <t>ZPREDICTA (formerly Ixchel Scientific)</t>
        </is>
      </c>
      <c r="C20" s="86">
        <f>HYPERLINK("https://my.pitchbook.com?rrp=178186-33&amp;type=c", "This Company's information is not available to download. Need this Company? Request availability")</f>
      </c>
      <c r="D20" s="30" t="inlineStr">
        <is>
          <t/>
        </is>
      </c>
      <c r="E20" s="31" t="inlineStr">
        <is>
          <t/>
        </is>
      </c>
      <c r="F20" s="32" t="inlineStr">
        <is>
          <t/>
        </is>
      </c>
      <c r="G20" s="33" t="inlineStr">
        <is>
          <t/>
        </is>
      </c>
      <c r="H20" s="34" t="inlineStr">
        <is>
          <t/>
        </is>
      </c>
      <c r="I20" s="35" t="inlineStr">
        <is>
          <t/>
        </is>
      </c>
      <c r="J20" s="36" t="inlineStr">
        <is>
          <t/>
        </is>
      </c>
      <c r="K20" s="37" t="inlineStr">
        <is>
          <t/>
        </is>
      </c>
      <c r="L20" s="38" t="inlineStr">
        <is>
          <t/>
        </is>
      </c>
      <c r="M20" s="39" t="inlineStr">
        <is>
          <t/>
        </is>
      </c>
      <c r="N20" s="40" t="inlineStr">
        <is>
          <t/>
        </is>
      </c>
      <c r="O20" s="41" t="inlineStr">
        <is>
          <t/>
        </is>
      </c>
      <c r="P20" s="42" t="inlineStr">
        <is>
          <t/>
        </is>
      </c>
      <c r="Q20" s="43" t="inlineStr">
        <is>
          <t/>
        </is>
      </c>
      <c r="R20" s="44" t="inlineStr">
        <is>
          <t/>
        </is>
      </c>
    </row>
    <row r="21">
      <c r="A21" s="9" t="inlineStr">
        <is>
          <t>103524-58</t>
        </is>
      </c>
      <c r="B21" s="10" t="inlineStr">
        <is>
          <t>Z-Plane</t>
        </is>
      </c>
      <c r="C21" s="11" t="n">
        <v>0.0</v>
      </c>
      <c r="D21" s="12" t="n">
        <v>0.13513513513513514</v>
      </c>
      <c r="E21" s="13" t="inlineStr">
        <is>
          <t/>
        </is>
      </c>
      <c r="F21" s="14" t="n">
        <v>5.0</v>
      </c>
      <c r="G21" s="15" t="inlineStr">
        <is>
          <t/>
        </is>
      </c>
      <c r="H21" s="16" t="inlineStr">
        <is>
          <t/>
        </is>
      </c>
      <c r="I21" s="17" t="inlineStr">
        <is>
          <t/>
        </is>
      </c>
      <c r="J21" s="18" t="n">
        <v>1.85</v>
      </c>
      <c r="K21" s="19" t="inlineStr">
        <is>
          <t>Other Commercial Services</t>
        </is>
      </c>
      <c r="L21" s="20" t="inlineStr">
        <is>
          <t>Developer of a high-speed electronic packaging technology. The company offers packaging technology for high-speed telecommunications and computing equipment, including routers, servers and switches.</t>
        </is>
      </c>
      <c r="M21" s="21" t="inlineStr">
        <is>
          <t/>
        </is>
      </c>
      <c r="N21" s="22" t="inlineStr">
        <is>
          <t>Angel-Backed</t>
        </is>
      </c>
      <c r="O21" s="23" t="inlineStr">
        <is>
          <t>Privately Held (backing)</t>
        </is>
      </c>
      <c r="P21" s="24" t="inlineStr">
        <is>
          <t>Palo Alto, CA</t>
        </is>
      </c>
      <c r="Q21" s="25" t="inlineStr">
        <is>
          <t>www.z-planeinc.com</t>
        </is>
      </c>
      <c r="R21" s="113">
        <f>HYPERLINK("https://my.pitchbook.com?c=103524-58", "View company online")</f>
      </c>
    </row>
    <row r="22">
      <c r="A22" s="27" t="inlineStr">
        <is>
          <t>150247-72</t>
        </is>
      </c>
      <c r="B22" s="28" t="inlineStr">
        <is>
          <t>ZPillow</t>
        </is>
      </c>
      <c r="C22" s="29" t="n">
        <v>0.0</v>
      </c>
      <c r="D22" s="30" t="n">
        <v>0.05804676926637133</v>
      </c>
      <c r="E22" s="31" t="inlineStr">
        <is>
          <t/>
        </is>
      </c>
      <c r="F22" s="32" t="n">
        <v>3.0</v>
      </c>
      <c r="G22" s="33" t="n">
        <v>45.0</v>
      </c>
      <c r="H22" s="34" t="n">
        <v>5.0</v>
      </c>
      <c r="I22" s="35" t="inlineStr">
        <is>
          <t/>
        </is>
      </c>
      <c r="J22" s="36" t="n">
        <v>0.1</v>
      </c>
      <c r="K22" s="37" t="inlineStr">
        <is>
          <t>Other Consumer Durables</t>
        </is>
      </c>
      <c r="L22" s="38" t="inlineStr">
        <is>
          <t>Provider of a noise cancellation pillow. The company offers noise cancellation and reduction technology inside pillows.</t>
        </is>
      </c>
      <c r="M22" s="39" t="inlineStr">
        <is>
          <t>Founder.org, LAUNCH (UC Berkeley)</t>
        </is>
      </c>
      <c r="N22" s="40" t="inlineStr">
        <is>
          <t>Accelerator/Incubator Backed</t>
        </is>
      </c>
      <c r="O22" s="41" t="inlineStr">
        <is>
          <t>Privately Held (backing)</t>
        </is>
      </c>
      <c r="P22" s="42" t="inlineStr">
        <is>
          <t>Sunnyvale, CA</t>
        </is>
      </c>
      <c r="Q22" s="43" t="inlineStr">
        <is>
          <t>www.zpillow.com</t>
        </is>
      </c>
      <c r="R22" s="114">
        <f>HYPERLINK("https://my.pitchbook.com?c=150247-72", "View company online")</f>
      </c>
    </row>
    <row r="23">
      <c r="A23" s="9" t="inlineStr">
        <is>
          <t>103592-62</t>
        </is>
      </c>
      <c r="B23" s="10" t="inlineStr">
        <is>
          <t>Zoupons</t>
        </is>
      </c>
      <c r="C23" s="11" t="n">
        <v>-0.032363052026616566</v>
      </c>
      <c r="D23" s="12" t="n">
        <v>11.640126035078135</v>
      </c>
      <c r="E23" s="13" t="inlineStr">
        <is>
          <t/>
        </is>
      </c>
      <c r="F23" s="14" t="n">
        <v>70.0</v>
      </c>
      <c r="G23" s="15" t="n">
        <v>648.0</v>
      </c>
      <c r="H23" s="16" t="n">
        <v>14862.0</v>
      </c>
      <c r="I23" s="17" t="inlineStr">
        <is>
          <t/>
        </is>
      </c>
      <c r="J23" s="18" t="n">
        <v>0.3</v>
      </c>
      <c r="K23" s="19" t="inlineStr">
        <is>
          <t>Other Commercial Services</t>
        </is>
      </c>
      <c r="L23" s="20" t="inlineStr">
        <is>
          <t>Provider of a mobile wallet service. The company provides a mobile wallet which helps shoppers to find coupons and deals. The company also provides a marketing tool for local businesses.</t>
        </is>
      </c>
      <c r="M23" s="21" t="inlineStr">
        <is>
          <t/>
        </is>
      </c>
      <c r="N23" s="22" t="inlineStr">
        <is>
          <t>Angel-Backed</t>
        </is>
      </c>
      <c r="O23" s="23" t="inlineStr">
        <is>
          <t>Privately Held (backing)</t>
        </is>
      </c>
      <c r="P23" s="24" t="inlineStr">
        <is>
          <t>Irvine, CA</t>
        </is>
      </c>
      <c r="Q23" s="25" t="inlineStr">
        <is>
          <t>www.zoupons.com</t>
        </is>
      </c>
      <c r="R23" s="113">
        <f>HYPERLINK("https://my.pitchbook.com?c=103592-62", "View company online")</f>
      </c>
    </row>
    <row r="24">
      <c r="A24" s="27" t="inlineStr">
        <is>
          <t>172066-15</t>
        </is>
      </c>
      <c r="B24" s="28" t="inlineStr">
        <is>
          <t>Zorroa</t>
        </is>
      </c>
      <c r="C24" s="86">
        <f>HYPERLINK("https://my.pitchbook.com?rrp=172066-15&amp;type=c", "This Company's information is not available to download. Need this Company? Request availability")</f>
      </c>
      <c r="D24" s="30" t="inlineStr">
        <is>
          <t/>
        </is>
      </c>
      <c r="E24" s="31" t="inlineStr">
        <is>
          <t/>
        </is>
      </c>
      <c r="F24" s="32" t="inlineStr">
        <is>
          <t/>
        </is>
      </c>
      <c r="G24" s="33" t="inlineStr">
        <is>
          <t/>
        </is>
      </c>
      <c r="H24" s="34" t="inlineStr">
        <is>
          <t/>
        </is>
      </c>
      <c r="I24" s="35" t="inlineStr">
        <is>
          <t/>
        </is>
      </c>
      <c r="J24" s="36" t="inlineStr">
        <is>
          <t/>
        </is>
      </c>
      <c r="K24" s="37" t="inlineStr">
        <is>
          <t/>
        </is>
      </c>
      <c r="L24" s="38" t="inlineStr">
        <is>
          <t/>
        </is>
      </c>
      <c r="M24" s="39" t="inlineStr">
        <is>
          <t/>
        </is>
      </c>
      <c r="N24" s="40" t="inlineStr">
        <is>
          <t/>
        </is>
      </c>
      <c r="O24" s="41" t="inlineStr">
        <is>
          <t/>
        </is>
      </c>
      <c r="P24" s="42" t="inlineStr">
        <is>
          <t/>
        </is>
      </c>
      <c r="Q24" s="43" t="inlineStr">
        <is>
          <t/>
        </is>
      </c>
      <c r="R24" s="44" t="inlineStr">
        <is>
          <t/>
        </is>
      </c>
    </row>
    <row r="25">
      <c r="A25" s="9" t="inlineStr">
        <is>
          <t>103576-87</t>
        </is>
      </c>
      <c r="B25" s="10" t="inlineStr">
        <is>
          <t>Zoondy</t>
        </is>
      </c>
      <c r="C25" s="11" t="n">
        <v>-0.10857578786859685</v>
      </c>
      <c r="D25" s="12" t="n">
        <v>2.8148631340046224</v>
      </c>
      <c r="E25" s="13" t="inlineStr">
        <is>
          <t/>
        </is>
      </c>
      <c r="F25" s="14" t="n">
        <v>87.0</v>
      </c>
      <c r="G25" s="15" t="n">
        <v>123.0</v>
      </c>
      <c r="H25" s="16" t="n">
        <v>2267.0</v>
      </c>
      <c r="I25" s="17" t="n">
        <v>6.0</v>
      </c>
      <c r="J25" s="18" t="n">
        <v>0.18</v>
      </c>
      <c r="K25" s="19" t="inlineStr">
        <is>
          <t>Internet Retail</t>
        </is>
      </c>
      <c r="L25" s="20" t="inlineStr">
        <is>
          <t>Provider of an online marketplace for executive expertise. The company develops an online peer-to-peer marketplace that allows users to sell, buy and auction their talents, skills, expertise and knowledge.</t>
        </is>
      </c>
      <c r="M25" s="21" t="inlineStr">
        <is>
          <t>Cairngorm LLC</t>
        </is>
      </c>
      <c r="N25" s="22" t="inlineStr">
        <is>
          <t>Angel-Backed</t>
        </is>
      </c>
      <c r="O25" s="23" t="inlineStr">
        <is>
          <t>Privately Held (backing)</t>
        </is>
      </c>
      <c r="P25" s="24" t="inlineStr">
        <is>
          <t>New York, NY</t>
        </is>
      </c>
      <c r="Q25" s="25" t="inlineStr">
        <is>
          <t>www.zoondy.com</t>
        </is>
      </c>
      <c r="R25" s="113">
        <f>HYPERLINK("https://my.pitchbook.com?c=103576-87", "View company online")</f>
      </c>
    </row>
    <row r="26">
      <c r="A26" s="27" t="inlineStr">
        <is>
          <t>103744-81</t>
        </is>
      </c>
      <c r="B26" s="28" t="inlineStr">
        <is>
          <t>Zoomvy</t>
        </is>
      </c>
      <c r="C26" s="29" t="n">
        <v>-0.019906826381453278</v>
      </c>
      <c r="D26" s="30" t="n">
        <v>4.749541914796152</v>
      </c>
      <c r="E26" s="31" t="inlineStr">
        <is>
          <t/>
        </is>
      </c>
      <c r="F26" s="32" t="n">
        <v>10.0</v>
      </c>
      <c r="G26" s="33" t="n">
        <v>3.0</v>
      </c>
      <c r="H26" s="34" t="n">
        <v>3267.0</v>
      </c>
      <c r="I26" s="35" t="n">
        <v>1.0</v>
      </c>
      <c r="J26" s="36" t="inlineStr">
        <is>
          <t/>
        </is>
      </c>
      <c r="K26" s="37" t="inlineStr">
        <is>
          <t>Social/Platform Software</t>
        </is>
      </c>
      <c r="L26" s="38" t="inlineStr">
        <is>
          <t>Developer of a social shopping and messaging platform.The company provides a platform that enables users to text, share photos and videos, and to have video chats that allow friends to see what users are viewing in the store, as well as face-to-face interaction.</t>
        </is>
      </c>
      <c r="M26" s="39" t="inlineStr">
        <is>
          <t>Plug and Play Tech Center</t>
        </is>
      </c>
      <c r="N26" s="40" t="inlineStr">
        <is>
          <t>Accelerator/Incubator Backed</t>
        </is>
      </c>
      <c r="O26" s="41" t="inlineStr">
        <is>
          <t>Privately Held (backing)</t>
        </is>
      </c>
      <c r="P26" s="42" t="inlineStr">
        <is>
          <t>CA</t>
        </is>
      </c>
      <c r="Q26" s="43" t="inlineStr">
        <is>
          <t>zoomvy.com</t>
        </is>
      </c>
      <c r="R26" s="114">
        <f>HYPERLINK("https://my.pitchbook.com?c=103744-81", "View company online")</f>
      </c>
    </row>
    <row r="27">
      <c r="A27" s="9" t="inlineStr">
        <is>
          <t>124046-02</t>
        </is>
      </c>
      <c r="B27" s="10" t="inlineStr">
        <is>
          <t>Zonetail</t>
        </is>
      </c>
      <c r="C27" s="11" t="n">
        <v>-0.0393455708409219</v>
      </c>
      <c r="D27" s="12" t="n">
        <v>0.8790273324171629</v>
      </c>
      <c r="E27" s="13" t="inlineStr">
        <is>
          <t/>
        </is>
      </c>
      <c r="F27" s="14" t="n">
        <v>20.0</v>
      </c>
      <c r="G27" s="15" t="inlineStr">
        <is>
          <t/>
        </is>
      </c>
      <c r="H27" s="16" t="n">
        <v>434.0</v>
      </c>
      <c r="I27" s="17" t="n">
        <v>18.0</v>
      </c>
      <c r="J27" s="18" t="n">
        <v>3.24</v>
      </c>
      <c r="K27" s="19" t="inlineStr">
        <is>
          <t>Application Software</t>
        </is>
      </c>
      <c r="L27" s="20" t="inlineStr">
        <is>
          <t>Developer of a mobile application for hotels and condos that connects guests to their hotels and surroundings. The company provides users with access to and interactions with property amenities and services, combined with local restaurants, stores, services, entertainment and attractions.</t>
        </is>
      </c>
      <c r="M27" s="21" t="inlineStr">
        <is>
          <t>Hugh McCauley</t>
        </is>
      </c>
      <c r="N27" s="22" t="inlineStr">
        <is>
          <t>Angel-Backed</t>
        </is>
      </c>
      <c r="O27" s="23" t="inlineStr">
        <is>
          <t>Privately Held (backing)</t>
        </is>
      </c>
      <c r="P27" s="24" t="inlineStr">
        <is>
          <t>Toronto, Canada</t>
        </is>
      </c>
      <c r="Q27" s="25" t="inlineStr">
        <is>
          <t>www.zonetail.com</t>
        </is>
      </c>
      <c r="R27" s="113">
        <f>HYPERLINK("https://my.pitchbook.com?c=124046-02", "View company online")</f>
      </c>
    </row>
    <row r="28">
      <c r="A28" s="27" t="inlineStr">
        <is>
          <t>123222-43</t>
        </is>
      </c>
      <c r="B28" s="28" t="inlineStr">
        <is>
          <t>ZoneOne Pharma</t>
        </is>
      </c>
      <c r="C28" s="29" t="n">
        <v>0.0</v>
      </c>
      <c r="D28" s="30" t="n">
        <v>0.2702702702702703</v>
      </c>
      <c r="E28" s="31" t="inlineStr">
        <is>
          <t/>
        </is>
      </c>
      <c r="F28" s="32" t="n">
        <v>10.0</v>
      </c>
      <c r="G28" s="33" t="inlineStr">
        <is>
          <t/>
        </is>
      </c>
      <c r="H28" s="34" t="inlineStr">
        <is>
          <t/>
        </is>
      </c>
      <c r="I28" s="35" t="inlineStr">
        <is>
          <t/>
        </is>
      </c>
      <c r="J28" s="36" t="inlineStr">
        <is>
          <t/>
        </is>
      </c>
      <c r="K28" s="37" t="inlineStr">
        <is>
          <t>Therapeutic Devices</t>
        </is>
      </c>
      <c r="L28" s="38" t="inlineStr">
        <is>
          <t>Developer of nano-scale therapeutics. The company develops liposomal chelator therapeutics and contract formulation of liposome drugs.</t>
        </is>
      </c>
      <c r="M28" s="39" t="inlineStr">
        <is>
          <t>California Institute for Quantitative Biosciences, U.S. Department of Health and Human Services</t>
        </is>
      </c>
      <c r="N28" s="40" t="inlineStr">
        <is>
          <t>Accelerator/Incubator Backed</t>
        </is>
      </c>
      <c r="O28" s="41" t="inlineStr">
        <is>
          <t>Privately Held (backing)</t>
        </is>
      </c>
      <c r="P28" s="42" t="inlineStr">
        <is>
          <t>San Francisco, CA</t>
        </is>
      </c>
      <c r="Q28" s="43" t="inlineStr">
        <is>
          <t>www.zoneonepharma.com</t>
        </is>
      </c>
      <c r="R28" s="114">
        <f>HYPERLINK("https://my.pitchbook.com?c=123222-43", "View company online")</f>
      </c>
    </row>
    <row r="29">
      <c r="A29" s="9" t="inlineStr">
        <is>
          <t>106852-06</t>
        </is>
      </c>
      <c r="B29" s="10" t="inlineStr">
        <is>
          <t>ZON</t>
        </is>
      </c>
      <c r="C29" s="11" t="n">
        <v>-0.16820247957852483</v>
      </c>
      <c r="D29" s="12" t="n">
        <v>2.5153414204814353</v>
      </c>
      <c r="E29" s="13" t="inlineStr">
        <is>
          <t/>
        </is>
      </c>
      <c r="F29" s="14" t="n">
        <v>100.0</v>
      </c>
      <c r="G29" s="15" t="n">
        <v>2536.0</v>
      </c>
      <c r="H29" s="16" t="n">
        <v>534.0</v>
      </c>
      <c r="I29" s="17" t="n">
        <v>10.0</v>
      </c>
      <c r="J29" s="18" t="n">
        <v>4.01</v>
      </c>
      <c r="K29" s="19" t="inlineStr">
        <is>
          <t>Electronics (B2C)</t>
        </is>
      </c>
      <c r="L29" s="20" t="inlineStr">
        <is>
          <t>Provider of technology services catering to the charging demands of mobile device consumers. The company integrates mobile device charging power into every day consumer products, catering a global society by charging mobile devices with energy harnessed by the sun.</t>
        </is>
      </c>
      <c r="M29" s="21" t="inlineStr">
        <is>
          <t/>
        </is>
      </c>
      <c r="N29" s="22" t="inlineStr">
        <is>
          <t>Angel-Backed</t>
        </is>
      </c>
      <c r="O29" s="23" t="inlineStr">
        <is>
          <t>Privately Held (backing)</t>
        </is>
      </c>
      <c r="P29" s="24" t="inlineStr">
        <is>
          <t>El Segundo, CA</t>
        </is>
      </c>
      <c r="Q29" s="25" t="inlineStr">
        <is>
          <t>www.zon-technology.com</t>
        </is>
      </c>
      <c r="R29" s="113">
        <f>HYPERLINK("https://my.pitchbook.com?c=106852-06", "View company online")</f>
      </c>
    </row>
    <row r="30">
      <c r="A30" s="27" t="inlineStr">
        <is>
          <t>103726-63</t>
        </is>
      </c>
      <c r="B30" s="28" t="inlineStr">
        <is>
          <t>Zomazz</t>
        </is>
      </c>
      <c r="C30" s="29" t="n">
        <v>0.0</v>
      </c>
      <c r="D30" s="30" t="n">
        <v>0.35135135135135137</v>
      </c>
      <c r="E30" s="31" t="inlineStr">
        <is>
          <t/>
        </is>
      </c>
      <c r="F30" s="32" t="n">
        <v>13.0</v>
      </c>
      <c r="G30" s="33" t="inlineStr">
        <is>
          <t/>
        </is>
      </c>
      <c r="H30" s="34" t="inlineStr">
        <is>
          <t/>
        </is>
      </c>
      <c r="I30" s="35" t="n">
        <v>51.0</v>
      </c>
      <c r="J30" s="36" t="n">
        <v>2.04</v>
      </c>
      <c r="K30" s="37" t="inlineStr">
        <is>
          <t>Other Commercial Products</t>
        </is>
      </c>
      <c r="L30" s="38" t="inlineStr">
        <is>
          <t>Provider of Digital In-Mold Decoration (D-IMD) services. The company focuses on Original Equipment Manufacturers (OEMs) and their CM partners who create or sell electronics devices, such as smartphones, laptops, gaming consoles and controllers, health and beauty products, audio components and wearables.</t>
        </is>
      </c>
      <c r="M30" s="39" t="inlineStr">
        <is>
          <t>Robert Winter</t>
        </is>
      </c>
      <c r="N30" s="40" t="inlineStr">
        <is>
          <t>Angel-Backed</t>
        </is>
      </c>
      <c r="O30" s="41" t="inlineStr">
        <is>
          <t>Privately Held (backing)</t>
        </is>
      </c>
      <c r="P30" s="42" t="inlineStr">
        <is>
          <t>Monterey, CA</t>
        </is>
      </c>
      <c r="Q30" s="43" t="inlineStr">
        <is>
          <t>www.zomazz.com</t>
        </is>
      </c>
      <c r="R30" s="114">
        <f>HYPERLINK("https://my.pitchbook.com?c=103726-63", "View company online")</f>
      </c>
    </row>
    <row r="31">
      <c r="A31" s="9" t="inlineStr">
        <is>
          <t>154883-26</t>
        </is>
      </c>
      <c r="B31" s="10" t="inlineStr">
        <is>
          <t>Zokets</t>
        </is>
      </c>
      <c r="C31" s="11" t="n">
        <v>0.0</v>
      </c>
      <c r="D31" s="12" t="n">
        <v>0.06375019086883493</v>
      </c>
      <c r="E31" s="13" t="inlineStr">
        <is>
          <t/>
        </is>
      </c>
      <c r="F31" s="14" t="n">
        <v>2.0</v>
      </c>
      <c r="G31" s="15" t="inlineStr">
        <is>
          <t/>
        </is>
      </c>
      <c r="H31" s="16" t="n">
        <v>26.0</v>
      </c>
      <c r="I31" s="17" t="inlineStr">
        <is>
          <t/>
        </is>
      </c>
      <c r="J31" s="18" t="inlineStr">
        <is>
          <t/>
        </is>
      </c>
      <c r="K31" s="19" t="inlineStr">
        <is>
          <t>Application Software</t>
        </is>
      </c>
      <c r="L31" s="20" t="inlineStr">
        <is>
          <t>Provider of container delivery platform for cloud applications. The company leverages an application-centric container delivery platform to ensure deployment and scaling of container based workloads into any environment.</t>
        </is>
      </c>
      <c r="M31" s="21" t="inlineStr">
        <is>
          <t>Sand Hill Angels</t>
        </is>
      </c>
      <c r="N31" s="22" t="inlineStr">
        <is>
          <t>Angel-Backed</t>
        </is>
      </c>
      <c r="O31" s="23" t="inlineStr">
        <is>
          <t>Privately Held (backing)</t>
        </is>
      </c>
      <c r="P31" s="24" t="inlineStr">
        <is>
          <t>Santa Clara, CA</t>
        </is>
      </c>
      <c r="Q31" s="25" t="inlineStr">
        <is>
          <t>www.zokets.com</t>
        </is>
      </c>
      <c r="R31" s="113">
        <f>HYPERLINK("https://my.pitchbook.com?c=154883-26", "View company online")</f>
      </c>
    </row>
    <row r="32">
      <c r="A32" s="27" t="inlineStr">
        <is>
          <t>125747-02</t>
        </is>
      </c>
      <c r="B32" s="28" t="inlineStr">
        <is>
          <t>Zoheny</t>
        </is>
      </c>
      <c r="C32" s="29" t="n">
        <v>0.0</v>
      </c>
      <c r="D32" s="30" t="n">
        <v>0.017861339600470035</v>
      </c>
      <c r="E32" s="31" t="inlineStr">
        <is>
          <t/>
        </is>
      </c>
      <c r="F32" s="32" t="n">
        <v>1.0</v>
      </c>
      <c r="G32" s="33" t="n">
        <v>7.0</v>
      </c>
      <c r="H32" s="34" t="inlineStr">
        <is>
          <t/>
        </is>
      </c>
      <c r="I32" s="35" t="inlineStr">
        <is>
          <t/>
        </is>
      </c>
      <c r="J32" s="36" t="inlineStr">
        <is>
          <t/>
        </is>
      </c>
      <c r="K32" s="37" t="inlineStr">
        <is>
          <t>Internet Retail</t>
        </is>
      </c>
      <c r="L32" s="38" t="inlineStr">
        <is>
          <t>Developer and provider of an online marketplace to rent or sell items. The company offers an online platform for users to sell and rent cars, houses, equipment, furniture and various other daily usable goods.</t>
        </is>
      </c>
      <c r="M32" s="39" t="inlineStr">
        <is>
          <t>G Labs</t>
        </is>
      </c>
      <c r="N32" s="40" t="inlineStr">
        <is>
          <t>Accelerator/Incubator Backed</t>
        </is>
      </c>
      <c r="O32" s="41" t="inlineStr">
        <is>
          <t>Privately Held (backing)</t>
        </is>
      </c>
      <c r="P32" s="42" t="inlineStr">
        <is>
          <t>Diamond Bar, CA</t>
        </is>
      </c>
      <c r="Q32" s="43" t="inlineStr">
        <is>
          <t>www.zoheny.com</t>
        </is>
      </c>
      <c r="R32" s="114">
        <f>HYPERLINK("https://my.pitchbook.com?c=125747-02", "View company online")</f>
      </c>
    </row>
    <row r="33">
      <c r="A33" s="9" t="inlineStr">
        <is>
          <t>102917-98</t>
        </is>
      </c>
      <c r="B33" s="10" t="inlineStr">
        <is>
          <t>Zoeticx</t>
        </is>
      </c>
      <c r="C33" s="11" t="n">
        <v>0.0</v>
      </c>
      <c r="D33" s="12" t="n">
        <v>0.4792334707588945</v>
      </c>
      <c r="E33" s="13" t="inlineStr">
        <is>
          <t/>
        </is>
      </c>
      <c r="F33" s="14" t="n">
        <v>34.0</v>
      </c>
      <c r="G33" s="15" t="inlineStr">
        <is>
          <t/>
        </is>
      </c>
      <c r="H33" s="16" t="n">
        <v>14.0</v>
      </c>
      <c r="I33" s="17" t="n">
        <v>11.0</v>
      </c>
      <c r="J33" s="18" t="n">
        <v>0.58</v>
      </c>
      <c r="K33" s="19" t="inlineStr">
        <is>
          <t>Medical Records Systems</t>
        </is>
      </c>
      <c r="L33" s="20" t="inlineStr">
        <is>
          <t>Developer and provider of software services for healthcare industry. The company provides software suite for improving patient outcomes, enhancing the quality of care, containing costs and simplifying hospital administration while also allowing the integration and presentation of patient medical information.</t>
        </is>
      </c>
      <c r="M33" s="21" t="inlineStr">
        <is>
          <t/>
        </is>
      </c>
      <c r="N33" s="22" t="inlineStr">
        <is>
          <t>Angel-Backed</t>
        </is>
      </c>
      <c r="O33" s="23" t="inlineStr">
        <is>
          <t>Privately Held (backing)</t>
        </is>
      </c>
      <c r="P33" s="24" t="inlineStr">
        <is>
          <t>San Jose, CA</t>
        </is>
      </c>
      <c r="Q33" s="25" t="inlineStr">
        <is>
          <t>www.zoeticx.com</t>
        </is>
      </c>
      <c r="R33" s="113">
        <f>HYPERLINK("https://my.pitchbook.com?c=102917-98", "View company online")</f>
      </c>
    </row>
    <row r="34">
      <c r="A34" s="27" t="inlineStr">
        <is>
          <t>126195-76</t>
        </is>
      </c>
      <c r="B34" s="28" t="inlineStr">
        <is>
          <t>Zoe Media Group</t>
        </is>
      </c>
      <c r="C34" s="29" t="n">
        <v>-0.02125534679892363</v>
      </c>
      <c r="D34" s="30" t="n">
        <v>179.8418656681737</v>
      </c>
      <c r="E34" s="31" t="inlineStr">
        <is>
          <t/>
        </is>
      </c>
      <c r="F34" s="32" t="n">
        <v>640.0</v>
      </c>
      <c r="G34" s="33" t="n">
        <v>322925.0</v>
      </c>
      <c r="H34" s="34" t="n">
        <v>100190.0</v>
      </c>
      <c r="I34" s="35" t="inlineStr">
        <is>
          <t/>
        </is>
      </c>
      <c r="J34" s="36" t="inlineStr">
        <is>
          <t/>
        </is>
      </c>
      <c r="K34" s="37" t="inlineStr">
        <is>
          <t>Media and Information Services (B2B)</t>
        </is>
      </c>
      <c r="L34" s="38" t="inlineStr">
        <is>
          <t>Provider of digital content platform for fashion and lifestyle. The company's digital platform offers content related to daily fashion, beauty, lifestyle and provides with news subscription options.</t>
        </is>
      </c>
      <c r="M34" s="39" t="inlineStr">
        <is>
          <t>Adam Katz, Daniel Broukhim, Michael Broukhim, Sam Teller</t>
        </is>
      </c>
      <c r="N34" s="40" t="inlineStr">
        <is>
          <t>Angel-Backed</t>
        </is>
      </c>
      <c r="O34" s="41" t="inlineStr">
        <is>
          <t>Privately Held (backing)</t>
        </is>
      </c>
      <c r="P34" s="42" t="inlineStr">
        <is>
          <t>Los Angeles, CA</t>
        </is>
      </c>
      <c r="Q34" s="43" t="inlineStr">
        <is>
          <t>www.thezoereport.com</t>
        </is>
      </c>
      <c r="R34" s="114">
        <f>HYPERLINK("https://my.pitchbook.com?c=126195-76", "View company online")</f>
      </c>
    </row>
    <row r="35">
      <c r="A35" s="9" t="inlineStr">
        <is>
          <t>117128-62</t>
        </is>
      </c>
      <c r="B35" s="10" t="inlineStr">
        <is>
          <t>Zobreus Medical</t>
        </is>
      </c>
      <c r="C35" s="11" t="n">
        <v>-0.08158299958696574</v>
      </c>
      <c r="D35" s="12" t="n">
        <v>0.9166125595012846</v>
      </c>
      <c r="E35" s="13" t="inlineStr">
        <is>
          <t/>
        </is>
      </c>
      <c r="F35" s="14" t="n">
        <v>17.0</v>
      </c>
      <c r="G35" s="15" t="n">
        <v>56.0</v>
      </c>
      <c r="H35" s="16" t="n">
        <v>948.0</v>
      </c>
      <c r="I35" s="17" t="n">
        <v>10.0</v>
      </c>
      <c r="J35" s="18" t="inlineStr">
        <is>
          <t/>
        </is>
      </c>
      <c r="K35" s="19" t="inlineStr">
        <is>
          <t>Social/Platform Software</t>
        </is>
      </c>
      <c r="L35" s="20" t="inlineStr">
        <is>
          <t>Provider of a healthcare record management platform. The company's application-based platform enables healthcare organizations to integrate patient's medical data with their hospital's framework, store and analyze medical reports and manage vaccination records.</t>
        </is>
      </c>
      <c r="M35" s="21" t="inlineStr">
        <is>
          <t>StartX</t>
        </is>
      </c>
      <c r="N35" s="22" t="inlineStr">
        <is>
          <t>Accelerator/Incubator Backed</t>
        </is>
      </c>
      <c r="O35" s="23" t="inlineStr">
        <is>
          <t>Privately Held (backing)</t>
        </is>
      </c>
      <c r="P35" s="24" t="inlineStr">
        <is>
          <t>Emerald Hills, CA</t>
        </is>
      </c>
      <c r="Q35" s="25" t="inlineStr">
        <is>
          <t>www.zobreus.com</t>
        </is>
      </c>
      <c r="R35" s="113">
        <f>HYPERLINK("https://my.pitchbook.com?c=117128-62", "View company online")</f>
      </c>
    </row>
    <row r="36">
      <c r="A36" s="27" t="inlineStr">
        <is>
          <t>108380-80</t>
        </is>
      </c>
      <c r="B36" s="28" t="inlineStr">
        <is>
          <t>ZO Skin Health</t>
        </is>
      </c>
      <c r="C36" s="29" t="n">
        <v>0.3261975428507834</v>
      </c>
      <c r="D36" s="30" t="n">
        <v>27.387372378695147</v>
      </c>
      <c r="E36" s="31" t="inlineStr">
        <is>
          <t/>
        </is>
      </c>
      <c r="F36" s="32" t="n">
        <v>393.0</v>
      </c>
      <c r="G36" s="33" t="n">
        <v>52905.0</v>
      </c>
      <c r="H36" s="34" t="n">
        <v>7622.0</v>
      </c>
      <c r="I36" s="35" t="n">
        <v>7.0</v>
      </c>
      <c r="J36" s="36" t="n">
        <v>12.31</v>
      </c>
      <c r="K36" s="37" t="inlineStr">
        <is>
          <t>Personal Products</t>
        </is>
      </c>
      <c r="L36" s="38" t="inlineStr">
        <is>
          <t>Provider of skin care products intended to reduce acnes, aging, hyperpigmentation and inflammation. The company's skin care products made from finest ingredients and highest grade of technology enabling individuals to improve skin quality and remove facial melasma, deep wrinkles, age spots and acne scars.</t>
        </is>
      </c>
      <c r="M36" s="39" t="inlineStr">
        <is>
          <t/>
        </is>
      </c>
      <c r="N36" s="40" t="inlineStr">
        <is>
          <t>Angel-Backed</t>
        </is>
      </c>
      <c r="O36" s="41" t="inlineStr">
        <is>
          <t>Privately Held (backing)</t>
        </is>
      </c>
      <c r="P36" s="42" t="inlineStr">
        <is>
          <t>Irvine, CA</t>
        </is>
      </c>
      <c r="Q36" s="43" t="inlineStr">
        <is>
          <t>www.zoskinhealth.com</t>
        </is>
      </c>
      <c r="R36" s="114">
        <f>HYPERLINK("https://my.pitchbook.com?c=108380-80", "View company online")</f>
      </c>
    </row>
    <row r="37">
      <c r="A37" s="9" t="inlineStr">
        <is>
          <t>97680-25</t>
        </is>
      </c>
      <c r="B37" s="10" t="inlineStr">
        <is>
          <t>ZMenu</t>
        </is>
      </c>
      <c r="C37" s="11" t="n">
        <v>4.994765609693828</v>
      </c>
      <c r="D37" s="12" t="n">
        <v>5.486486486486487</v>
      </c>
      <c r="E37" s="13" t="inlineStr">
        <is>
          <t/>
        </is>
      </c>
      <c r="F37" s="14" t="n">
        <v>199.0</v>
      </c>
      <c r="G37" s="15" t="inlineStr">
        <is>
          <t/>
        </is>
      </c>
      <c r="H37" s="16" t="inlineStr">
        <is>
          <t/>
        </is>
      </c>
      <c r="I37" s="17" t="inlineStr">
        <is>
          <t/>
        </is>
      </c>
      <c r="J37" s="18" t="n">
        <v>0.2</v>
      </c>
      <c r="K37" s="19" t="inlineStr">
        <is>
          <t>Restaurants and Bars</t>
        </is>
      </c>
      <c r="L37" s="20" t="inlineStr">
        <is>
          <t>Provider of an online food discovery platform. The company provides photos and rating at individual dish level. It delights and inspires customers as well as helps them make decision quickly on which restaurant to go and what food to order.</t>
        </is>
      </c>
      <c r="M37" s="21" t="inlineStr">
        <is>
          <t>Tandem Capital</t>
        </is>
      </c>
      <c r="N37" s="22" t="inlineStr">
        <is>
          <t>Accelerator/Incubator Backed</t>
        </is>
      </c>
      <c r="O37" s="23" t="inlineStr">
        <is>
          <t>Privately Held (backing)</t>
        </is>
      </c>
      <c r="P37" s="24" t="inlineStr">
        <is>
          <t>Burlingame, CA</t>
        </is>
      </c>
      <c r="Q37" s="25" t="inlineStr">
        <is>
          <t>www.zmenu.com</t>
        </is>
      </c>
      <c r="R37" s="113">
        <f>HYPERLINK("https://my.pitchbook.com?c=97680-25", "View company online")</f>
      </c>
    </row>
    <row r="38">
      <c r="A38" s="27" t="inlineStr">
        <is>
          <t>171864-19</t>
        </is>
      </c>
      <c r="B38" s="28" t="inlineStr">
        <is>
          <t>Zizmos</t>
        </is>
      </c>
      <c r="C38" s="29" t="n">
        <v>0.27428911458389527</v>
      </c>
      <c r="D38" s="30" t="n">
        <v>0.8253470019129563</v>
      </c>
      <c r="E38" s="31" t="inlineStr">
        <is>
          <t/>
        </is>
      </c>
      <c r="F38" s="32" t="n">
        <v>53.0</v>
      </c>
      <c r="G38" s="33" t="n">
        <v>124.0</v>
      </c>
      <c r="H38" s="34" t="n">
        <v>100.0</v>
      </c>
      <c r="I38" s="35" t="inlineStr">
        <is>
          <t/>
        </is>
      </c>
      <c r="J38" s="36" t="n">
        <v>0.1</v>
      </c>
      <c r="K38" s="37" t="inlineStr">
        <is>
          <t>Information Services (B2C)</t>
        </is>
      </c>
      <c r="L38" s="38" t="inlineStr">
        <is>
          <t>Developer of a cloud based mobile and wireless sensor designed to detect earthquakes or other seismic activity. The company's provides seismic detection technology provides information using micro electro mechanical sensors that create a seismic network which monitors earthquakes, enabling users to get notified of earthquakes or any other shake hazards through their smartphones.</t>
        </is>
      </c>
      <c r="M38" s="39" t="inlineStr">
        <is>
          <t>Boulder Bits, Greg Lowitz, National Science Foundation, Verizon Communications</t>
        </is>
      </c>
      <c r="N38" s="40" t="inlineStr">
        <is>
          <t>Angel-Backed</t>
        </is>
      </c>
      <c r="O38" s="41" t="inlineStr">
        <is>
          <t>Privately Held (backing)</t>
        </is>
      </c>
      <c r="P38" s="42" t="inlineStr">
        <is>
          <t>Palo Alto, CA</t>
        </is>
      </c>
      <c r="Q38" s="43" t="inlineStr">
        <is>
          <t>www.zizmos.com</t>
        </is>
      </c>
      <c r="R38" s="114">
        <f>HYPERLINK("https://my.pitchbook.com?c=171864-19", "View company online")</f>
      </c>
    </row>
    <row r="39">
      <c r="A39" s="9" t="inlineStr">
        <is>
          <t>165948-94</t>
        </is>
      </c>
      <c r="B39" s="10" t="inlineStr">
        <is>
          <t>Ziyen</t>
        </is>
      </c>
      <c r="C39" s="11" t="n">
        <v>0.5020940283393994</v>
      </c>
      <c r="D39" s="12" t="n">
        <v>20.670236696323652</v>
      </c>
      <c r="E39" s="13" t="inlineStr">
        <is>
          <t/>
        </is>
      </c>
      <c r="F39" s="14" t="n">
        <v>12.0</v>
      </c>
      <c r="G39" s="15" t="n">
        <v>32889.0</v>
      </c>
      <c r="H39" s="16" t="inlineStr">
        <is>
          <t/>
        </is>
      </c>
      <c r="I39" s="17" t="inlineStr">
        <is>
          <t/>
        </is>
      </c>
      <c r="J39" s="18" t="inlineStr">
        <is>
          <t/>
        </is>
      </c>
      <c r="K39" s="19" t="inlineStr">
        <is>
          <t>Social/Platform Software</t>
        </is>
      </c>
      <c r="L39" s="20" t="inlineStr">
        <is>
          <t>Provider of a business intelligence platform. The company's marketing intelligence software offers sales lead generation and sales traffic tracking services to marketers.</t>
        </is>
      </c>
      <c r="M39" s="21" t="inlineStr">
        <is>
          <t>Privateer Lounge Innovation Center</t>
        </is>
      </c>
      <c r="N39" s="22" t="inlineStr">
        <is>
          <t>Accelerator/Incubator Backed</t>
        </is>
      </c>
      <c r="O39" s="23" t="inlineStr">
        <is>
          <t>Privately Held (backing)</t>
        </is>
      </c>
      <c r="P39" s="24" t="inlineStr">
        <is>
          <t>Fremont, CA</t>
        </is>
      </c>
      <c r="Q39" s="25" t="inlineStr">
        <is>
          <t>www.ziyen.com</t>
        </is>
      </c>
      <c r="R39" s="113">
        <f>HYPERLINK("https://my.pitchbook.com?c=165948-94", "View company online")</f>
      </c>
    </row>
    <row r="40">
      <c r="A40" s="27" t="inlineStr">
        <is>
          <t>115488-01</t>
        </is>
      </c>
      <c r="B40" s="28" t="inlineStr">
        <is>
          <t>Ziva Medical</t>
        </is>
      </c>
      <c r="C40" s="29" t="n">
        <v>0.0</v>
      </c>
      <c r="D40" s="30" t="n">
        <v>0.08291342189647274</v>
      </c>
      <c r="E40" s="31" t="inlineStr">
        <is>
          <t/>
        </is>
      </c>
      <c r="F40" s="32" t="n">
        <v>3.0</v>
      </c>
      <c r="G40" s="33" t="inlineStr">
        <is>
          <t/>
        </is>
      </c>
      <c r="H40" s="34" t="n">
        <v>30.0</v>
      </c>
      <c r="I40" s="35" t="inlineStr">
        <is>
          <t/>
        </is>
      </c>
      <c r="J40" s="36" t="inlineStr">
        <is>
          <t/>
        </is>
      </c>
      <c r="K40" s="37" t="inlineStr">
        <is>
          <t>Therapeutic Devices</t>
        </is>
      </c>
      <c r="L40" s="38" t="inlineStr">
        <is>
          <t>Developer of an infertility treatment device. The company develops a medical device used to treat infertility caused by polycystic ovary syndrome.</t>
        </is>
      </c>
      <c r="M40" s="39" t="inlineStr">
        <is>
          <t>National Science Foundation, StartX</t>
        </is>
      </c>
      <c r="N40" s="40" t="inlineStr">
        <is>
          <t>Accelerator/Incubator Backed</t>
        </is>
      </c>
      <c r="O40" s="41" t="inlineStr">
        <is>
          <t>Privately Held (backing)</t>
        </is>
      </c>
      <c r="P40" s="42" t="inlineStr">
        <is>
          <t>Oakland, CA</t>
        </is>
      </c>
      <c r="Q40" s="43" t="inlineStr">
        <is>
          <t>www.zivamedical.com</t>
        </is>
      </c>
      <c r="R40" s="114">
        <f>HYPERLINK("https://my.pitchbook.com?c=115488-01", "View company online")</f>
      </c>
    </row>
    <row r="41">
      <c r="A41" s="9" t="inlineStr">
        <is>
          <t>180844-75</t>
        </is>
      </c>
      <c r="B41" s="10" t="inlineStr">
        <is>
          <t>Zippy.ai</t>
        </is>
      </c>
      <c r="C41" s="11" t="inlineStr">
        <is>
          <t/>
        </is>
      </c>
      <c r="D41" s="12" t="inlineStr">
        <is>
          <t/>
        </is>
      </c>
      <c r="E41" s="13" t="inlineStr">
        <is>
          <t/>
        </is>
      </c>
      <c r="F41" s="14" t="inlineStr">
        <is>
          <t/>
        </is>
      </c>
      <c r="G41" s="15" t="inlineStr">
        <is>
          <t/>
        </is>
      </c>
      <c r="H41" s="16" t="inlineStr">
        <is>
          <t/>
        </is>
      </c>
      <c r="I41" s="17" t="inlineStr">
        <is>
          <t/>
        </is>
      </c>
      <c r="J41" s="18" t="inlineStr">
        <is>
          <t/>
        </is>
      </c>
      <c r="K41" s="19" t="inlineStr">
        <is>
          <t>Other Business Products and Services</t>
        </is>
      </c>
      <c r="L41" s="20" t="inlineStr">
        <is>
          <t>The company is currently operating in Stealth mode.</t>
        </is>
      </c>
      <c r="M41" s="21" t="inlineStr">
        <is>
          <t/>
        </is>
      </c>
      <c r="N41" s="22" t="inlineStr">
        <is>
          <t>Angel-Backed</t>
        </is>
      </c>
      <c r="O41" s="23" t="inlineStr">
        <is>
          <t>Privately Held (backing)</t>
        </is>
      </c>
      <c r="P41" s="24" t="inlineStr">
        <is>
          <t>Santa Clara, CA</t>
        </is>
      </c>
      <c r="Q41" s="25" t="inlineStr">
        <is>
          <t>www.zippy.ai</t>
        </is>
      </c>
      <c r="R41" s="113">
        <f>HYPERLINK("https://my.pitchbook.com?c=180844-75", "View company online")</f>
      </c>
    </row>
    <row r="42">
      <c r="A42" s="27" t="inlineStr">
        <is>
          <t>154894-96</t>
        </is>
      </c>
      <c r="B42" s="28" t="inlineStr">
        <is>
          <t>Zippia</t>
        </is>
      </c>
      <c r="C42" s="29" t="n">
        <v>1.6285778655688705</v>
      </c>
      <c r="D42" s="30" t="n">
        <v>16.74065700609547</v>
      </c>
      <c r="E42" s="31" t="inlineStr">
        <is>
          <t/>
        </is>
      </c>
      <c r="F42" s="32" t="n">
        <v>1192.0</v>
      </c>
      <c r="G42" s="33" t="n">
        <v>1531.0</v>
      </c>
      <c r="H42" s="34" t="n">
        <v>28.0</v>
      </c>
      <c r="I42" s="35" t="inlineStr">
        <is>
          <t/>
        </is>
      </c>
      <c r="J42" s="36" t="n">
        <v>3.15</v>
      </c>
      <c r="K42" s="37" t="inlineStr">
        <is>
          <t>Application Software</t>
        </is>
      </c>
      <c r="L42" s="38" t="inlineStr">
        <is>
          <t>Provider of an online personalized career and job insights platform created to help people discover career options. The company's platform uses machine learning and data analytics enabling users to discover career information regarding various industries.</t>
        </is>
      </c>
      <c r="M42" s="39" t="inlineStr">
        <is>
          <t>Correlation Ventures, Plug and Play Tech Center</t>
        </is>
      </c>
      <c r="N42" s="40" t="inlineStr">
        <is>
          <t>Accelerator/Incubator Backed</t>
        </is>
      </c>
      <c r="O42" s="41" t="inlineStr">
        <is>
          <t>Privately Held (backing)</t>
        </is>
      </c>
      <c r="P42" s="42" t="inlineStr">
        <is>
          <t>San Francisco, CA</t>
        </is>
      </c>
      <c r="Q42" s="43" t="inlineStr">
        <is>
          <t>www.zippia.com</t>
        </is>
      </c>
      <c r="R42" s="114">
        <f>HYPERLINK("https://my.pitchbook.com?c=154894-96", "View company online")</f>
      </c>
    </row>
    <row r="43">
      <c r="A43" s="9" t="inlineStr">
        <is>
          <t>171150-31</t>
        </is>
      </c>
      <c r="B43" s="10" t="inlineStr">
        <is>
          <t>Zink (Stealth)</t>
        </is>
      </c>
      <c r="C43" s="11" t="inlineStr">
        <is>
          <t/>
        </is>
      </c>
      <c r="D43" s="12" t="inlineStr">
        <is>
          <t/>
        </is>
      </c>
      <c r="E43" s="13" t="inlineStr">
        <is>
          <t/>
        </is>
      </c>
      <c r="F43" s="14" t="inlineStr">
        <is>
          <t/>
        </is>
      </c>
      <c r="G43" s="15" t="inlineStr">
        <is>
          <t/>
        </is>
      </c>
      <c r="H43" s="16" t="inlineStr">
        <is>
          <t/>
        </is>
      </c>
      <c r="I43" s="17" t="inlineStr">
        <is>
          <t/>
        </is>
      </c>
      <c r="J43" s="18" t="n">
        <v>0.09</v>
      </c>
      <c r="K43" s="19" t="inlineStr">
        <is>
          <t>Other Business Products and Services</t>
        </is>
      </c>
      <c r="L43" s="20" t="inlineStr">
        <is>
          <t>The company is currently operating in Stealth mode.</t>
        </is>
      </c>
      <c r="M43" s="21" t="inlineStr">
        <is>
          <t/>
        </is>
      </c>
      <c r="N43" s="22" t="inlineStr">
        <is>
          <t>Angel-Backed</t>
        </is>
      </c>
      <c r="O43" s="23" t="inlineStr">
        <is>
          <t>Privately Held (backing)</t>
        </is>
      </c>
      <c r="P43" s="24" t="inlineStr">
        <is>
          <t>Marina del Rey, CA</t>
        </is>
      </c>
      <c r="Q43" s="25" t="inlineStr">
        <is>
          <t/>
        </is>
      </c>
      <c r="R43" s="113">
        <f>HYPERLINK("https://my.pitchbook.com?c=171150-31", "View company online")</f>
      </c>
    </row>
    <row r="44">
      <c r="A44" s="27" t="inlineStr">
        <is>
          <t>55613-53</t>
        </is>
      </c>
      <c r="B44" s="28" t="inlineStr">
        <is>
          <t>Zingaya</t>
        </is>
      </c>
      <c r="C44" s="29" t="n">
        <v>-0.44060529211447746</v>
      </c>
      <c r="D44" s="30" t="n">
        <v>2.8054957895046324</v>
      </c>
      <c r="E44" s="31" t="inlineStr">
        <is>
          <t/>
        </is>
      </c>
      <c r="F44" s="32" t="n">
        <v>164.0</v>
      </c>
      <c r="G44" s="33" t="n">
        <v>1047.0</v>
      </c>
      <c r="H44" s="34" t="n">
        <v>374.0</v>
      </c>
      <c r="I44" s="35" t="n">
        <v>58.0</v>
      </c>
      <c r="J44" s="36" t="n">
        <v>1.15</v>
      </c>
      <c r="K44" s="37" t="inlineStr">
        <is>
          <t>Communication Software</t>
        </is>
      </c>
      <c r="L44" s="38" t="inlineStr">
        <is>
          <t>Developer of web-based VoIP applications. The company enables voice calls through any computer, right from a webpage. It offers seamless voice calling capability to website operators - whether it's a huge e-commerce enterprise or a startup company.</t>
        </is>
      </c>
      <c r="M44" s="39" t="inlineStr">
        <is>
          <t>Esther Dyson, Individual Investor, Open Capital</t>
        </is>
      </c>
      <c r="N44" s="40" t="inlineStr">
        <is>
          <t>Angel-Backed</t>
        </is>
      </c>
      <c r="O44" s="41" t="inlineStr">
        <is>
          <t>Privately Held (backing)</t>
        </is>
      </c>
      <c r="P44" s="42" t="inlineStr">
        <is>
          <t>Palo Alto, CA</t>
        </is>
      </c>
      <c r="Q44" s="43" t="inlineStr">
        <is>
          <t>www.zingaya.com</t>
        </is>
      </c>
      <c r="R44" s="114">
        <f>HYPERLINK("https://my.pitchbook.com?c=55613-53", "View company online")</f>
      </c>
    </row>
    <row r="45">
      <c r="A45" s="9" t="inlineStr">
        <is>
          <t>53486-29</t>
        </is>
      </c>
      <c r="B45" s="10" t="inlineStr">
        <is>
          <t>ZimpleMoney</t>
        </is>
      </c>
      <c r="C45" s="11" t="n">
        <v>-0.5947380136962066</v>
      </c>
      <c r="D45" s="12" t="n">
        <v>3.4097550334838473</v>
      </c>
      <c r="E45" s="13" t="inlineStr">
        <is>
          <t/>
        </is>
      </c>
      <c r="F45" s="14" t="n">
        <v>187.0</v>
      </c>
      <c r="G45" s="15" t="n">
        <v>390.0</v>
      </c>
      <c r="H45" s="16" t="n">
        <v>1078.0</v>
      </c>
      <c r="I45" s="17" t="inlineStr">
        <is>
          <t/>
        </is>
      </c>
      <c r="J45" s="18" t="inlineStr">
        <is>
          <t/>
        </is>
      </c>
      <c r="K45" s="19" t="inlineStr">
        <is>
          <t>Systems and Information Management</t>
        </is>
      </c>
      <c r="L45" s="20" t="inlineStr">
        <is>
          <t>Provider of cloud-based software platform to manage financial agreements and make payments.</t>
        </is>
      </c>
      <c r="M45" s="21" t="inlineStr">
        <is>
          <t>Individual Investor, Scott McGarrigle, Steven Rabago</t>
        </is>
      </c>
      <c r="N45" s="22" t="inlineStr">
        <is>
          <t>Angel-Backed</t>
        </is>
      </c>
      <c r="O45" s="23" t="inlineStr">
        <is>
          <t>Privately Held (backing)</t>
        </is>
      </c>
      <c r="P45" s="24" t="inlineStr">
        <is>
          <t>Costa Mesa, CA</t>
        </is>
      </c>
      <c r="Q45" s="25" t="inlineStr">
        <is>
          <t>www.zimplemoney.com</t>
        </is>
      </c>
      <c r="R45" s="113">
        <f>HYPERLINK("https://my.pitchbook.com?c=53486-29", "View company online")</f>
      </c>
    </row>
    <row r="46">
      <c r="A46" s="27" t="inlineStr">
        <is>
          <t>103725-10</t>
        </is>
      </c>
      <c r="B46" s="28" t="inlineStr">
        <is>
          <t>Zikto</t>
        </is>
      </c>
      <c r="C46" s="29" t="n">
        <v>-0.46373752735923823</v>
      </c>
      <c r="D46" s="30" t="n">
        <v>4.811430031990091</v>
      </c>
      <c r="E46" s="31" t="inlineStr">
        <is>
          <t/>
        </is>
      </c>
      <c r="F46" s="32" t="n">
        <v>106.0</v>
      </c>
      <c r="G46" s="33" t="n">
        <v>10283.0</v>
      </c>
      <c r="H46" s="34" t="n">
        <v>244.0</v>
      </c>
      <c r="I46" s="35" t="n">
        <v>10.0</v>
      </c>
      <c r="J46" s="36" t="n">
        <v>0.16</v>
      </c>
      <c r="K46" s="37" t="inlineStr">
        <is>
          <t>Electronics (B2C)</t>
        </is>
      </c>
      <c r="L46" s="38" t="inlineStr">
        <is>
          <t>Developer of a wearable wrist band. The company measures the user's arm swings when they are walking, and gives them a haptic feedback if they are not walking in the right posture.</t>
        </is>
      </c>
      <c r="M46" s="39" t="inlineStr">
        <is>
          <t/>
        </is>
      </c>
      <c r="N46" s="40" t="inlineStr">
        <is>
          <t>Angel-Backed</t>
        </is>
      </c>
      <c r="O46" s="41" t="inlineStr">
        <is>
          <t>Privately Held (backing)</t>
        </is>
      </c>
      <c r="P46" s="42" t="inlineStr">
        <is>
          <t>Signal Hill, CA</t>
        </is>
      </c>
      <c r="Q46" s="43" t="inlineStr">
        <is>
          <t>www.zikto.com</t>
        </is>
      </c>
      <c r="R46" s="114">
        <f>HYPERLINK("https://my.pitchbook.com?c=103725-10", "View company online")</f>
      </c>
    </row>
    <row r="47">
      <c r="A47" s="9" t="inlineStr">
        <is>
          <t>111875-86</t>
        </is>
      </c>
      <c r="B47" s="10" t="inlineStr">
        <is>
          <t>Zikher</t>
        </is>
      </c>
      <c r="C47" s="11" t="n">
        <v>0.0</v>
      </c>
      <c r="D47" s="12" t="n">
        <v>0.16216216216216217</v>
      </c>
      <c r="E47" s="13" t="inlineStr">
        <is>
          <t/>
        </is>
      </c>
      <c r="F47" s="14" t="n">
        <v>6.0</v>
      </c>
      <c r="G47" s="15" t="inlineStr">
        <is>
          <t/>
        </is>
      </c>
      <c r="H47" s="16" t="inlineStr">
        <is>
          <t/>
        </is>
      </c>
      <c r="I47" s="17" t="n">
        <v>1.0</v>
      </c>
      <c r="J47" s="18" t="inlineStr">
        <is>
          <t/>
        </is>
      </c>
      <c r="K47" s="19" t="inlineStr">
        <is>
          <t>Other Software</t>
        </is>
      </c>
      <c r="L47" s="20" t="inlineStr">
        <is>
          <t>Provider of security software. The company provides security software to companies in healthcare, finance, aviation, digital media, retail corporations and telecommunications against hackers and cyber espionage.</t>
        </is>
      </c>
      <c r="M47" s="21" t="inlineStr">
        <is>
          <t/>
        </is>
      </c>
      <c r="N47" s="22" t="inlineStr">
        <is>
          <t>Angel-Backed</t>
        </is>
      </c>
      <c r="O47" s="23" t="inlineStr">
        <is>
          <t>Privately Held (backing)</t>
        </is>
      </c>
      <c r="P47" s="24" t="inlineStr">
        <is>
          <t>San Francisco, CA</t>
        </is>
      </c>
      <c r="Q47" s="25" t="inlineStr">
        <is>
          <t>www.zikher.com</t>
        </is>
      </c>
      <c r="R47" s="113">
        <f>HYPERLINK("https://my.pitchbook.com?c=111875-86", "View company online")</f>
      </c>
    </row>
    <row r="48">
      <c r="A48" s="27" t="inlineStr">
        <is>
          <t>175735-72</t>
        </is>
      </c>
      <c r="B48" s="28" t="inlineStr">
        <is>
          <t>ziggedy</t>
        </is>
      </c>
      <c r="C48" s="86">
        <f>HYPERLINK("https://my.pitchbook.com?rrp=175735-72&amp;type=c", "This Company's information is not available to download. Need this Company? Request availability")</f>
      </c>
      <c r="D48" s="30" t="inlineStr">
        <is>
          <t/>
        </is>
      </c>
      <c r="E48" s="31" t="inlineStr">
        <is>
          <t/>
        </is>
      </c>
      <c r="F48" s="32" t="inlineStr">
        <is>
          <t/>
        </is>
      </c>
      <c r="G48" s="33" t="inlineStr">
        <is>
          <t/>
        </is>
      </c>
      <c r="H48" s="34" t="inlineStr">
        <is>
          <t/>
        </is>
      </c>
      <c r="I48" s="35" t="inlineStr">
        <is>
          <t/>
        </is>
      </c>
      <c r="J48" s="36" t="inlineStr">
        <is>
          <t/>
        </is>
      </c>
      <c r="K48" s="37" t="inlineStr">
        <is>
          <t/>
        </is>
      </c>
      <c r="L48" s="38" t="inlineStr">
        <is>
          <t/>
        </is>
      </c>
      <c r="M48" s="39" t="inlineStr">
        <is>
          <t/>
        </is>
      </c>
      <c r="N48" s="40" t="inlineStr">
        <is>
          <t/>
        </is>
      </c>
      <c r="O48" s="41" t="inlineStr">
        <is>
          <t/>
        </is>
      </c>
      <c r="P48" s="42" t="inlineStr">
        <is>
          <t/>
        </is>
      </c>
      <c r="Q48" s="43" t="inlineStr">
        <is>
          <t/>
        </is>
      </c>
      <c r="R48" s="44" t="inlineStr">
        <is>
          <t/>
        </is>
      </c>
    </row>
    <row r="49">
      <c r="A49" s="9" t="inlineStr">
        <is>
          <t>102916-18</t>
        </is>
      </c>
      <c r="B49" s="10" t="inlineStr">
        <is>
          <t>Zigabid</t>
        </is>
      </c>
      <c r="C49" s="11" t="n">
        <v>-0.0010379444936888453</v>
      </c>
      <c r="D49" s="12" t="n">
        <v>5.511390032521204</v>
      </c>
      <c r="E49" s="13" t="inlineStr">
        <is>
          <t/>
        </is>
      </c>
      <c r="F49" s="14" t="n">
        <v>45.0</v>
      </c>
      <c r="G49" s="15" t="n">
        <v>13820.0</v>
      </c>
      <c r="H49" s="16" t="n">
        <v>867.0</v>
      </c>
      <c r="I49" s="17" t="n">
        <v>3.0</v>
      </c>
      <c r="J49" s="18" t="n">
        <v>1.0</v>
      </c>
      <c r="K49" s="19" t="inlineStr">
        <is>
          <t>Social Content</t>
        </is>
      </c>
      <c r="L49" s="20" t="inlineStr">
        <is>
          <t>Provider of an online ticketing platform. The company provides an ticketing application where buyers and sellers can interact and negotiate ticket prices for sports, theatre or concert tickets.</t>
        </is>
      </c>
      <c r="M49" s="21" t="inlineStr">
        <is>
          <t/>
        </is>
      </c>
      <c r="N49" s="22" t="inlineStr">
        <is>
          <t>Angel-Backed</t>
        </is>
      </c>
      <c r="O49" s="23" t="inlineStr">
        <is>
          <t>Privately Held (backing)</t>
        </is>
      </c>
      <c r="P49" s="24" t="inlineStr">
        <is>
          <t>La Cañada Flintridge, CA</t>
        </is>
      </c>
      <c r="Q49" s="25" t="inlineStr">
        <is>
          <t>www.zigabid.com</t>
        </is>
      </c>
      <c r="R49" s="113">
        <f>HYPERLINK("https://my.pitchbook.com?c=102916-18", "View company online")</f>
      </c>
    </row>
    <row r="50">
      <c r="A50" s="27" t="inlineStr">
        <is>
          <t>120097-54</t>
        </is>
      </c>
      <c r="B50" s="28" t="inlineStr">
        <is>
          <t>Zeyos</t>
        </is>
      </c>
      <c r="C50" s="29" t="n">
        <v>0.043130480615504556</v>
      </c>
      <c r="D50" s="30" t="n">
        <v>1.8087885495770537</v>
      </c>
      <c r="E50" s="31" t="inlineStr">
        <is>
          <t/>
        </is>
      </c>
      <c r="F50" s="32" t="n">
        <v>55.0</v>
      </c>
      <c r="G50" s="33" t="n">
        <v>495.0</v>
      </c>
      <c r="H50" s="34" t="n">
        <v>1273.0</v>
      </c>
      <c r="I50" s="35" t="n">
        <v>10.0</v>
      </c>
      <c r="J50" s="36" t="inlineStr">
        <is>
          <t/>
        </is>
      </c>
      <c r="K50" s="37" t="inlineStr">
        <is>
          <t>Operating Systems Software</t>
        </is>
      </c>
      <c r="L50" s="38" t="inlineStr">
        <is>
          <t>Provider of an intuitive business integration platform intended to unifies all the features of CRM and ERP. The company's platform integrates all business processes starting from e-mail and calendar to inventory and billing, enabling businesses to create a cloud based business operating system.</t>
        </is>
      </c>
      <c r="M50" s="39" t="inlineStr">
        <is>
          <t>Galaxy Venture Capital, German Accelerator</t>
        </is>
      </c>
      <c r="N50" s="40" t="inlineStr">
        <is>
          <t>Accelerator/Incubator Backed</t>
        </is>
      </c>
      <c r="O50" s="41" t="inlineStr">
        <is>
          <t>Privately Held (backing)</t>
        </is>
      </c>
      <c r="P50" s="42" t="inlineStr">
        <is>
          <t>Palo Alto, CA</t>
        </is>
      </c>
      <c r="Q50" s="43" t="inlineStr">
        <is>
          <t>www.zeyos.com</t>
        </is>
      </c>
      <c r="R50" s="114">
        <f>HYPERLINK("https://my.pitchbook.com?c=120097-54", "View company online")</f>
      </c>
    </row>
    <row r="51">
      <c r="A51" s="9" t="inlineStr">
        <is>
          <t>103844-08</t>
        </is>
      </c>
      <c r="B51" s="10" t="inlineStr">
        <is>
          <t>ZexSports.com</t>
        </is>
      </c>
      <c r="C51" s="11" t="n">
        <v>0.00686822546623185</v>
      </c>
      <c r="D51" s="12" t="n">
        <v>2.3701710184761033</v>
      </c>
      <c r="E51" s="13" t="inlineStr">
        <is>
          <t/>
        </is>
      </c>
      <c r="F51" s="14" t="n">
        <v>53.0</v>
      </c>
      <c r="G51" s="15" t="inlineStr">
        <is>
          <t/>
        </is>
      </c>
      <c r="H51" s="16" t="n">
        <v>1171.0</v>
      </c>
      <c r="I51" s="17" t="n">
        <v>2.0</v>
      </c>
      <c r="J51" s="18" t="inlineStr">
        <is>
          <t/>
        </is>
      </c>
      <c r="K51" s="19" t="inlineStr">
        <is>
          <t>Social Content</t>
        </is>
      </c>
      <c r="L51" s="20" t="inlineStr">
        <is>
          <t>Provider of an online platform for collecting data. The company provides an online platform to collect demographic data and personal data and also offers identity protection of the users.</t>
        </is>
      </c>
      <c r="M51" s="21" t="inlineStr">
        <is>
          <t/>
        </is>
      </c>
      <c r="N51" s="22" t="inlineStr">
        <is>
          <t>Angel-Backed</t>
        </is>
      </c>
      <c r="O51" s="23" t="inlineStr">
        <is>
          <t>Privately Held (backing)</t>
        </is>
      </c>
      <c r="P51" s="24" t="inlineStr">
        <is>
          <t>Santa Monica, CA</t>
        </is>
      </c>
      <c r="Q51" s="25" t="inlineStr">
        <is>
          <t>www.zexsports.com</t>
        </is>
      </c>
      <c r="R51" s="113">
        <f>HYPERLINK("https://my.pitchbook.com?c=103844-08", "View company online")</f>
      </c>
    </row>
    <row r="52">
      <c r="A52" s="27" t="inlineStr">
        <is>
          <t>128877-58</t>
        </is>
      </c>
      <c r="B52" s="28" t="inlineStr">
        <is>
          <t>Zev Technologies</t>
        </is>
      </c>
      <c r="C52" s="29" t="n">
        <v>5.0707810382285246</v>
      </c>
      <c r="D52" s="30" t="n">
        <v>24.592711086705197</v>
      </c>
      <c r="E52" s="31" t="inlineStr">
        <is>
          <t/>
        </is>
      </c>
      <c r="F52" s="32" t="n">
        <v>200.0</v>
      </c>
      <c r="G52" s="33" t="n">
        <v>65665.0</v>
      </c>
      <c r="H52" s="34" t="n">
        <v>1792.0</v>
      </c>
      <c r="I52" s="35" t="inlineStr">
        <is>
          <t/>
        </is>
      </c>
      <c r="J52" s="36" t="n">
        <v>4.32</v>
      </c>
      <c r="K52" s="37" t="inlineStr">
        <is>
          <t>Other Commercial Products</t>
        </is>
      </c>
      <c r="L52" s="38" t="inlineStr">
        <is>
          <t>Manufacturer and seller of firearms parts and accessories intended to offer technologically advanced aftermarket pistol components and accessories. The company's firearms parts and accessories specializes in offering Glock pistol components such as frame parts, slide parts, guide rods, barrels, shooting gears and strikers, enabling military, defense and law enforcement industries to get pistol parts.</t>
        </is>
      </c>
      <c r="M52" s="39" t="inlineStr">
        <is>
          <t>Department of Energy, Pasadena Angels</t>
        </is>
      </c>
      <c r="N52" s="40" t="inlineStr">
        <is>
          <t>Angel-Backed</t>
        </is>
      </c>
      <c r="O52" s="41" t="inlineStr">
        <is>
          <t>Privately Held (backing)</t>
        </is>
      </c>
      <c r="P52" s="42" t="inlineStr">
        <is>
          <t>Oxnard, CA</t>
        </is>
      </c>
      <c r="Q52" s="43" t="inlineStr">
        <is>
          <t>www.zevtechnologies.com</t>
        </is>
      </c>
      <c r="R52" s="114">
        <f>HYPERLINK("https://my.pitchbook.com?c=128877-58", "View company online")</f>
      </c>
    </row>
    <row r="53">
      <c r="A53" s="9" t="inlineStr">
        <is>
          <t>120351-97</t>
        </is>
      </c>
      <c r="B53" s="10" t="inlineStr">
        <is>
          <t>Zesty.io</t>
        </is>
      </c>
      <c r="C53" s="11" t="n">
        <v>0.0420342590643553</v>
      </c>
      <c r="D53" s="12" t="n">
        <v>1.0631800976679384</v>
      </c>
      <c r="E53" s="13" t="inlineStr">
        <is>
          <t/>
        </is>
      </c>
      <c r="F53" s="14" t="n">
        <v>63.0</v>
      </c>
      <c r="G53" s="15" t="n">
        <v>545.0</v>
      </c>
      <c r="H53" s="16" t="n">
        <v>2.0</v>
      </c>
      <c r="I53" s="17" t="n">
        <v>10.0</v>
      </c>
      <c r="J53" s="18" t="n">
        <v>1.3</v>
      </c>
      <c r="K53" s="19" t="inlineStr">
        <is>
          <t>Business/Productivity Software</t>
        </is>
      </c>
      <c r="L53" s="20" t="inlineStr">
        <is>
          <t>Provider of a SaaS-based platform intended to automate the process of website content management. The company's Web content management system is a cloud driven platform that tracks and recommends updated contents from the Web and deploys brand, marketing and content websites, enabling businesses to build content-rich websites that engage customers and accelerate sales, reduce labor and inefficiencies found in traditional content management systems.</t>
        </is>
      </c>
      <c r="M53" s="21" t="inlineStr">
        <is>
          <t>Andrew Ballester, Dave Hagewood, Taner Halicioglu</t>
        </is>
      </c>
      <c r="N53" s="22" t="inlineStr">
        <is>
          <t>Angel-Backed</t>
        </is>
      </c>
      <c r="O53" s="23" t="inlineStr">
        <is>
          <t>Privately Held (backing)</t>
        </is>
      </c>
      <c r="P53" s="24" t="inlineStr">
        <is>
          <t>San Diego, CA</t>
        </is>
      </c>
      <c r="Q53" s="25" t="inlineStr">
        <is>
          <t>www.zesty.io</t>
        </is>
      </c>
      <c r="R53" s="113">
        <f>HYPERLINK("https://my.pitchbook.com?c=120351-97", "View company online")</f>
      </c>
    </row>
    <row r="54">
      <c r="A54" s="27" t="inlineStr">
        <is>
          <t>82753-93</t>
        </is>
      </c>
      <c r="B54" s="28" t="inlineStr">
        <is>
          <t>Zertica</t>
        </is>
      </c>
      <c r="C54" s="29" t="n">
        <v>0.0</v>
      </c>
      <c r="D54" s="30" t="n">
        <v>0.12254772669289987</v>
      </c>
      <c r="E54" s="31" t="inlineStr">
        <is>
          <t/>
        </is>
      </c>
      <c r="F54" s="32" t="n">
        <v>6.0</v>
      </c>
      <c r="G54" s="33" t="n">
        <v>13.0</v>
      </c>
      <c r="H54" s="34" t="n">
        <v>53.0</v>
      </c>
      <c r="I54" s="35" t="n">
        <v>2.0</v>
      </c>
      <c r="J54" s="36" t="n">
        <v>0.04</v>
      </c>
      <c r="K54" s="37" t="inlineStr">
        <is>
          <t>Printing Services (B2B)</t>
        </is>
      </c>
      <c r="L54" s="38" t="inlineStr">
        <is>
          <t>Provider of a designer-focused 3D printing marketplace. The company focuses on 3D printing, CAD, 3D scanning, and robotics technologies.</t>
        </is>
      </c>
      <c r="M54" s="39" t="inlineStr">
        <is>
          <t>StartEngine.com</t>
        </is>
      </c>
      <c r="N54" s="40" t="inlineStr">
        <is>
          <t>Accelerator/Incubator Backed</t>
        </is>
      </c>
      <c r="O54" s="41" t="inlineStr">
        <is>
          <t>Privately Held (backing)</t>
        </is>
      </c>
      <c r="P54" s="42" t="inlineStr">
        <is>
          <t>Santa Monica, CA</t>
        </is>
      </c>
      <c r="Q54" s="43" t="inlineStr">
        <is>
          <t>www.zertica.com</t>
        </is>
      </c>
      <c r="R54" s="114">
        <f>HYPERLINK("https://my.pitchbook.com?c=82753-93", "View company online")</f>
      </c>
    </row>
    <row r="55">
      <c r="A55" s="9" t="inlineStr">
        <is>
          <t>167437-72</t>
        </is>
      </c>
      <c r="B55" s="10" t="inlineStr">
        <is>
          <t>ZeroUI</t>
        </is>
      </c>
      <c r="C55" s="11" t="n">
        <v>-0.025467865170257314</v>
      </c>
      <c r="D55" s="12" t="n">
        <v>5.260954590762991</v>
      </c>
      <c r="E55" s="13" t="inlineStr">
        <is>
          <t/>
        </is>
      </c>
      <c r="F55" s="14" t="n">
        <v>42.0</v>
      </c>
      <c r="G55" s="15" t="n">
        <v>9838.0</v>
      </c>
      <c r="H55" s="16" t="n">
        <v>2321.0</v>
      </c>
      <c r="I55" s="17" t="inlineStr">
        <is>
          <t/>
        </is>
      </c>
      <c r="J55" s="18" t="n">
        <v>0.53</v>
      </c>
      <c r="K55" s="19" t="inlineStr">
        <is>
          <t>Recreational Goods</t>
        </is>
      </c>
      <c r="L55" s="20" t="inlineStr">
        <is>
          <t>Developer of hand gesture controlled robotic toy platform designed to create a variety of robots and control them with a flick of a wrist and bend of a finger. The company's hand gesture controlled robotic toy platform uses natural user interfaces, machine Learning and artificial intelligence to control robots through hand gestures, multi-touch and haptic feedback and also offers modular robotic toys construction kit and 3D modeling software, enabling users to control their robots.</t>
        </is>
      </c>
      <c r="M55" s="21" t="inlineStr">
        <is>
          <t>Elevate Ventures, National Science Foundation, Purdue Foundry</t>
        </is>
      </c>
      <c r="N55" s="22" t="inlineStr">
        <is>
          <t>Accelerator/Incubator Backed</t>
        </is>
      </c>
      <c r="O55" s="23" t="inlineStr">
        <is>
          <t>Privately Held (backing)</t>
        </is>
      </c>
      <c r="P55" s="24" t="inlineStr">
        <is>
          <t>West Lafayette, IN</t>
        </is>
      </c>
      <c r="Q55" s="25" t="inlineStr">
        <is>
          <t>www.zeroui.com</t>
        </is>
      </c>
      <c r="R55" s="113">
        <f>HYPERLINK("https://my.pitchbook.com?c=167437-72", "View company online")</f>
      </c>
    </row>
    <row r="56">
      <c r="A56" s="27" t="inlineStr">
        <is>
          <t>104527-00</t>
        </is>
      </c>
      <c r="B56" s="28" t="inlineStr">
        <is>
          <t>ZeroTier</t>
        </is>
      </c>
      <c r="C56" s="29" t="n">
        <v>4.594784524313713</v>
      </c>
      <c r="D56" s="30" t="n">
        <v>6.95274087646969</v>
      </c>
      <c r="E56" s="31" t="inlineStr">
        <is>
          <t/>
        </is>
      </c>
      <c r="F56" s="32" t="n">
        <v>448.0</v>
      </c>
      <c r="G56" s="33" t="inlineStr">
        <is>
          <t/>
        </is>
      </c>
      <c r="H56" s="34" t="n">
        <v>597.0</v>
      </c>
      <c r="I56" s="35" t="n">
        <v>1.0</v>
      </c>
      <c r="J56" s="36" t="n">
        <v>0.35</v>
      </c>
      <c r="K56" s="37" t="inlineStr">
        <is>
          <t>Other Communications and Networking</t>
        </is>
      </c>
      <c r="L56" s="38" t="inlineStr">
        <is>
          <t>Provider of network virtualization services. The company provides a virtual private cloud across providers and data centers.</t>
        </is>
      </c>
      <c r="M56" s="39" t="inlineStr">
        <is>
          <t/>
        </is>
      </c>
      <c r="N56" s="40" t="inlineStr">
        <is>
          <t>Angel-Backed</t>
        </is>
      </c>
      <c r="O56" s="41" t="inlineStr">
        <is>
          <t>Privately Held (backing)</t>
        </is>
      </c>
      <c r="P56" s="42" t="inlineStr">
        <is>
          <t>Irvine, CA</t>
        </is>
      </c>
      <c r="Q56" s="43" t="inlineStr">
        <is>
          <t>www.zerotier.com</t>
        </is>
      </c>
      <c r="R56" s="114">
        <f>HYPERLINK("https://my.pitchbook.com?c=104527-00", "View company online")</f>
      </c>
    </row>
    <row r="57">
      <c r="A57" s="9" t="inlineStr">
        <is>
          <t>167999-05</t>
        </is>
      </c>
      <c r="B57" s="10" t="inlineStr">
        <is>
          <t>Zero Edge Partners</t>
        </is>
      </c>
      <c r="C57" s="11" t="inlineStr">
        <is>
          <t/>
        </is>
      </c>
      <c r="D57" s="12" t="inlineStr">
        <is>
          <t/>
        </is>
      </c>
      <c r="E57" s="13" t="inlineStr">
        <is>
          <t/>
        </is>
      </c>
      <c r="F57" s="14" t="inlineStr">
        <is>
          <t/>
        </is>
      </c>
      <c r="G57" s="15" t="inlineStr">
        <is>
          <t/>
        </is>
      </c>
      <c r="H57" s="16" t="inlineStr">
        <is>
          <t/>
        </is>
      </c>
      <c r="I57" s="17" t="inlineStr">
        <is>
          <t/>
        </is>
      </c>
      <c r="J57" s="18" t="inlineStr">
        <is>
          <t/>
        </is>
      </c>
      <c r="K57" s="19" t="inlineStr">
        <is>
          <t>Other Commercial Products</t>
        </is>
      </c>
      <c r="L57" s="20" t="inlineStr">
        <is>
          <t>The company is currently operating in Stealth mode.</t>
        </is>
      </c>
      <c r="M57" s="21" t="inlineStr">
        <is>
          <t>Alpere Advisors</t>
        </is>
      </c>
      <c r="N57" s="22" t="inlineStr">
        <is>
          <t>Accelerator/Incubator Backed</t>
        </is>
      </c>
      <c r="O57" s="23" t="inlineStr">
        <is>
          <t>Privately Held (backing)</t>
        </is>
      </c>
      <c r="P57" s="24" t="inlineStr">
        <is>
          <t>Palo Alto, CA</t>
        </is>
      </c>
      <c r="Q57" s="25" t="inlineStr">
        <is>
          <t>www.zeroedgepartners.com</t>
        </is>
      </c>
      <c r="R57" s="113">
        <f>HYPERLINK("https://my.pitchbook.com?c=167999-05", "View company online")</f>
      </c>
    </row>
    <row r="58">
      <c r="A58" s="27" t="inlineStr">
        <is>
          <t>103532-32</t>
        </is>
      </c>
      <c r="B58" s="28" t="inlineStr">
        <is>
          <t>Zerg</t>
        </is>
      </c>
      <c r="C58" s="29" t="n">
        <v>2.360322826337948</v>
      </c>
      <c r="D58" s="30" t="n">
        <v>4.271837101866579</v>
      </c>
      <c r="E58" s="31" t="inlineStr">
        <is>
          <t/>
        </is>
      </c>
      <c r="F58" s="32" t="n">
        <v>280.0</v>
      </c>
      <c r="G58" s="33" t="n">
        <v>568.0</v>
      </c>
      <c r="H58" s="34" t="n">
        <v>460.0</v>
      </c>
      <c r="I58" s="35" t="inlineStr">
        <is>
          <t/>
        </is>
      </c>
      <c r="J58" s="36" t="n">
        <v>1.1</v>
      </c>
      <c r="K58" s="37" t="inlineStr">
        <is>
          <t>Communication Software</t>
        </is>
      </c>
      <c r="L58" s="38" t="inlineStr">
        <is>
          <t>Provider of a social network platform for MMO gamers. The company allows gamers to connect outside of the games with the same anonymity that the games provide.</t>
        </is>
      </c>
      <c r="M58" s="39" t="inlineStr">
        <is>
          <t/>
        </is>
      </c>
      <c r="N58" s="40" t="inlineStr">
        <is>
          <t>Angel-Backed</t>
        </is>
      </c>
      <c r="O58" s="41" t="inlineStr">
        <is>
          <t>Privately Held (backing)</t>
        </is>
      </c>
      <c r="P58" s="42" t="inlineStr">
        <is>
          <t>Los Angeles, CA</t>
        </is>
      </c>
      <c r="Q58" s="43" t="inlineStr">
        <is>
          <t>www.zergid.com</t>
        </is>
      </c>
      <c r="R58" s="114">
        <f>HYPERLINK("https://my.pitchbook.com?c=103532-32", "View company online")</f>
      </c>
    </row>
    <row r="59">
      <c r="A59" s="9" t="inlineStr">
        <is>
          <t>121694-86</t>
        </is>
      </c>
      <c r="B59" s="10" t="inlineStr">
        <is>
          <t>ZEPHYR Digital</t>
        </is>
      </c>
      <c r="C59" s="85">
        <f>HYPERLINK("https://my.pitchbook.com?rrp=121694-86&amp;type=c", "This Company's information is not available to download. Need this Company? Request availability")</f>
      </c>
      <c r="D59" s="12" t="inlineStr">
        <is>
          <t/>
        </is>
      </c>
      <c r="E59" s="13" t="inlineStr">
        <is>
          <t/>
        </is>
      </c>
      <c r="F59" s="14" t="inlineStr">
        <is>
          <t/>
        </is>
      </c>
      <c r="G59" s="15" t="inlineStr">
        <is>
          <t/>
        </is>
      </c>
      <c r="H59" s="16" t="inlineStr">
        <is>
          <t/>
        </is>
      </c>
      <c r="I59" s="17" t="inlineStr">
        <is>
          <t/>
        </is>
      </c>
      <c r="J59" s="18" t="inlineStr">
        <is>
          <t/>
        </is>
      </c>
      <c r="K59" s="19" t="inlineStr">
        <is>
          <t/>
        </is>
      </c>
      <c r="L59" s="20" t="inlineStr">
        <is>
          <t/>
        </is>
      </c>
      <c r="M59" s="21" t="inlineStr">
        <is>
          <t/>
        </is>
      </c>
      <c r="N59" s="22" t="inlineStr">
        <is>
          <t/>
        </is>
      </c>
      <c r="O59" s="23" t="inlineStr">
        <is>
          <t/>
        </is>
      </c>
      <c r="P59" s="24" t="inlineStr">
        <is>
          <t/>
        </is>
      </c>
      <c r="Q59" s="25" t="inlineStr">
        <is>
          <t/>
        </is>
      </c>
      <c r="R59" s="26" t="inlineStr">
        <is>
          <t/>
        </is>
      </c>
    </row>
    <row r="60">
      <c r="A60" s="27" t="inlineStr">
        <is>
          <t>103842-91</t>
        </is>
      </c>
      <c r="B60" s="28" t="inlineStr">
        <is>
          <t>Zenytime</t>
        </is>
      </c>
      <c r="C60" s="29" t="n">
        <v>-0.03062001517893238</v>
      </c>
      <c r="D60" s="30" t="n">
        <v>1.7570007132092618</v>
      </c>
      <c r="E60" s="31" t="inlineStr">
        <is>
          <t/>
        </is>
      </c>
      <c r="F60" s="32" t="n">
        <v>51.0</v>
      </c>
      <c r="G60" s="33" t="n">
        <v>1202.0</v>
      </c>
      <c r="H60" s="34" t="n">
        <v>984.0</v>
      </c>
      <c r="I60" s="35" t="n">
        <v>3.0</v>
      </c>
      <c r="J60" s="36" t="n">
        <v>0.8</v>
      </c>
      <c r="K60" s="37" t="inlineStr">
        <is>
          <t>Social/Platform Software</t>
        </is>
      </c>
      <c r="L60" s="38" t="inlineStr">
        <is>
          <t>Developer of a science and technology platform. The company introduces a wellness connected solution that helps brain build better responses to stress.</t>
        </is>
      </c>
      <c r="M60" s="39" t="inlineStr">
        <is>
          <t/>
        </is>
      </c>
      <c r="N60" s="40" t="inlineStr">
        <is>
          <t>Angel-Backed</t>
        </is>
      </c>
      <c r="O60" s="41" t="inlineStr">
        <is>
          <t>Privately Held (backing)</t>
        </is>
      </c>
      <c r="P60" s="42" t="inlineStr">
        <is>
          <t>San Francisco, CA</t>
        </is>
      </c>
      <c r="Q60" s="43" t="inlineStr">
        <is>
          <t>www.zenytime.com</t>
        </is>
      </c>
      <c r="R60" s="114">
        <f>HYPERLINK("https://my.pitchbook.com?c=103842-91", "View company online")</f>
      </c>
    </row>
    <row r="61">
      <c r="A61" s="9" t="inlineStr">
        <is>
          <t>103531-96</t>
        </is>
      </c>
      <c r="B61" s="10" t="inlineStr">
        <is>
          <t>Zent</t>
        </is>
      </c>
      <c r="C61" s="11" t="n">
        <v>0.0</v>
      </c>
      <c r="D61" s="12" t="n">
        <v>0.08108108108108109</v>
      </c>
      <c r="E61" s="13" t="inlineStr">
        <is>
          <t/>
        </is>
      </c>
      <c r="F61" s="14" t="n">
        <v>3.0</v>
      </c>
      <c r="G61" s="15" t="inlineStr">
        <is>
          <t/>
        </is>
      </c>
      <c r="H61" s="16" t="inlineStr">
        <is>
          <t/>
        </is>
      </c>
      <c r="I61" s="17" t="inlineStr">
        <is>
          <t/>
        </is>
      </c>
      <c r="J61" s="18" t="n">
        <v>0.03</v>
      </c>
      <c r="K61" s="19" t="inlineStr">
        <is>
          <t>Other Services (B2C Non-Financial)</t>
        </is>
      </c>
      <c r="L61" s="20" t="inlineStr">
        <is>
          <t>Provider of eyewear repairing services. The company engages in the repair and modifications of sunglasses and eyeglasses.</t>
        </is>
      </c>
      <c r="M61" s="21" t="inlineStr">
        <is>
          <t/>
        </is>
      </c>
      <c r="N61" s="22" t="inlineStr">
        <is>
          <t>Angel-Backed</t>
        </is>
      </c>
      <c r="O61" s="23" t="inlineStr">
        <is>
          <t>Privately Held (backing)</t>
        </is>
      </c>
      <c r="P61" s="24" t="inlineStr">
        <is>
          <t>Palo Alto, CA</t>
        </is>
      </c>
      <c r="Q61" s="25" t="inlineStr">
        <is>
          <t>www.zenttech.com</t>
        </is>
      </c>
      <c r="R61" s="113">
        <f>HYPERLINK("https://my.pitchbook.com?c=103531-96", "View company online")</f>
      </c>
    </row>
    <row r="62">
      <c r="A62" s="27" t="inlineStr">
        <is>
          <t>171667-09</t>
        </is>
      </c>
      <c r="B62" s="28" t="inlineStr">
        <is>
          <t>ZenSports</t>
        </is>
      </c>
      <c r="C62" s="86">
        <f>HYPERLINK("https://my.pitchbook.com?rrp=171667-09&amp;type=c", "This Company's information is not available to download. Need this Company? Request availability")</f>
      </c>
      <c r="D62" s="30" t="inlineStr">
        <is>
          <t/>
        </is>
      </c>
      <c r="E62" s="31" t="inlineStr">
        <is>
          <t/>
        </is>
      </c>
      <c r="F62" s="32" t="inlineStr">
        <is>
          <t/>
        </is>
      </c>
      <c r="G62" s="33" t="inlineStr">
        <is>
          <t/>
        </is>
      </c>
      <c r="H62" s="34" t="inlineStr">
        <is>
          <t/>
        </is>
      </c>
      <c r="I62" s="35" t="inlineStr">
        <is>
          <t/>
        </is>
      </c>
      <c r="J62" s="36" t="inlineStr">
        <is>
          <t/>
        </is>
      </c>
      <c r="K62" s="37" t="inlineStr">
        <is>
          <t/>
        </is>
      </c>
      <c r="L62" s="38" t="inlineStr">
        <is>
          <t/>
        </is>
      </c>
      <c r="M62" s="39" t="inlineStr">
        <is>
          <t/>
        </is>
      </c>
      <c r="N62" s="40" t="inlineStr">
        <is>
          <t/>
        </is>
      </c>
      <c r="O62" s="41" t="inlineStr">
        <is>
          <t/>
        </is>
      </c>
      <c r="P62" s="42" t="inlineStr">
        <is>
          <t/>
        </is>
      </c>
      <c r="Q62" s="43" t="inlineStr">
        <is>
          <t/>
        </is>
      </c>
      <c r="R62" s="44" t="inlineStr">
        <is>
          <t/>
        </is>
      </c>
    </row>
    <row r="63">
      <c r="A63" s="9" t="inlineStr">
        <is>
          <t>181891-45</t>
        </is>
      </c>
      <c r="B63" s="10" t="inlineStr">
        <is>
          <t>Zenobia Therapeutics</t>
        </is>
      </c>
      <c r="C63" s="11" t="inlineStr">
        <is>
          <t/>
        </is>
      </c>
      <c r="D63" s="12" t="inlineStr">
        <is>
          <t/>
        </is>
      </c>
      <c r="E63" s="13" t="inlineStr">
        <is>
          <t/>
        </is>
      </c>
      <c r="F63" s="14" t="inlineStr">
        <is>
          <t/>
        </is>
      </c>
      <c r="G63" s="15" t="inlineStr">
        <is>
          <t/>
        </is>
      </c>
      <c r="H63" s="16" t="inlineStr">
        <is>
          <t/>
        </is>
      </c>
      <c r="I63" s="17" t="inlineStr">
        <is>
          <t/>
        </is>
      </c>
      <c r="J63" s="18" t="inlineStr">
        <is>
          <t/>
        </is>
      </c>
      <c r="K63" s="19" t="inlineStr">
        <is>
          <t>Biotechnology</t>
        </is>
      </c>
      <c r="L63" s="20" t="inlineStr">
        <is>
          <t>Developer of medical treatments designed to treat neurodegenerative diseases. The company's medical treatments uses fragment-based therapies and provides tools that helps researchers to complete target validation and lead discovery programs, enabling them to discover treatments for neurology related diseases.</t>
        </is>
      </c>
      <c r="M63" s="21" t="inlineStr">
        <is>
          <t>National Institutes of Health, U.S. Department of Health and Human Services</t>
        </is>
      </c>
      <c r="N63" s="22" t="inlineStr">
        <is>
          <t>Angel-Backed</t>
        </is>
      </c>
      <c r="O63" s="23" t="inlineStr">
        <is>
          <t>Privately Held (backing)</t>
        </is>
      </c>
      <c r="P63" s="24" t="inlineStr">
        <is>
          <t>San Diego, CA</t>
        </is>
      </c>
      <c r="Q63" s="25" t="inlineStr">
        <is>
          <t>www.zenobiafragments.com</t>
        </is>
      </c>
      <c r="R63" s="113">
        <f>HYPERLINK("https://my.pitchbook.com?c=181891-45", "View company online")</f>
      </c>
    </row>
    <row r="64">
      <c r="A64" s="27" t="inlineStr">
        <is>
          <t>166912-03</t>
        </is>
      </c>
      <c r="B64" s="28" t="inlineStr">
        <is>
          <t>Zenify Drinks</t>
        </is>
      </c>
      <c r="C64" s="29" t="n">
        <v>0.01933381947846694</v>
      </c>
      <c r="D64" s="30" t="n">
        <v>5.895257276963245</v>
      </c>
      <c r="E64" s="31" t="inlineStr">
        <is>
          <t/>
        </is>
      </c>
      <c r="F64" s="32" t="n">
        <v>31.0</v>
      </c>
      <c r="G64" s="33" t="n">
        <v>15836.0</v>
      </c>
      <c r="H64" s="34" t="n">
        <v>750.0</v>
      </c>
      <c r="I64" s="35" t="inlineStr">
        <is>
          <t/>
        </is>
      </c>
      <c r="J64" s="36" t="n">
        <v>0.4</v>
      </c>
      <c r="K64" s="37" t="inlineStr">
        <is>
          <t>Beverages</t>
        </is>
      </c>
      <c r="L64" s="38" t="inlineStr">
        <is>
          <t>Producer of a stress relieving beverage. The company produces a beverage which contains antioxidants that help increase serotonin and dopamine in the body to relieve stress naturally.</t>
        </is>
      </c>
      <c r="M64" s="39" t="inlineStr">
        <is>
          <t>Brian Sweete</t>
        </is>
      </c>
      <c r="N64" s="40" t="inlineStr">
        <is>
          <t>Angel-Backed</t>
        </is>
      </c>
      <c r="O64" s="41" t="inlineStr">
        <is>
          <t>Privately Held (backing)</t>
        </is>
      </c>
      <c r="P64" s="42" t="inlineStr">
        <is>
          <t>Los Angeles, CA</t>
        </is>
      </c>
      <c r="Q64" s="43" t="inlineStr">
        <is>
          <t>www.zenifydrinks.com</t>
        </is>
      </c>
      <c r="R64" s="114">
        <f>HYPERLINK("https://my.pitchbook.com?c=166912-03", "View company online")</f>
      </c>
    </row>
    <row r="65">
      <c r="A65" s="9" t="inlineStr">
        <is>
          <t>102914-38</t>
        </is>
      </c>
      <c r="B65" s="10" t="inlineStr">
        <is>
          <t>Zendure USA</t>
        </is>
      </c>
      <c r="C65" s="11" t="n">
        <v>0.5041761789327068</v>
      </c>
      <c r="D65" s="12" t="n">
        <v>8.063498575952519</v>
      </c>
      <c r="E65" s="13" t="inlineStr">
        <is>
          <t/>
        </is>
      </c>
      <c r="F65" s="14" t="n">
        <v>88.0</v>
      </c>
      <c r="G65" s="15" t="n">
        <v>8586.0</v>
      </c>
      <c r="H65" s="16" t="n">
        <v>5903.0</v>
      </c>
      <c r="I65" s="17" t="n">
        <v>2.0</v>
      </c>
      <c r="J65" s="18" t="n">
        <v>0.22</v>
      </c>
      <c r="K65" s="19" t="inlineStr">
        <is>
          <t>Electronics (B2C)</t>
        </is>
      </c>
      <c r="L65" s="20" t="inlineStr">
        <is>
          <t>Manufacturer of consumer electronics. The company's product includes A-Series external battery and wall charger.</t>
        </is>
      </c>
      <c r="M65" s="21" t="inlineStr">
        <is>
          <t/>
        </is>
      </c>
      <c r="N65" s="22" t="inlineStr">
        <is>
          <t>Angel-Backed</t>
        </is>
      </c>
      <c r="O65" s="23" t="inlineStr">
        <is>
          <t>Privately Held (backing)</t>
        </is>
      </c>
      <c r="P65" s="24" t="inlineStr">
        <is>
          <t>Palo Alto, CA</t>
        </is>
      </c>
      <c r="Q65" s="25" t="inlineStr">
        <is>
          <t>www.zendure.com</t>
        </is>
      </c>
      <c r="R65" s="113">
        <f>HYPERLINK("https://my.pitchbook.com?c=102914-38", "View company online")</f>
      </c>
    </row>
    <row r="66">
      <c r="A66" s="27" t="inlineStr">
        <is>
          <t>104833-18</t>
        </is>
      </c>
      <c r="B66" s="28" t="inlineStr">
        <is>
          <t>ZenCX</t>
        </is>
      </c>
      <c r="C66" s="29" t="n">
        <v>-0.005949065819797569</v>
      </c>
      <c r="D66" s="30" t="n">
        <v>6.9031149793861655</v>
      </c>
      <c r="E66" s="31" t="inlineStr">
        <is>
          <t/>
        </is>
      </c>
      <c r="F66" s="32" t="n">
        <v>6.0</v>
      </c>
      <c r="G66" s="33" t="inlineStr">
        <is>
          <t/>
        </is>
      </c>
      <c r="H66" s="34" t="n">
        <v>4829.0</v>
      </c>
      <c r="I66" s="35" t="n">
        <v>5.0</v>
      </c>
      <c r="J66" s="36" t="inlineStr">
        <is>
          <t/>
        </is>
      </c>
      <c r="K66" s="37" t="inlineStr">
        <is>
          <t>Application Software</t>
        </is>
      </c>
      <c r="L66" s="38" t="inlineStr">
        <is>
          <t>Developer of a customer analytics software. The company develops a software that enables bank customers to choose accounts based on their needs and profile.</t>
        </is>
      </c>
      <c r="M66" s="39" t="inlineStr">
        <is>
          <t>Founder Institute, South Bay Entrepreneurial Center</t>
        </is>
      </c>
      <c r="N66" s="40" t="inlineStr">
        <is>
          <t>Accelerator/Incubator Backed</t>
        </is>
      </c>
      <c r="O66" s="41" t="inlineStr">
        <is>
          <t>Privately Held (backing)</t>
        </is>
      </c>
      <c r="P66" s="42" t="inlineStr">
        <is>
          <t>Manhattan Beach, CA</t>
        </is>
      </c>
      <c r="Q66" s="43" t="inlineStr">
        <is>
          <t>www.zencx.com</t>
        </is>
      </c>
      <c r="R66" s="114">
        <f>HYPERLINK("https://my.pitchbook.com?c=104833-18", "View company online")</f>
      </c>
    </row>
    <row r="67">
      <c r="A67" s="9" t="inlineStr">
        <is>
          <t>121188-70</t>
        </is>
      </c>
      <c r="B67" s="10" t="inlineStr">
        <is>
          <t>Zen Monkey</t>
        </is>
      </c>
      <c r="C67" s="11" t="n">
        <v>-0.01816640968438661</v>
      </c>
      <c r="D67" s="12" t="n">
        <v>4.132410334326327</v>
      </c>
      <c r="E67" s="13" t="inlineStr">
        <is>
          <t/>
        </is>
      </c>
      <c r="F67" s="14" t="n">
        <v>19.0</v>
      </c>
      <c r="G67" s="15" t="n">
        <v>5936.0</v>
      </c>
      <c r="H67" s="16" t="n">
        <v>2878.0</v>
      </c>
      <c r="I67" s="17" t="n">
        <v>3.0</v>
      </c>
      <c r="J67" s="18" t="n">
        <v>1.98</v>
      </c>
      <c r="K67" s="19" t="inlineStr">
        <is>
          <t>Food Products</t>
        </is>
      </c>
      <c r="L67" s="20" t="inlineStr">
        <is>
          <t>Provider of food products for breakfast. The company provides food products such as oats soaked overnight in apple juice, mixed with Greek yogurt and whole fruit which is mainly for breakfast.</t>
        </is>
      </c>
      <c r="M67" s="21" t="inlineStr">
        <is>
          <t/>
        </is>
      </c>
      <c r="N67" s="22" t="inlineStr">
        <is>
          <t>Angel-Backed</t>
        </is>
      </c>
      <c r="O67" s="23" t="inlineStr">
        <is>
          <t>Privately Held (backing)</t>
        </is>
      </c>
      <c r="P67" s="24" t="inlineStr">
        <is>
          <t>Glendale, CA</t>
        </is>
      </c>
      <c r="Q67" s="25" t="inlineStr">
        <is>
          <t>www.zenmonkeybreakfast.com</t>
        </is>
      </c>
      <c r="R67" s="113">
        <f>HYPERLINK("https://my.pitchbook.com?c=121188-70", "View company online")</f>
      </c>
    </row>
    <row r="68">
      <c r="A68" s="27" t="inlineStr">
        <is>
          <t>66132-55</t>
        </is>
      </c>
      <c r="B68" s="28" t="inlineStr">
        <is>
          <t>Zen Health</t>
        </is>
      </c>
      <c r="C68" s="29" t="n">
        <v>-0.015956541432530544</v>
      </c>
      <c r="D68" s="30" t="n">
        <v>0.29327653266488934</v>
      </c>
      <c r="E68" s="31" t="inlineStr">
        <is>
          <t/>
        </is>
      </c>
      <c r="F68" s="32" t="n">
        <v>9.0</v>
      </c>
      <c r="G68" s="33" t="n">
        <v>389.0</v>
      </c>
      <c r="H68" s="34" t="n">
        <v>72.0</v>
      </c>
      <c r="I68" s="35" t="inlineStr">
        <is>
          <t/>
        </is>
      </c>
      <c r="J68" s="36" t="inlineStr">
        <is>
          <t/>
        </is>
      </c>
      <c r="K68" s="37" t="inlineStr">
        <is>
          <t>Food Products</t>
        </is>
      </c>
      <c r="L68" s="38" t="inlineStr">
        <is>
          <t>Provider of vitamins and supplements pack delivery service. The company provides vitamins and supplements to their users as per their needs and requirement after every fixed time period as required and set by them to their doorstep.</t>
        </is>
      </c>
      <c r="M68" s="39" t="inlineStr">
        <is>
          <t>ACE &amp; Company, Y Combinator</t>
        </is>
      </c>
      <c r="N68" s="40" t="inlineStr">
        <is>
          <t>Accelerator/Incubator Backed</t>
        </is>
      </c>
      <c r="O68" s="41" t="inlineStr">
        <is>
          <t>Privately Held (backing)</t>
        </is>
      </c>
      <c r="P68" s="42" t="inlineStr">
        <is>
          <t>San Francisco, CA</t>
        </is>
      </c>
      <c r="Q68" s="43" t="inlineStr">
        <is>
          <t>www.zenamins.com</t>
        </is>
      </c>
      <c r="R68" s="114">
        <f>HYPERLINK("https://my.pitchbook.com?c=66132-55", "View company online")</f>
      </c>
    </row>
    <row r="69">
      <c r="A69" s="9" t="inlineStr">
        <is>
          <t>171812-44</t>
        </is>
      </c>
      <c r="B69" s="10" t="inlineStr">
        <is>
          <t>Zeen</t>
        </is>
      </c>
      <c r="C69" s="85">
        <f>HYPERLINK("https://my.pitchbook.com?rrp=171812-44&amp;type=c", "This Company's information is not available to download. Need this Company? Request availability")</f>
      </c>
      <c r="D69" s="12" t="inlineStr">
        <is>
          <t/>
        </is>
      </c>
      <c r="E69" s="13" t="inlineStr">
        <is>
          <t/>
        </is>
      </c>
      <c r="F69" s="14" t="inlineStr">
        <is>
          <t/>
        </is>
      </c>
      <c r="G69" s="15" t="inlineStr">
        <is>
          <t/>
        </is>
      </c>
      <c r="H69" s="16" t="inlineStr">
        <is>
          <t/>
        </is>
      </c>
      <c r="I69" s="17" t="inlineStr">
        <is>
          <t/>
        </is>
      </c>
      <c r="J69" s="18" t="inlineStr">
        <is>
          <t/>
        </is>
      </c>
      <c r="K69" s="19" t="inlineStr">
        <is>
          <t/>
        </is>
      </c>
      <c r="L69" s="20" t="inlineStr">
        <is>
          <t/>
        </is>
      </c>
      <c r="M69" s="21" t="inlineStr">
        <is>
          <t/>
        </is>
      </c>
      <c r="N69" s="22" t="inlineStr">
        <is>
          <t/>
        </is>
      </c>
      <c r="O69" s="23" t="inlineStr">
        <is>
          <t/>
        </is>
      </c>
      <c r="P69" s="24" t="inlineStr">
        <is>
          <t/>
        </is>
      </c>
      <c r="Q69" s="25" t="inlineStr">
        <is>
          <t/>
        </is>
      </c>
      <c r="R69" s="26" t="inlineStr">
        <is>
          <t/>
        </is>
      </c>
    </row>
    <row r="70">
      <c r="A70" s="27" t="inlineStr">
        <is>
          <t>119616-94</t>
        </is>
      </c>
      <c r="B70" s="28" t="inlineStr">
        <is>
          <t>Zee.Aero</t>
        </is>
      </c>
      <c r="C70" s="29" t="n">
        <v>0.5897154085373301</v>
      </c>
      <c r="D70" s="30" t="n">
        <v>6.577925130099043</v>
      </c>
      <c r="E70" s="31" t="inlineStr">
        <is>
          <t/>
        </is>
      </c>
      <c r="F70" s="32" t="n">
        <v>475.0</v>
      </c>
      <c r="G70" s="33" t="n">
        <v>255.0</v>
      </c>
      <c r="H70" s="34" t="inlineStr">
        <is>
          <t/>
        </is>
      </c>
      <c r="I70" s="35" t="n">
        <v>150.0</v>
      </c>
      <c r="J70" s="36" t="n">
        <v>100.0</v>
      </c>
      <c r="K70" s="37" t="inlineStr">
        <is>
          <t>Aerospace and Defense</t>
        </is>
      </c>
      <c r="L70" s="38" t="inlineStr">
        <is>
          <t>Developer of flying cars designed to decongest road traffic and shorten commute time. The company's flying cars are vertical take-off and landing aircraft that run on eight propellers can fit in a standard parking spot enabling commuters to shorten travel times and reach their destinations faster.</t>
        </is>
      </c>
      <c r="M70" s="39" t="inlineStr">
        <is>
          <t>Lawrence Page</t>
        </is>
      </c>
      <c r="N70" s="40" t="inlineStr">
        <is>
          <t>Angel-Backed</t>
        </is>
      </c>
      <c r="O70" s="41" t="inlineStr">
        <is>
          <t>Privately Held (backing)</t>
        </is>
      </c>
      <c r="P70" s="42" t="inlineStr">
        <is>
          <t>Mountain View, CA</t>
        </is>
      </c>
      <c r="Q70" s="43" t="inlineStr">
        <is>
          <t>www.zee.aero</t>
        </is>
      </c>
      <c r="R70" s="114">
        <f>HYPERLINK("https://my.pitchbook.com?c=119616-94", "View company online")</f>
      </c>
    </row>
    <row r="71">
      <c r="A71" s="9" t="inlineStr">
        <is>
          <t>117246-07</t>
        </is>
      </c>
      <c r="B71" s="10" t="inlineStr">
        <is>
          <t>Zealr</t>
        </is>
      </c>
      <c r="C71" s="11" t="n">
        <v>0.2536491736522924</v>
      </c>
      <c r="D71" s="12" t="n">
        <v>0.5838160062367874</v>
      </c>
      <c r="E71" s="13" t="inlineStr">
        <is>
          <t/>
        </is>
      </c>
      <c r="F71" s="14" t="n">
        <v>13.0</v>
      </c>
      <c r="G71" s="15" t="n">
        <v>134.0</v>
      </c>
      <c r="H71" s="16" t="n">
        <v>517.0</v>
      </c>
      <c r="I71" s="17" t="n">
        <v>4.0</v>
      </c>
      <c r="J71" s="18" t="n">
        <v>0.1</v>
      </c>
      <c r="K71" s="19" t="inlineStr">
        <is>
          <t>Social/Platform Software</t>
        </is>
      </c>
      <c r="L71" s="20" t="inlineStr">
        <is>
          <t>Developer of an online platform for analytic automation of social messages. The company develops a sales analytic automation tool to provide realtime insights into social media messages and enables individual sales teams the ability to target contacts using the social media channel of their choice.</t>
        </is>
      </c>
      <c r="M71" s="21" t="inlineStr">
        <is>
          <t/>
        </is>
      </c>
      <c r="N71" s="22" t="inlineStr">
        <is>
          <t>Angel-Backed</t>
        </is>
      </c>
      <c r="O71" s="23" t="inlineStr">
        <is>
          <t>Privately Held (backing)</t>
        </is>
      </c>
      <c r="P71" s="24" t="inlineStr">
        <is>
          <t>Yorba Linda, CA</t>
        </is>
      </c>
      <c r="Q71" s="25" t="inlineStr">
        <is>
          <t>www.zealr.co</t>
        </is>
      </c>
      <c r="R71" s="113">
        <f>HYPERLINK("https://my.pitchbook.com?c=117246-07", "View company online")</f>
      </c>
    </row>
    <row r="72">
      <c r="A72" s="27" t="inlineStr">
        <is>
          <t>62260-48</t>
        </is>
      </c>
      <c r="B72" s="28" t="inlineStr">
        <is>
          <t>ZappyLab</t>
        </is>
      </c>
      <c r="C72" s="29" t="n">
        <v>1.3888452977688828</v>
      </c>
      <c r="D72" s="30" t="n">
        <v>4.562309451255656</v>
      </c>
      <c r="E72" s="31" t="inlineStr">
        <is>
          <t/>
        </is>
      </c>
      <c r="F72" s="32" t="n">
        <v>248.0</v>
      </c>
      <c r="G72" s="33" t="n">
        <v>156.0</v>
      </c>
      <c r="H72" s="34" t="n">
        <v>1545.0</v>
      </c>
      <c r="I72" s="35" t="n">
        <v>11.0</v>
      </c>
      <c r="J72" s="36" t="n">
        <v>0.81</v>
      </c>
      <c r="K72" s="37" t="inlineStr">
        <is>
          <t>Automation/Workflow Software</t>
        </is>
      </c>
      <c r="L72" s="38" t="inlineStr">
        <is>
          <t>Developers of mobile applications for scientists and researchers. The company develops applications such as PubChase, an app which recommends recently-published articles based on the authors and journals the user reads, and Protocols, a checklist utility designed specifically for experimental laboratory work.</t>
        </is>
      </c>
      <c r="M72" s="39" t="inlineStr">
        <is>
          <t>Anna Chernyak, Danny Qin, Gary Gershik, Joseph Duncan, Richard Hemley, Skydeck | Berkeley</t>
        </is>
      </c>
      <c r="N72" s="40" t="inlineStr">
        <is>
          <t>Accelerator/Incubator Backed</t>
        </is>
      </c>
      <c r="O72" s="41" t="inlineStr">
        <is>
          <t>Privately Held (backing)</t>
        </is>
      </c>
      <c r="P72" s="42" t="inlineStr">
        <is>
          <t>Berkeley, CA</t>
        </is>
      </c>
      <c r="Q72" s="43" t="inlineStr">
        <is>
          <t>www.protocols.io</t>
        </is>
      </c>
      <c r="R72" s="114">
        <f>HYPERLINK("https://my.pitchbook.com?c=62260-48", "View company online")</f>
      </c>
    </row>
    <row r="73">
      <c r="A73" s="9" t="inlineStr">
        <is>
          <t>104304-52</t>
        </is>
      </c>
      <c r="B73" s="10" t="inlineStr">
        <is>
          <t>ZapChain</t>
        </is>
      </c>
      <c r="C73" s="11" t="n">
        <v>-0.21649825030557857</v>
      </c>
      <c r="D73" s="12" t="n">
        <v>6.5316906047009216</v>
      </c>
      <c r="E73" s="13" t="inlineStr">
        <is>
          <t/>
        </is>
      </c>
      <c r="F73" s="14" t="n">
        <v>340.0</v>
      </c>
      <c r="G73" s="15" t="n">
        <v>772.0</v>
      </c>
      <c r="H73" s="16" t="n">
        <v>2402.0</v>
      </c>
      <c r="I73" s="17" t="n">
        <v>5.0</v>
      </c>
      <c r="J73" s="18" t="n">
        <v>0.35</v>
      </c>
      <c r="K73" s="19" t="inlineStr">
        <is>
          <t>Social Content</t>
        </is>
      </c>
      <c r="L73" s="20" t="inlineStr">
        <is>
          <t>Provider of a social platform for discussing about technology. The company provides a social platform which offers users with a community where they can discuss, share and post content related to current technology.</t>
        </is>
      </c>
      <c r="M73" s="21" t="inlineStr">
        <is>
          <t>Adam Draper, Boost VC, Timothy Draper</t>
        </is>
      </c>
      <c r="N73" s="22" t="inlineStr">
        <is>
          <t>Angel-Backed</t>
        </is>
      </c>
      <c r="O73" s="23" t="inlineStr">
        <is>
          <t>Privately Held (backing)</t>
        </is>
      </c>
      <c r="P73" s="24" t="inlineStr">
        <is>
          <t>San Francisco, CA</t>
        </is>
      </c>
      <c r="Q73" s="25" t="inlineStr">
        <is>
          <t>www.zapchain.com</t>
        </is>
      </c>
      <c r="R73" s="113">
        <f>HYPERLINK("https://my.pitchbook.com?c=104304-52", "View company online")</f>
      </c>
    </row>
    <row r="74">
      <c r="A74" s="27" t="inlineStr">
        <is>
          <t>99049-51</t>
        </is>
      </c>
      <c r="B74" s="28" t="inlineStr">
        <is>
          <t>Zambig</t>
        </is>
      </c>
      <c r="C74" s="29" t="n">
        <v>-0.019600017374199433</v>
      </c>
      <c r="D74" s="30" t="n">
        <v>0.4272452576800403</v>
      </c>
      <c r="E74" s="31" t="inlineStr">
        <is>
          <t/>
        </is>
      </c>
      <c r="F74" s="32" t="n">
        <v>17.0</v>
      </c>
      <c r="G74" s="33" t="n">
        <v>318.0</v>
      </c>
      <c r="H74" s="34" t="inlineStr">
        <is>
          <t/>
        </is>
      </c>
      <c r="I74" s="35" t="inlineStr">
        <is>
          <t/>
        </is>
      </c>
      <c r="J74" s="36" t="n">
        <v>0.1</v>
      </c>
      <c r="K74" s="37" t="inlineStr">
        <is>
          <t>Social/Platform Software</t>
        </is>
      </c>
      <c r="L74" s="38" t="inlineStr">
        <is>
          <t>Developer of an interactive audio platform. The company develops an interactive audio platform that allows radio listeners to verbally interact with celebrities, bands, and athletes and express their opinions about topics including politics, entertainment, and sports by recording and posting content.</t>
        </is>
      </c>
      <c r="M74" s="39" t="inlineStr">
        <is>
          <t>EvoNexus</t>
        </is>
      </c>
      <c r="N74" s="40" t="inlineStr">
        <is>
          <t>Accelerator/Incubator Backed</t>
        </is>
      </c>
      <c r="O74" s="41" t="inlineStr">
        <is>
          <t>Privately Held (backing)</t>
        </is>
      </c>
      <c r="P74" s="42" t="inlineStr">
        <is>
          <t>San Diego, CA</t>
        </is>
      </c>
      <c r="Q74" s="43" t="inlineStr">
        <is>
          <t>www.zambig.com</t>
        </is>
      </c>
      <c r="R74" s="114">
        <f>HYPERLINK("https://my.pitchbook.com?c=99049-51", "View company online")</f>
      </c>
    </row>
    <row r="75">
      <c r="A75" s="9" t="inlineStr">
        <is>
          <t>113593-87</t>
        </is>
      </c>
      <c r="B75" s="10" t="inlineStr">
        <is>
          <t>Zaka</t>
        </is>
      </c>
      <c r="C75" s="85">
        <f>HYPERLINK("https://my.pitchbook.com?rrp=113593-87&amp;type=c", "This Company's information is not available to download. Need this Company? Request availability")</f>
      </c>
      <c r="D75" s="12" t="inlineStr">
        <is>
          <t/>
        </is>
      </c>
      <c r="E75" s="13" t="inlineStr">
        <is>
          <t/>
        </is>
      </c>
      <c r="F75" s="14" t="inlineStr">
        <is>
          <t/>
        </is>
      </c>
      <c r="G75" s="15" t="inlineStr">
        <is>
          <t/>
        </is>
      </c>
      <c r="H75" s="16" t="inlineStr">
        <is>
          <t/>
        </is>
      </c>
      <c r="I75" s="17" t="inlineStr">
        <is>
          <t/>
        </is>
      </c>
      <c r="J75" s="18" t="inlineStr">
        <is>
          <t/>
        </is>
      </c>
      <c r="K75" s="19" t="inlineStr">
        <is>
          <t/>
        </is>
      </c>
      <c r="L75" s="20" t="inlineStr">
        <is>
          <t/>
        </is>
      </c>
      <c r="M75" s="21" t="inlineStr">
        <is>
          <t/>
        </is>
      </c>
      <c r="N75" s="22" t="inlineStr">
        <is>
          <t/>
        </is>
      </c>
      <c r="O75" s="23" t="inlineStr">
        <is>
          <t/>
        </is>
      </c>
      <c r="P75" s="24" t="inlineStr">
        <is>
          <t/>
        </is>
      </c>
      <c r="Q75" s="25" t="inlineStr">
        <is>
          <t/>
        </is>
      </c>
      <c r="R75" s="26" t="inlineStr">
        <is>
          <t/>
        </is>
      </c>
    </row>
    <row r="76">
      <c r="A76" s="27" t="inlineStr">
        <is>
          <t>103839-94</t>
        </is>
      </c>
      <c r="B76" s="28" t="inlineStr">
        <is>
          <t>Zackees</t>
        </is>
      </c>
      <c r="C76" s="29" t="n">
        <v>9.33132444090953E-4</v>
      </c>
      <c r="D76" s="30" t="n">
        <v>1.5702402054649658</v>
      </c>
      <c r="E76" s="31" t="inlineStr">
        <is>
          <t/>
        </is>
      </c>
      <c r="F76" s="32" t="n">
        <v>49.0</v>
      </c>
      <c r="G76" s="33" t="n">
        <v>2259.0</v>
      </c>
      <c r="H76" s="34" t="n">
        <v>292.0</v>
      </c>
      <c r="I76" s="35" t="inlineStr">
        <is>
          <t/>
        </is>
      </c>
      <c r="J76" s="36" t="n">
        <v>0.07</v>
      </c>
      <c r="K76" s="37" t="inlineStr">
        <is>
          <t>Clothing</t>
        </is>
      </c>
      <c r="L76" s="38" t="inlineStr">
        <is>
          <t>Developer of electronically enabled clothes. The company develops athletics and sports wear which is electronically enabled and focuses on athletic's safety while they are cycling, jogging, skateboarding and running.</t>
        </is>
      </c>
      <c r="M76" s="39" t="inlineStr">
        <is>
          <t>Wearable IoT World</t>
        </is>
      </c>
      <c r="N76" s="40" t="inlineStr">
        <is>
          <t>Angel-Backed</t>
        </is>
      </c>
      <c r="O76" s="41" t="inlineStr">
        <is>
          <t>Privately Held (backing)</t>
        </is>
      </c>
      <c r="P76" s="42" t="inlineStr">
        <is>
          <t>San Francisco, CA</t>
        </is>
      </c>
      <c r="Q76" s="43" t="inlineStr">
        <is>
          <t>www.zackees.com</t>
        </is>
      </c>
      <c r="R76" s="114">
        <f>HYPERLINK("https://my.pitchbook.com?c=103839-94", "View company online")</f>
      </c>
    </row>
    <row r="77">
      <c r="A77" s="9" t="inlineStr">
        <is>
          <t>172657-90</t>
        </is>
      </c>
      <c r="B77" s="10" t="inlineStr">
        <is>
          <t>Zaap</t>
        </is>
      </c>
      <c r="C77" s="85">
        <f>HYPERLINK("https://my.pitchbook.com?rrp=172657-90&amp;type=c", "This Company's information is not available to download. Need this Company? Request availability")</f>
      </c>
      <c r="D77" s="12" t="inlineStr">
        <is>
          <t/>
        </is>
      </c>
      <c r="E77" s="13" t="inlineStr">
        <is>
          <t/>
        </is>
      </c>
      <c r="F77" s="14" t="inlineStr">
        <is>
          <t/>
        </is>
      </c>
      <c r="G77" s="15" t="inlineStr">
        <is>
          <t/>
        </is>
      </c>
      <c r="H77" s="16" t="inlineStr">
        <is>
          <t/>
        </is>
      </c>
      <c r="I77" s="17" t="inlineStr">
        <is>
          <t/>
        </is>
      </c>
      <c r="J77" s="18" t="inlineStr">
        <is>
          <t/>
        </is>
      </c>
      <c r="K77" s="19" t="inlineStr">
        <is>
          <t/>
        </is>
      </c>
      <c r="L77" s="20" t="inlineStr">
        <is>
          <t/>
        </is>
      </c>
      <c r="M77" s="21" t="inlineStr">
        <is>
          <t/>
        </is>
      </c>
      <c r="N77" s="22" t="inlineStr">
        <is>
          <t/>
        </is>
      </c>
      <c r="O77" s="23" t="inlineStr">
        <is>
          <t/>
        </is>
      </c>
      <c r="P77" s="24" t="inlineStr">
        <is>
          <t/>
        </is>
      </c>
      <c r="Q77" s="25" t="inlineStr">
        <is>
          <t/>
        </is>
      </c>
      <c r="R77" s="26" t="inlineStr">
        <is>
          <t/>
        </is>
      </c>
    </row>
    <row r="78">
      <c r="A78" s="27" t="inlineStr">
        <is>
          <t>181826-74</t>
        </is>
      </c>
      <c r="B78" s="28" t="inlineStr">
        <is>
          <t>Z Grills</t>
        </is>
      </c>
      <c r="C78" s="29" t="inlineStr">
        <is>
          <t/>
        </is>
      </c>
      <c r="D78" s="30" t="inlineStr">
        <is>
          <t/>
        </is>
      </c>
      <c r="E78" s="31" t="inlineStr">
        <is>
          <t/>
        </is>
      </c>
      <c r="F78" s="32" t="inlineStr">
        <is>
          <t/>
        </is>
      </c>
      <c r="G78" s="33" t="inlineStr">
        <is>
          <t/>
        </is>
      </c>
      <c r="H78" s="34" t="inlineStr">
        <is>
          <t/>
        </is>
      </c>
      <c r="I78" s="35" t="inlineStr">
        <is>
          <t/>
        </is>
      </c>
      <c r="J78" s="36" t="inlineStr">
        <is>
          <t/>
        </is>
      </c>
      <c r="K78" s="37" t="inlineStr">
        <is>
          <t>Household Appliances</t>
        </is>
      </c>
      <c r="L78" s="38" t="inlineStr">
        <is>
          <t>Developer of a general purpose cooker designed to smoke, roast and grill food. The company's grill machine Z Grills Elite 900, uses a variety of savory wood pellets and integrates with a digital temperature control sensor that distributes heat, regulates and automates the convection process, enabling cooks to grill, bake, roast, braise and smoke food without consuming high energy or worrying about food getting burnt.</t>
        </is>
      </c>
      <c r="M78" s="39" t="inlineStr">
        <is>
          <t/>
        </is>
      </c>
      <c r="N78" s="40" t="inlineStr">
        <is>
          <t>Angel-Backed</t>
        </is>
      </c>
      <c r="O78" s="41" t="inlineStr">
        <is>
          <t>Privately Held (backing)</t>
        </is>
      </c>
      <c r="P78" s="42" t="inlineStr">
        <is>
          <t>Burlingame, CA</t>
        </is>
      </c>
      <c r="Q78" s="43" t="inlineStr">
        <is>
          <t>www.zgrills.com</t>
        </is>
      </c>
      <c r="R78" s="114">
        <f>HYPERLINK("https://my.pitchbook.com?c=181826-74", "View company online")</f>
      </c>
    </row>
    <row r="79">
      <c r="A79" s="9" t="inlineStr">
        <is>
          <t>157750-48</t>
        </is>
      </c>
      <c r="B79" s="10" t="inlineStr">
        <is>
          <t>Yurpal</t>
        </is>
      </c>
      <c r="C79" s="11" t="n">
        <v>0.0</v>
      </c>
      <c r="D79" s="12" t="n">
        <v>0.03389830508474576</v>
      </c>
      <c r="E79" s="13" t="inlineStr">
        <is>
          <t/>
        </is>
      </c>
      <c r="F79" s="14" t="inlineStr">
        <is>
          <t/>
        </is>
      </c>
      <c r="G79" s="15" t="inlineStr">
        <is>
          <t/>
        </is>
      </c>
      <c r="H79" s="16" t="n">
        <v>13.0</v>
      </c>
      <c r="I79" s="17" t="inlineStr">
        <is>
          <t/>
        </is>
      </c>
      <c r="J79" s="18" t="n">
        <v>0.09</v>
      </c>
      <c r="K79" s="19" t="inlineStr">
        <is>
          <t>Social/Platform Software</t>
        </is>
      </c>
      <c r="L79" s="20" t="inlineStr">
        <is>
          <t>Developer of an e-procurement platform. The company's platform enables users to control their procurement purchasing and processes with the help of geographic search engine and market intelligence system.</t>
        </is>
      </c>
      <c r="M79" s="21" t="inlineStr">
        <is>
          <t/>
        </is>
      </c>
      <c r="N79" s="22" t="inlineStr">
        <is>
          <t>Angel-Backed</t>
        </is>
      </c>
      <c r="O79" s="23" t="inlineStr">
        <is>
          <t>Privately Held (backing)</t>
        </is>
      </c>
      <c r="P79" s="24" t="inlineStr">
        <is>
          <t>Laguna Beach, CA</t>
        </is>
      </c>
      <c r="Q79" s="25" t="inlineStr">
        <is>
          <t>www.yurpal.com</t>
        </is>
      </c>
      <c r="R79" s="113">
        <f>HYPERLINK("https://my.pitchbook.com?c=157750-48", "View company online")</f>
      </c>
    </row>
    <row r="80">
      <c r="A80" s="27" t="inlineStr">
        <is>
          <t>103839-40</t>
        </is>
      </c>
      <c r="B80" s="28" t="inlineStr">
        <is>
          <t>YummyYummyTummy</t>
        </is>
      </c>
      <c r="C80" s="29" t="n">
        <v>1.2603512882001295</v>
      </c>
      <c r="D80" s="30" t="n">
        <v>1.7168142165747178</v>
      </c>
      <c r="E80" s="31" t="inlineStr">
        <is>
          <t/>
        </is>
      </c>
      <c r="F80" s="32" t="n">
        <v>123.0</v>
      </c>
      <c r="G80" s="33" t="n">
        <v>112.0</v>
      </c>
      <c r="H80" s="34" t="n">
        <v>9.0</v>
      </c>
      <c r="I80" s="35" t="inlineStr">
        <is>
          <t/>
        </is>
      </c>
      <c r="J80" s="36" t="n">
        <v>0.02</v>
      </c>
      <c r="K80" s="37" t="inlineStr">
        <is>
          <t>Entertainment Software</t>
        </is>
      </c>
      <c r="L80" s="38" t="inlineStr">
        <is>
          <t>Developer of educational games. The company engages in game development by combining a selection of guest anime characters and entertainment.</t>
        </is>
      </c>
      <c r="M80" s="39" t="inlineStr">
        <is>
          <t>Howard Marks, StartEngine.com</t>
        </is>
      </c>
      <c r="N80" s="40" t="inlineStr">
        <is>
          <t>Accelerator/Incubator Backed</t>
        </is>
      </c>
      <c r="O80" s="41" t="inlineStr">
        <is>
          <t>Privately Held (backing)</t>
        </is>
      </c>
      <c r="P80" s="42" t="inlineStr">
        <is>
          <t>Los Angeles, CA</t>
        </is>
      </c>
      <c r="Q80" s="43" t="inlineStr">
        <is>
          <t>www.yummyyummytummy.com</t>
        </is>
      </c>
      <c r="R80" s="114">
        <f>HYPERLINK("https://my.pitchbook.com?c=103839-40", "View company online")</f>
      </c>
    </row>
    <row r="81">
      <c r="A81" s="9" t="inlineStr">
        <is>
          <t>103839-22</t>
        </is>
      </c>
      <c r="B81" s="10" t="inlineStr">
        <is>
          <t>Yumber</t>
        </is>
      </c>
      <c r="C81" s="11" t="n">
        <v>0.0</v>
      </c>
      <c r="D81" s="12" t="n">
        <v>0.08108108108108109</v>
      </c>
      <c r="E81" s="13" t="inlineStr">
        <is>
          <t/>
        </is>
      </c>
      <c r="F81" s="14" t="n">
        <v>3.0</v>
      </c>
      <c r="G81" s="15" t="inlineStr">
        <is>
          <t/>
        </is>
      </c>
      <c r="H81" s="16" t="inlineStr">
        <is>
          <t/>
        </is>
      </c>
      <c r="I81" s="17" t="inlineStr">
        <is>
          <t/>
        </is>
      </c>
      <c r="J81" s="18" t="n">
        <v>0.16</v>
      </c>
      <c r="K81" s="19" t="inlineStr">
        <is>
          <t>Other IT Services</t>
        </is>
      </c>
      <c r="L81" s="20" t="inlineStr">
        <is>
          <t>Developer of verbal pathways to access online information. The company develops Verbal Resource Locators which serves as an alternative to the typical URLs and facilitates easy sharing and accessing of information on the internet by tying complex information to simple words.</t>
        </is>
      </c>
      <c r="M81" s="21" t="inlineStr">
        <is>
          <t/>
        </is>
      </c>
      <c r="N81" s="22" t="inlineStr">
        <is>
          <t>Angel-Backed</t>
        </is>
      </c>
      <c r="O81" s="23" t="inlineStr">
        <is>
          <t>Privately Held (backing)</t>
        </is>
      </c>
      <c r="P81" s="24" t="inlineStr">
        <is>
          <t>San Diego, CA</t>
        </is>
      </c>
      <c r="Q81" s="25" t="inlineStr">
        <is>
          <t>www.yumber.com</t>
        </is>
      </c>
      <c r="R81" s="113">
        <f>HYPERLINK("https://my.pitchbook.com?c=103839-22", "View company online")</f>
      </c>
    </row>
    <row r="82">
      <c r="A82" s="27" t="inlineStr">
        <is>
          <t>150436-18</t>
        </is>
      </c>
      <c r="B82" s="28" t="inlineStr">
        <is>
          <t>Yuktha Entertainment Services</t>
        </is>
      </c>
      <c r="C82" s="29" t="n">
        <v>0.0</v>
      </c>
      <c r="D82" s="30" t="n">
        <v>1.6756756756756757</v>
      </c>
      <c r="E82" s="31" t="inlineStr">
        <is>
          <t/>
        </is>
      </c>
      <c r="F82" s="32" t="n">
        <v>59.0</v>
      </c>
      <c r="G82" s="33" t="inlineStr">
        <is>
          <t/>
        </is>
      </c>
      <c r="H82" s="34" t="inlineStr">
        <is>
          <t/>
        </is>
      </c>
      <c r="I82" s="35" t="inlineStr">
        <is>
          <t/>
        </is>
      </c>
      <c r="J82" s="36" t="n">
        <v>0.24</v>
      </c>
      <c r="K82" s="37" t="inlineStr">
        <is>
          <t>Application Software</t>
        </is>
      </c>
      <c r="L82" s="38" t="inlineStr">
        <is>
          <t>Provider of a celebrity booking platform intended to appoint celebrities for events. The company's celebrity booking platform offers entertainment services for any corporate event, personal or family parties such as birthday, anniversary, engagement, marriage, naming ceremony and many others can find their choicest celebrities, artists, makeup artists, singers, dancers, musicians, magicians, all types of bands, DJs and VJs online, enabling clients to celebrate events with celebrities in low budget.</t>
        </is>
      </c>
      <c r="M82" s="39" t="inlineStr">
        <is>
          <t/>
        </is>
      </c>
      <c r="N82" s="40" t="inlineStr">
        <is>
          <t>Angel-Backed</t>
        </is>
      </c>
      <c r="O82" s="41" t="inlineStr">
        <is>
          <t>Privately Held (backing)</t>
        </is>
      </c>
      <c r="P82" s="42" t="inlineStr">
        <is>
          <t>Hyderabad, India</t>
        </is>
      </c>
      <c r="Q82" s="43" t="inlineStr">
        <is>
          <t>www.jilmore.com</t>
        </is>
      </c>
      <c r="R82" s="114">
        <f>HYPERLINK("https://my.pitchbook.com?c=150436-18", "View company online")</f>
      </c>
    </row>
    <row r="83">
      <c r="A83" s="9" t="inlineStr">
        <is>
          <t>168071-86</t>
        </is>
      </c>
      <c r="B83" s="10" t="inlineStr">
        <is>
          <t>YouSpace</t>
        </is>
      </c>
      <c r="C83" s="11" t="n">
        <v>0.0</v>
      </c>
      <c r="D83" s="12" t="n">
        <v>0.05405405405405406</v>
      </c>
      <c r="E83" s="13" t="inlineStr">
        <is>
          <t/>
        </is>
      </c>
      <c r="F83" s="14" t="n">
        <v>2.0</v>
      </c>
      <c r="G83" s="15" t="inlineStr">
        <is>
          <t/>
        </is>
      </c>
      <c r="H83" s="16" t="inlineStr">
        <is>
          <t/>
        </is>
      </c>
      <c r="I83" s="17" t="inlineStr">
        <is>
          <t/>
        </is>
      </c>
      <c r="J83" s="18" t="n">
        <v>6.0</v>
      </c>
      <c r="K83" s="19" t="inlineStr">
        <is>
          <t>Multimedia and Design Software</t>
        </is>
      </c>
      <c r="L83" s="20" t="inlineStr">
        <is>
          <t>Developer of human body recognition and motion tracking technologies designed to offer expertise in machine learning, computer vision and smart system automation. The company's human body recognition and motion tracking technologies offers fast accurate and intelligent human-machine interaction, enabling businesses to bring transformational computer vision technology to the market worldwide.</t>
        </is>
      </c>
      <c r="M83" s="21" t="inlineStr">
        <is>
          <t/>
        </is>
      </c>
      <c r="N83" s="22" t="inlineStr">
        <is>
          <t>Angel-Backed</t>
        </is>
      </c>
      <c r="O83" s="23" t="inlineStr">
        <is>
          <t>Privately Held (backing)</t>
        </is>
      </c>
      <c r="P83" s="24" t="inlineStr">
        <is>
          <t>Mountain View, CA</t>
        </is>
      </c>
      <c r="Q83" s="25" t="inlineStr">
        <is>
          <t>www.youspace.com</t>
        </is>
      </c>
      <c r="R83" s="113">
        <f>HYPERLINK("https://my.pitchbook.com?c=168071-86", "View company online")</f>
      </c>
    </row>
    <row r="84">
      <c r="A84" s="27" t="inlineStr">
        <is>
          <t>55422-82</t>
        </is>
      </c>
      <c r="B84" s="28" t="inlineStr">
        <is>
          <t>YourSports</t>
        </is>
      </c>
      <c r="C84" s="29" t="n">
        <v>0.4187871148918001</v>
      </c>
      <c r="D84" s="30" t="n">
        <v>15.378241758971308</v>
      </c>
      <c r="E84" s="31" t="inlineStr">
        <is>
          <t/>
        </is>
      </c>
      <c r="F84" s="32" t="n">
        <v>72.0</v>
      </c>
      <c r="G84" s="33" t="n">
        <v>28647.0</v>
      </c>
      <c r="H84" s="34" t="n">
        <v>7761.0</v>
      </c>
      <c r="I84" s="35" t="n">
        <v>23.0</v>
      </c>
      <c r="J84" s="36" t="n">
        <v>6.64</v>
      </c>
      <c r="K84" s="37" t="inlineStr">
        <is>
          <t>Social/Platform Software</t>
        </is>
      </c>
      <c r="L84" s="38" t="inlineStr">
        <is>
          <t>Opeartor of a social network for sports. The company's online platform connects users to sports news, people, places, products, organizations and teams.</t>
        </is>
      </c>
      <c r="M84" s="39" t="inlineStr">
        <is>
          <t>Individual Investor</t>
        </is>
      </c>
      <c r="N84" s="40" t="inlineStr">
        <is>
          <t>Angel-Backed</t>
        </is>
      </c>
      <c r="O84" s="41" t="inlineStr">
        <is>
          <t>Privately Held (backing)</t>
        </is>
      </c>
      <c r="P84" s="42" t="inlineStr">
        <is>
          <t>San Mateo, CA</t>
        </is>
      </c>
      <c r="Q84" s="43" t="inlineStr">
        <is>
          <t>www.yoursports.com</t>
        </is>
      </c>
      <c r="R84" s="114">
        <f>HYPERLINK("https://my.pitchbook.com?c=55422-82", "View company online")</f>
      </c>
    </row>
    <row r="85">
      <c r="A85" s="9" t="inlineStr">
        <is>
          <t>103718-53</t>
        </is>
      </c>
      <c r="B85" s="10" t="inlineStr">
        <is>
          <t>Yoursphere Media</t>
        </is>
      </c>
      <c r="C85" s="11" t="n">
        <v>-0.36734258743451753</v>
      </c>
      <c r="D85" s="12" t="n">
        <v>3.6670459858742834</v>
      </c>
      <c r="E85" s="13" t="inlineStr">
        <is>
          <t/>
        </is>
      </c>
      <c r="F85" s="14" t="n">
        <v>175.0</v>
      </c>
      <c r="G85" s="15" t="n">
        <v>66.0</v>
      </c>
      <c r="H85" s="16" t="n">
        <v>1834.0</v>
      </c>
      <c r="I85" s="17" t="inlineStr">
        <is>
          <t/>
        </is>
      </c>
      <c r="J85" s="18" t="n">
        <v>1.51</v>
      </c>
      <c r="K85" s="19" t="inlineStr">
        <is>
          <t>Social/Platform Software</t>
        </is>
      </c>
      <c r="L85" s="20" t="inlineStr">
        <is>
          <t>Provider of an online youth social networking platform. The company offers an online community platform for the youth to expand their network and share ideas and content online.</t>
        </is>
      </c>
      <c r="M85" s="21" t="inlineStr">
        <is>
          <t/>
        </is>
      </c>
      <c r="N85" s="22" t="inlineStr">
        <is>
          <t>Angel-Backed</t>
        </is>
      </c>
      <c r="O85" s="23" t="inlineStr">
        <is>
          <t>Privately Held (backing)</t>
        </is>
      </c>
      <c r="P85" s="24" t="inlineStr">
        <is>
          <t>Davis, CA</t>
        </is>
      </c>
      <c r="Q85" s="25" t="inlineStr">
        <is>
          <t>www.yoursphere.com</t>
        </is>
      </c>
      <c r="R85" s="113">
        <f>HYPERLINK("https://my.pitchbook.com?c=103718-53", "View company online")</f>
      </c>
    </row>
    <row r="86">
      <c r="A86" s="27" t="inlineStr">
        <is>
          <t>168270-13</t>
        </is>
      </c>
      <c r="B86" s="28" t="inlineStr">
        <is>
          <t>Yours Network</t>
        </is>
      </c>
      <c r="C86" s="29" t="n">
        <v>-0.11181839519055253</v>
      </c>
      <c r="D86" s="30" t="n">
        <v>4.367613376087952</v>
      </c>
      <c r="E86" s="31" t="inlineStr">
        <is>
          <t/>
        </is>
      </c>
      <c r="F86" s="32" t="n">
        <v>152.0</v>
      </c>
      <c r="G86" s="33" t="inlineStr">
        <is>
          <t/>
        </is>
      </c>
      <c r="H86" s="34" t="n">
        <v>1631.0</v>
      </c>
      <c r="I86" s="35" t="inlineStr">
        <is>
          <t/>
        </is>
      </c>
      <c r="J86" s="36" t="n">
        <v>0.18</v>
      </c>
      <c r="K86" s="37" t="inlineStr">
        <is>
          <t>Social/Platform Software</t>
        </is>
      </c>
      <c r="L86" s="38" t="inlineStr">
        <is>
          <t>Developer of micro-payment web wallet platform. The company's platform enables users to get paid for creating, discovering and moderating social media contents.</t>
        </is>
      </c>
      <c r="M86" s="39" t="inlineStr">
        <is>
          <t>Boost VC, Digital Currency Group, GaiaX Company, Huiyin Blockchain Venture</t>
        </is>
      </c>
      <c r="N86" s="40" t="inlineStr">
        <is>
          <t>Angel-Backed</t>
        </is>
      </c>
      <c r="O86" s="41" t="inlineStr">
        <is>
          <t>Privately Held (backing)</t>
        </is>
      </c>
      <c r="P86" s="42" t="inlineStr">
        <is>
          <t>San Francisco, CA</t>
        </is>
      </c>
      <c r="Q86" s="43" t="inlineStr">
        <is>
          <t/>
        </is>
      </c>
      <c r="R86" s="114">
        <f>HYPERLINK("https://my.pitchbook.com?c=168270-13", "View company online")</f>
      </c>
    </row>
    <row r="87">
      <c r="A87" s="9" t="inlineStr">
        <is>
          <t>103837-60</t>
        </is>
      </c>
      <c r="B87" s="10" t="inlineStr">
        <is>
          <t>YourListen.com</t>
        </is>
      </c>
      <c r="C87" s="11" t="n">
        <v>0.02877251556188409</v>
      </c>
      <c r="D87" s="12" t="n">
        <v>22.761087369082947</v>
      </c>
      <c r="E87" s="13" t="inlineStr">
        <is>
          <t/>
        </is>
      </c>
      <c r="F87" s="14" t="n">
        <v>229.0</v>
      </c>
      <c r="G87" s="15" t="n">
        <v>14733.0</v>
      </c>
      <c r="H87" s="16" t="n">
        <v>21350.0</v>
      </c>
      <c r="I87" s="17" t="n">
        <v>1.0</v>
      </c>
      <c r="J87" s="18" t="n">
        <v>0.01</v>
      </c>
      <c r="K87" s="19" t="inlineStr">
        <is>
          <t>Movies, Music and Entertainment</t>
        </is>
      </c>
      <c r="L87" s="20" t="inlineStr">
        <is>
          <t>Developer of a social audio and music platform. The company allows users to upload, listen, search discover, download and store music and audio.</t>
        </is>
      </c>
      <c r="M87" s="21" t="inlineStr">
        <is>
          <t>Venture Hive</t>
        </is>
      </c>
      <c r="N87" s="22" t="inlineStr">
        <is>
          <t>Accelerator/Incubator Backed</t>
        </is>
      </c>
      <c r="O87" s="23" t="inlineStr">
        <is>
          <t>Privately Held (backing)</t>
        </is>
      </c>
      <c r="P87" s="24" t="inlineStr">
        <is>
          <t>Los Angeles, CA</t>
        </is>
      </c>
      <c r="Q87" s="25" t="inlineStr">
        <is>
          <t>www.yourlisten.com</t>
        </is>
      </c>
      <c r="R87" s="113">
        <f>HYPERLINK("https://my.pitchbook.com?c=103837-60", "View company online")</f>
      </c>
    </row>
    <row r="88">
      <c r="A88" s="27" t="inlineStr">
        <is>
          <t>103135-42</t>
        </is>
      </c>
      <c r="B88" s="28" t="inlineStr">
        <is>
          <t>Your Truman Show</t>
        </is>
      </c>
      <c r="C88" s="29" t="n">
        <v>0.0</v>
      </c>
      <c r="D88" s="30" t="n">
        <v>1.6486486486486487</v>
      </c>
      <c r="E88" s="31" t="inlineStr">
        <is>
          <t/>
        </is>
      </c>
      <c r="F88" s="32" t="n">
        <v>61.0</v>
      </c>
      <c r="G88" s="33" t="inlineStr">
        <is>
          <t/>
        </is>
      </c>
      <c r="H88" s="34" t="inlineStr">
        <is>
          <t/>
        </is>
      </c>
      <c r="I88" s="35" t="n">
        <v>11.0</v>
      </c>
      <c r="J88" s="36" t="n">
        <v>1.3</v>
      </c>
      <c r="K88" s="37" t="inlineStr">
        <is>
          <t>Media and Information Services (B2B)</t>
        </is>
      </c>
      <c r="L88" s="38" t="inlineStr">
        <is>
          <t>Developer of social, discovery and advertising targeting products for video on the web. The company's product, Taglift helps ad networks, publishers and social networks in video inventory performance.</t>
        </is>
      </c>
      <c r="M88" s="39" t="inlineStr">
        <is>
          <t/>
        </is>
      </c>
      <c r="N88" s="40" t="inlineStr">
        <is>
          <t>Angel-Backed</t>
        </is>
      </c>
      <c r="O88" s="41" t="inlineStr">
        <is>
          <t>Privately Held (backing)</t>
        </is>
      </c>
      <c r="P88" s="42" t="inlineStr">
        <is>
          <t>San Francisco, CA</t>
        </is>
      </c>
      <c r="Q88" s="43" t="inlineStr">
        <is>
          <t>www.yourtrumanshow.com</t>
        </is>
      </c>
      <c r="R88" s="114">
        <f>HYPERLINK("https://my.pitchbook.com?c=103135-42", "View company online")</f>
      </c>
    </row>
    <row r="89">
      <c r="A89" s="9" t="inlineStr">
        <is>
          <t>103806-46</t>
        </is>
      </c>
      <c r="B89" s="10" t="inlineStr">
        <is>
          <t>YOUnite</t>
        </is>
      </c>
      <c r="C89" s="11" t="n">
        <v>0.0</v>
      </c>
      <c r="D89" s="12" t="n">
        <v>0.10810810810810811</v>
      </c>
      <c r="E89" s="13" t="inlineStr">
        <is>
          <t/>
        </is>
      </c>
      <c r="F89" s="14" t="n">
        <v>4.0</v>
      </c>
      <c r="G89" s="15" t="inlineStr">
        <is>
          <t/>
        </is>
      </c>
      <c r="H89" s="16" t="inlineStr">
        <is>
          <t/>
        </is>
      </c>
      <c r="I89" s="17" t="n">
        <v>2.0</v>
      </c>
      <c r="J89" s="18" t="n">
        <v>1.3</v>
      </c>
      <c r="K89" s="19" t="inlineStr">
        <is>
          <t>Social/Platform Software</t>
        </is>
      </c>
      <c r="L89" s="20" t="inlineStr">
        <is>
          <t>Provider of an online data-sharing platform. The company provides a web-based platform that enables the users to exchange information or private data securely.</t>
        </is>
      </c>
      <c r="M89" s="21" t="inlineStr">
        <is>
          <t/>
        </is>
      </c>
      <c r="N89" s="22" t="inlineStr">
        <is>
          <t>Angel-Backed</t>
        </is>
      </c>
      <c r="O89" s="23" t="inlineStr">
        <is>
          <t>Privately Held (backing)</t>
        </is>
      </c>
      <c r="P89" s="24" t="inlineStr">
        <is>
          <t>Mountain View, CA</t>
        </is>
      </c>
      <c r="Q89" s="25" t="inlineStr">
        <is>
          <t>www.youniteinc.com</t>
        </is>
      </c>
      <c r="R89" s="113">
        <f>HYPERLINK("https://my.pitchbook.com?c=103806-46", "View company online")</f>
      </c>
    </row>
    <row r="90">
      <c r="A90" s="27" t="inlineStr">
        <is>
          <t>170869-15</t>
        </is>
      </c>
      <c r="B90" s="28" t="inlineStr">
        <is>
          <t>YouFood</t>
        </is>
      </c>
      <c r="C90" s="29" t="n">
        <v>0.03373889344983573</v>
      </c>
      <c r="D90" s="30" t="n">
        <v>1.2491798567701293</v>
      </c>
      <c r="E90" s="31" t="inlineStr">
        <is>
          <t/>
        </is>
      </c>
      <c r="F90" s="32" t="n">
        <v>72.0</v>
      </c>
      <c r="G90" s="33" t="n">
        <v>406.0</v>
      </c>
      <c r="H90" s="34" t="n">
        <v>95.0</v>
      </c>
      <c r="I90" s="35" t="inlineStr">
        <is>
          <t/>
        </is>
      </c>
      <c r="J90" s="36" t="n">
        <v>0.12</v>
      </c>
      <c r="K90" s="37" t="inlineStr">
        <is>
          <t>Application Software</t>
        </is>
      </c>
      <c r="L90" s="38" t="inlineStr">
        <is>
          <t>Developer of a food application intended to discover, share and buy meals of choice. The company's food application is android and iOS based, enabling food lovers to stop dieting, discover and eat food of their choice which will be tasty as well healthy.</t>
        </is>
      </c>
      <c r="M90" s="39" t="inlineStr">
        <is>
          <t>NFX Guild</t>
        </is>
      </c>
      <c r="N90" s="40" t="inlineStr">
        <is>
          <t>Accelerator/Incubator Backed</t>
        </is>
      </c>
      <c r="O90" s="41" t="inlineStr">
        <is>
          <t>Privately Held (backing)</t>
        </is>
      </c>
      <c r="P90" s="42" t="inlineStr">
        <is>
          <t>San Francisco, CA</t>
        </is>
      </c>
      <c r="Q90" s="43" t="inlineStr">
        <is>
          <t>www.joinyoufood.com</t>
        </is>
      </c>
      <c r="R90" s="114">
        <f>HYPERLINK("https://my.pitchbook.com?c=170869-15", "View company online")</f>
      </c>
    </row>
    <row r="91">
      <c r="A91" s="9" t="inlineStr">
        <is>
          <t>83340-55</t>
        </is>
      </c>
      <c r="B91" s="10" t="inlineStr">
        <is>
          <t>Youbeo</t>
        </is>
      </c>
      <c r="C91" s="11" t="n">
        <v>-0.019799518840655367</v>
      </c>
      <c r="D91" s="12" t="n">
        <v>12.18787952074614</v>
      </c>
      <c r="E91" s="13" t="inlineStr">
        <is>
          <t/>
        </is>
      </c>
      <c r="F91" s="14" t="n">
        <v>17.0</v>
      </c>
      <c r="G91" s="15" t="n">
        <v>32671.0</v>
      </c>
      <c r="H91" s="16" t="n">
        <v>2550.0</v>
      </c>
      <c r="I91" s="17" t="n">
        <v>10.0</v>
      </c>
      <c r="J91" s="18" t="n">
        <v>0.43</v>
      </c>
      <c r="K91" s="19" t="inlineStr">
        <is>
          <t>Other Services (B2C Non-Financial)</t>
        </is>
      </c>
      <c r="L91" s="20" t="inlineStr">
        <is>
          <t>Provider of food delivery services. The company offers an online platform that enables students at universities to have orders catered from campus restaurants that do not already have delivery services.</t>
        </is>
      </c>
      <c r="M91" s="21" t="inlineStr">
        <is>
          <t>Bantam Group, Betaspring, Individual Investor, Joe Caruso, KohFounders, Sean Glass, Semyon Dukach</t>
        </is>
      </c>
      <c r="N91" s="22" t="inlineStr">
        <is>
          <t>Accelerator/Incubator Backed</t>
        </is>
      </c>
      <c r="O91" s="23" t="inlineStr">
        <is>
          <t>Privately Held (backing)</t>
        </is>
      </c>
      <c r="P91" s="24" t="inlineStr">
        <is>
          <t>Marina del Rey, CA</t>
        </is>
      </c>
      <c r="Q91" s="25" t="inlineStr">
        <is>
          <t>www.crunchbutton.com</t>
        </is>
      </c>
      <c r="R91" s="113">
        <f>HYPERLINK("https://my.pitchbook.com?c=83340-55", "View company online")</f>
      </c>
    </row>
    <row r="92">
      <c r="A92" s="27" t="inlineStr">
        <is>
          <t>121374-82</t>
        </is>
      </c>
      <c r="B92" s="28" t="inlineStr">
        <is>
          <t>You3Dit</t>
        </is>
      </c>
      <c r="C92" s="29" t="n">
        <v>0.18006911525575547</v>
      </c>
      <c r="D92" s="30" t="n">
        <v>1.2719884217304998</v>
      </c>
      <c r="E92" s="31" t="inlineStr">
        <is>
          <t/>
        </is>
      </c>
      <c r="F92" s="32" t="n">
        <v>63.0</v>
      </c>
      <c r="G92" s="33" t="n">
        <v>133.0</v>
      </c>
      <c r="H92" s="34" t="n">
        <v>520.0</v>
      </c>
      <c r="I92" s="35" t="inlineStr">
        <is>
          <t/>
        </is>
      </c>
      <c r="J92" s="36" t="inlineStr">
        <is>
          <t/>
        </is>
      </c>
      <c r="K92" s="37" t="inlineStr">
        <is>
          <t>Social/Platform Software</t>
        </is>
      </c>
      <c r="L92" s="38" t="inlineStr">
        <is>
          <t>Provider of a global platform of 3D designers and digital fabricators. The company's platform offers its customers personalized 3D printing and provides expert 3D designers with desktop manufacturing tools to transform ideas into reality.</t>
        </is>
      </c>
      <c r="M92" s="39" t="inlineStr">
        <is>
          <t>Skydeck | Berkeley</t>
        </is>
      </c>
      <c r="N92" s="40" t="inlineStr">
        <is>
          <t>Accelerator/Incubator Backed</t>
        </is>
      </c>
      <c r="O92" s="41" t="inlineStr">
        <is>
          <t>Privately Held (backing)</t>
        </is>
      </c>
      <c r="P92" s="42" t="inlineStr">
        <is>
          <t>Berkeley, CA</t>
        </is>
      </c>
      <c r="Q92" s="43" t="inlineStr">
        <is>
          <t>www.you3dit.com</t>
        </is>
      </c>
      <c r="R92" s="114">
        <f>HYPERLINK("https://my.pitchbook.com?c=121374-82", "View company online")</f>
      </c>
    </row>
    <row r="93">
      <c r="A93" s="9" t="inlineStr">
        <is>
          <t>103479-49</t>
        </is>
      </c>
      <c r="B93" s="10" t="inlineStr">
        <is>
          <t>Yottio</t>
        </is>
      </c>
      <c r="C93" s="11" t="n">
        <v>-0.00714012324073908</v>
      </c>
      <c r="D93" s="12" t="n">
        <v>0.3389774077688595</v>
      </c>
      <c r="E93" s="13" t="inlineStr">
        <is>
          <t/>
        </is>
      </c>
      <c r="F93" s="14" t="n">
        <v>2.0</v>
      </c>
      <c r="G93" s="15" t="n">
        <v>154.0</v>
      </c>
      <c r="H93" s="16" t="n">
        <v>374.0</v>
      </c>
      <c r="I93" s="17" t="n">
        <v>3.0</v>
      </c>
      <c r="J93" s="18" t="n">
        <v>0.23</v>
      </c>
      <c r="K93" s="19" t="inlineStr">
        <is>
          <t>Broadcasting, Radio and Television</t>
        </is>
      </c>
      <c r="L93" s="20" t="inlineStr">
        <is>
          <t>Developer of a live video trafficking platform. The company specializes in developing an online real-time video community that enables the fans or viewers to connect with media makers via live video.</t>
        </is>
      </c>
      <c r="M93" s="21" t="inlineStr">
        <is>
          <t>Christophe Louvion, Daniele Guidi, Individual Investor, JJ Sansone, Kwaai Oak, Stan Miroshnik</t>
        </is>
      </c>
      <c r="N93" s="22" t="inlineStr">
        <is>
          <t>Angel-Backed</t>
        </is>
      </c>
      <c r="O93" s="23" t="inlineStr">
        <is>
          <t>Privately Held (backing)</t>
        </is>
      </c>
      <c r="P93" s="24" t="inlineStr">
        <is>
          <t>Los Angeles, CA</t>
        </is>
      </c>
      <c r="Q93" s="25" t="inlineStr">
        <is>
          <t>www.yott.io</t>
        </is>
      </c>
      <c r="R93" s="113">
        <f>HYPERLINK("https://my.pitchbook.com?c=103479-49", "View company online")</f>
      </c>
    </row>
    <row r="94">
      <c r="A94" s="27" t="inlineStr">
        <is>
          <t>154990-18</t>
        </is>
      </c>
      <c r="B94" s="28" t="inlineStr">
        <is>
          <t>Yosemite Bigwalls</t>
        </is>
      </c>
      <c r="C94" s="29" t="n">
        <v>0.18662000716694552</v>
      </c>
      <c r="D94" s="30" t="n">
        <v>2.7668121537686754</v>
      </c>
      <c r="E94" s="31" t="inlineStr">
        <is>
          <t/>
        </is>
      </c>
      <c r="F94" s="32" t="n">
        <v>120.0</v>
      </c>
      <c r="G94" s="33" t="n">
        <v>1820.0</v>
      </c>
      <c r="H94" s="34" t="inlineStr">
        <is>
          <t/>
        </is>
      </c>
      <c r="I94" s="35" t="inlineStr">
        <is>
          <t/>
        </is>
      </c>
      <c r="J94" s="36" t="n">
        <v>0.02</v>
      </c>
      <c r="K94" s="37" t="inlineStr">
        <is>
          <t>Publishing</t>
        </is>
      </c>
      <c r="L94" s="38" t="inlineStr">
        <is>
          <t>Publisher of a rock climbing guide book. The company publishes a hardbound and digital guide book for rock climbing containing content for enthusiasts.</t>
        </is>
      </c>
      <c r="M94" s="39" t="inlineStr">
        <is>
          <t/>
        </is>
      </c>
      <c r="N94" s="40" t="inlineStr">
        <is>
          <t>Angel-Backed</t>
        </is>
      </c>
      <c r="O94" s="41" t="inlineStr">
        <is>
          <t>Privately Held (backing)</t>
        </is>
      </c>
      <c r="P94" s="42" t="inlineStr">
        <is>
          <t>Twain Harte, CA</t>
        </is>
      </c>
      <c r="Q94" s="43" t="inlineStr">
        <is>
          <t>www.yosemitebigwall.com</t>
        </is>
      </c>
      <c r="R94" s="114">
        <f>HYPERLINK("https://my.pitchbook.com?c=154990-18", "View company online")</f>
      </c>
    </row>
    <row r="95">
      <c r="A95" s="9" t="inlineStr">
        <is>
          <t>103462-75</t>
        </is>
      </c>
      <c r="B95" s="10" t="inlineStr">
        <is>
          <t>YoPro Global</t>
        </is>
      </c>
      <c r="C95" s="11" t="n">
        <v>0.0017611190143543374</v>
      </c>
      <c r="D95" s="12" t="n">
        <v>0.8421817279960242</v>
      </c>
      <c r="E95" s="13" t="inlineStr">
        <is>
          <t/>
        </is>
      </c>
      <c r="F95" s="14" t="n">
        <v>18.0</v>
      </c>
      <c r="G95" s="15" t="n">
        <v>737.0</v>
      </c>
      <c r="H95" s="16" t="n">
        <v>524.0</v>
      </c>
      <c r="I95" s="17" t="n">
        <v>12.0</v>
      </c>
      <c r="J95" s="18" t="n">
        <v>0.1</v>
      </c>
      <c r="K95" s="19" t="inlineStr">
        <is>
          <t>Social Content</t>
        </is>
      </c>
      <c r="L95" s="20" t="inlineStr">
        <is>
          <t>Provider of a social platform for personal and professional development of youths. The company provides a social platform and a global networking syatem for young professionals to develop personally and professionally with the help of programs, experiences and resources.</t>
        </is>
      </c>
      <c r="M95" s="21" t="inlineStr">
        <is>
          <t/>
        </is>
      </c>
      <c r="N95" s="22" t="inlineStr">
        <is>
          <t>Angel-Backed</t>
        </is>
      </c>
      <c r="O95" s="23" t="inlineStr">
        <is>
          <t>Privately Held (backing)</t>
        </is>
      </c>
      <c r="P95" s="24" t="inlineStr">
        <is>
          <t>San Francisco, CA</t>
        </is>
      </c>
      <c r="Q95" s="25" t="inlineStr">
        <is>
          <t>www.yoproglobal.org</t>
        </is>
      </c>
      <c r="R95" s="113">
        <f>HYPERLINK("https://my.pitchbook.com?c=103462-75", "View company online")</f>
      </c>
    </row>
    <row r="96">
      <c r="A96" s="27" t="inlineStr">
        <is>
          <t>98227-54</t>
        </is>
      </c>
      <c r="B96" s="28" t="inlineStr">
        <is>
          <t>Yoolod</t>
        </is>
      </c>
      <c r="C96" s="29" t="n">
        <v>-0.049371476870475925</v>
      </c>
      <c r="D96" s="30" t="n">
        <v>0.36982460932350397</v>
      </c>
      <c r="E96" s="31" t="inlineStr">
        <is>
          <t/>
        </is>
      </c>
      <c r="F96" s="32" t="n">
        <v>19.0</v>
      </c>
      <c r="G96" s="33" t="n">
        <v>125.0</v>
      </c>
      <c r="H96" s="34" t="n">
        <v>86.0</v>
      </c>
      <c r="I96" s="35" t="n">
        <v>4.0</v>
      </c>
      <c r="J96" s="36" t="inlineStr">
        <is>
          <t/>
        </is>
      </c>
      <c r="K96" s="37" t="inlineStr">
        <is>
          <t>Social/Platform Software</t>
        </is>
      </c>
      <c r="L96" s="38" t="inlineStr">
        <is>
          <t>Developer and provider of an online voice control platform. The company enables users to voice control a live person which is equipped with a point of view camera and streaming live HD video of what it sees and hears.</t>
        </is>
      </c>
      <c r="M96" s="39" t="inlineStr">
        <is>
          <t>Plug and Play Tech Center, Tech Wildcatters</t>
        </is>
      </c>
      <c r="N96" s="40" t="inlineStr">
        <is>
          <t>Accelerator/Incubator Backed</t>
        </is>
      </c>
      <c r="O96" s="41" t="inlineStr">
        <is>
          <t>Privately Held (backing)</t>
        </is>
      </c>
      <c r="P96" s="42" t="inlineStr">
        <is>
          <t>San Jose, CA</t>
        </is>
      </c>
      <c r="Q96" s="43" t="inlineStr">
        <is>
          <t>www.yoolod.com</t>
        </is>
      </c>
      <c r="R96" s="114">
        <f>HYPERLINK("https://my.pitchbook.com?c=98227-54", "View company online")</f>
      </c>
    </row>
    <row r="97">
      <c r="A97" s="9" t="inlineStr">
        <is>
          <t>164212-75</t>
        </is>
      </c>
      <c r="B97" s="10" t="inlineStr">
        <is>
          <t>Yooli Foods</t>
        </is>
      </c>
      <c r="C97" s="11" t="n">
        <v>0.0</v>
      </c>
      <c r="D97" s="12" t="n">
        <v>0.06926305187174753</v>
      </c>
      <c r="E97" s="13" t="inlineStr">
        <is>
          <t/>
        </is>
      </c>
      <c r="F97" s="14" t="n">
        <v>2.0</v>
      </c>
      <c r="G97" s="15" t="n">
        <v>68.0</v>
      </c>
      <c r="H97" s="16" t="inlineStr">
        <is>
          <t/>
        </is>
      </c>
      <c r="I97" s="17" t="inlineStr">
        <is>
          <t/>
        </is>
      </c>
      <c r="J97" s="18" t="inlineStr">
        <is>
          <t/>
        </is>
      </c>
      <c r="K97" s="19" t="inlineStr">
        <is>
          <t>Food Products</t>
        </is>
      </c>
      <c r="L97" s="20" t="inlineStr">
        <is>
          <t>Producer of dairy-based snacks. The company offers flavored dairy-based snacks such as cheese bars and cheese cream made from natural ingredients.</t>
        </is>
      </c>
      <c r="M97" s="21" t="inlineStr">
        <is>
          <t/>
        </is>
      </c>
      <c r="N97" s="22" t="inlineStr">
        <is>
          <t>Angel-Backed</t>
        </is>
      </c>
      <c r="O97" s="23" t="inlineStr">
        <is>
          <t>Privately Held (backing)</t>
        </is>
      </c>
      <c r="P97" s="24" t="inlineStr">
        <is>
          <t>San Francisco, CA</t>
        </is>
      </c>
      <c r="Q97" s="25" t="inlineStr">
        <is>
          <t>www.yoolifoods.com</t>
        </is>
      </c>
      <c r="R97" s="113">
        <f>HYPERLINK("https://my.pitchbook.com?c=164212-75", "View company online")</f>
      </c>
    </row>
    <row r="98">
      <c r="A98" s="27" t="inlineStr">
        <is>
          <t>172422-55</t>
        </is>
      </c>
      <c r="B98" s="28" t="inlineStr">
        <is>
          <t>YoloData</t>
        </is>
      </c>
      <c r="C98" s="86">
        <f>HYPERLINK("https://my.pitchbook.com?rrp=172422-55&amp;type=c", "This Company's information is not available to download. Need this Company? Request availability")</f>
      </c>
      <c r="D98" s="30" t="inlineStr">
        <is>
          <t/>
        </is>
      </c>
      <c r="E98" s="31" t="inlineStr">
        <is>
          <t/>
        </is>
      </c>
      <c r="F98" s="32" t="inlineStr">
        <is>
          <t/>
        </is>
      </c>
      <c r="G98" s="33" t="inlineStr">
        <is>
          <t/>
        </is>
      </c>
      <c r="H98" s="34" t="inlineStr">
        <is>
          <t/>
        </is>
      </c>
      <c r="I98" s="35" t="inlineStr">
        <is>
          <t/>
        </is>
      </c>
      <c r="J98" s="36" t="inlineStr">
        <is>
          <t/>
        </is>
      </c>
      <c r="K98" s="37" t="inlineStr">
        <is>
          <t/>
        </is>
      </c>
      <c r="L98" s="38" t="inlineStr">
        <is>
          <t/>
        </is>
      </c>
      <c r="M98" s="39" t="inlineStr">
        <is>
          <t/>
        </is>
      </c>
      <c r="N98" s="40" t="inlineStr">
        <is>
          <t/>
        </is>
      </c>
      <c r="O98" s="41" t="inlineStr">
        <is>
          <t/>
        </is>
      </c>
      <c r="P98" s="42" t="inlineStr">
        <is>
          <t/>
        </is>
      </c>
      <c r="Q98" s="43" t="inlineStr">
        <is>
          <t/>
        </is>
      </c>
      <c r="R98" s="44" t="inlineStr">
        <is>
          <t/>
        </is>
      </c>
    </row>
    <row r="99">
      <c r="A99" s="9" t="inlineStr">
        <is>
          <t>169750-90</t>
        </is>
      </c>
      <c r="B99" s="10" t="inlineStr">
        <is>
          <t>Yoke Payments</t>
        </is>
      </c>
      <c r="C99" s="11" t="n">
        <v>0.0</v>
      </c>
      <c r="D99" s="12" t="n">
        <v>0.3449723014940406</v>
      </c>
      <c r="E99" s="13" t="inlineStr">
        <is>
          <t/>
        </is>
      </c>
      <c r="F99" s="14" t="n">
        <v>23.0</v>
      </c>
      <c r="G99" s="15" t="n">
        <v>55.0</v>
      </c>
      <c r="H99" s="16" t="inlineStr">
        <is>
          <t/>
        </is>
      </c>
      <c r="I99" s="17" t="inlineStr">
        <is>
          <t/>
        </is>
      </c>
      <c r="J99" s="18" t="inlineStr">
        <is>
          <t/>
        </is>
      </c>
      <c r="K99" s="19" t="inlineStr">
        <is>
          <t>Application Software</t>
        </is>
      </c>
      <c r="L99" s="20" t="inlineStr">
        <is>
          <t>Provider of a mobile application intended to provide self-checkout and inventory management through one payment system. The company's point of sale mobile application provides an inventory management platform enables real-time inventory tracking and customized reports in order to avoid hassle of check-out lines and costly hardware.</t>
        </is>
      </c>
      <c r="M99" s="21" t="inlineStr">
        <is>
          <t>CSI Kick Start</t>
        </is>
      </c>
      <c r="N99" s="22" t="inlineStr">
        <is>
          <t>Accelerator/Incubator Backed</t>
        </is>
      </c>
      <c r="O99" s="23" t="inlineStr">
        <is>
          <t>Privately Held (backing)</t>
        </is>
      </c>
      <c r="P99" s="24" t="inlineStr">
        <is>
          <t>Los Angeles, CA</t>
        </is>
      </c>
      <c r="Q99" s="25" t="inlineStr">
        <is>
          <t>www.yokepayments.com</t>
        </is>
      </c>
      <c r="R99" s="113">
        <f>HYPERLINK("https://my.pitchbook.com?c=169750-90", "View company online")</f>
      </c>
    </row>
    <row r="100">
      <c r="A100" s="27" t="inlineStr">
        <is>
          <t>132096-61</t>
        </is>
      </c>
      <c r="B100" s="28" t="inlineStr">
        <is>
          <t>Yoderm</t>
        </is>
      </c>
      <c r="C100" s="29" t="n">
        <v>0.32432300029500916</v>
      </c>
      <c r="D100" s="30" t="n">
        <v>2.2493511408028724</v>
      </c>
      <c r="E100" s="31" t="inlineStr">
        <is>
          <t/>
        </is>
      </c>
      <c r="F100" s="32" t="n">
        <v>62.0</v>
      </c>
      <c r="G100" s="33" t="n">
        <v>3010.0</v>
      </c>
      <c r="H100" s="34" t="n">
        <v>646.0</v>
      </c>
      <c r="I100" s="35" t="inlineStr">
        <is>
          <t/>
        </is>
      </c>
      <c r="J100" s="36" t="n">
        <v>0.55</v>
      </c>
      <c r="K100" s="37" t="inlineStr">
        <is>
          <t>Application Software</t>
        </is>
      </c>
      <c r="L100" s="38" t="inlineStr">
        <is>
          <t>Developer of an online platform for connecting patients with dermatologists. The company develops a platform that enables users to get online acne consultation from dermatologists.</t>
        </is>
      </c>
      <c r="M100" s="39" t="inlineStr">
        <is>
          <t>500 Startups, Barich Business Services</t>
        </is>
      </c>
      <c r="N100" s="40" t="inlineStr">
        <is>
          <t>Accelerator/Incubator Backed</t>
        </is>
      </c>
      <c r="O100" s="41" t="inlineStr">
        <is>
          <t>Privately Held (backing)</t>
        </is>
      </c>
      <c r="P100" s="42" t="inlineStr">
        <is>
          <t>Berkeley, CA</t>
        </is>
      </c>
      <c r="Q100" s="43" t="inlineStr">
        <is>
          <t>www.yoderm.com</t>
        </is>
      </c>
      <c r="R100" s="114">
        <f>HYPERLINK("https://my.pitchbook.com?c=132096-61", "View company online")</f>
      </c>
    </row>
    <row r="101">
      <c r="A101" s="9" t="inlineStr">
        <is>
          <t>176510-89</t>
        </is>
      </c>
      <c r="B101" s="10" t="inlineStr">
        <is>
          <t>Yobs</t>
        </is>
      </c>
      <c r="C101" s="85">
        <f>HYPERLINK("https://my.pitchbook.com?rrp=176510-89&amp;type=c", "This Company's information is not available to download. Need this Company? Request availability")</f>
      </c>
      <c r="D101" s="12" t="inlineStr">
        <is>
          <t/>
        </is>
      </c>
      <c r="E101" s="13" t="inlineStr">
        <is>
          <t/>
        </is>
      </c>
      <c r="F101" s="14" t="inlineStr">
        <is>
          <t/>
        </is>
      </c>
      <c r="G101" s="15" t="inlineStr">
        <is>
          <t/>
        </is>
      </c>
      <c r="H101" s="16" t="inlineStr">
        <is>
          <t/>
        </is>
      </c>
      <c r="I101" s="17" t="inlineStr">
        <is>
          <t/>
        </is>
      </c>
      <c r="J101" s="18" t="inlineStr">
        <is>
          <t/>
        </is>
      </c>
      <c r="K101" s="19" t="inlineStr">
        <is>
          <t/>
        </is>
      </c>
      <c r="L101" s="20" t="inlineStr">
        <is>
          <t/>
        </is>
      </c>
      <c r="M101" s="21" t="inlineStr">
        <is>
          <t/>
        </is>
      </c>
      <c r="N101" s="22" t="inlineStr">
        <is>
          <t/>
        </is>
      </c>
      <c r="O101" s="23" t="inlineStr">
        <is>
          <t/>
        </is>
      </c>
      <c r="P101" s="24" t="inlineStr">
        <is>
          <t/>
        </is>
      </c>
      <c r="Q101" s="25" t="inlineStr">
        <is>
          <t/>
        </is>
      </c>
      <c r="R101" s="26" t="inlineStr">
        <is>
          <t/>
        </is>
      </c>
    </row>
    <row r="102">
      <c r="A102" s="27" t="inlineStr">
        <is>
          <t>104297-68</t>
        </is>
      </c>
      <c r="B102" s="28" t="inlineStr">
        <is>
          <t>Y-Klub</t>
        </is>
      </c>
      <c r="C102" s="29" t="n">
        <v>0.0</v>
      </c>
      <c r="D102" s="30" t="n">
        <v>0.2637043823484502</v>
      </c>
      <c r="E102" s="31" t="inlineStr">
        <is>
          <t/>
        </is>
      </c>
      <c r="F102" s="32" t="n">
        <v>3.0</v>
      </c>
      <c r="G102" s="33" t="inlineStr">
        <is>
          <t/>
        </is>
      </c>
      <c r="H102" s="34" t="n">
        <v>158.0</v>
      </c>
      <c r="I102" s="35" t="inlineStr">
        <is>
          <t/>
        </is>
      </c>
      <c r="J102" s="36" t="n">
        <v>0.09</v>
      </c>
      <c r="K102" s="37" t="inlineStr">
        <is>
          <t>Application Software</t>
        </is>
      </c>
      <c r="L102" s="38" t="inlineStr">
        <is>
          <t>Developer of a web-based social networking software. The company develops an application called SmartKal for friends to share plans and find events.</t>
        </is>
      </c>
      <c r="M102" s="39" t="inlineStr">
        <is>
          <t/>
        </is>
      </c>
      <c r="N102" s="40" t="inlineStr">
        <is>
          <t>Angel-Backed</t>
        </is>
      </c>
      <c r="O102" s="41" t="inlineStr">
        <is>
          <t>Privately Held (backing)</t>
        </is>
      </c>
      <c r="P102" s="42" t="inlineStr">
        <is>
          <t>San Francisco, CA</t>
        </is>
      </c>
      <c r="Q102" s="43" t="inlineStr">
        <is>
          <t>www.y-klub.com</t>
        </is>
      </c>
      <c r="R102" s="114">
        <f>HYPERLINK("https://my.pitchbook.com?c=104297-68", "View company online")</f>
      </c>
    </row>
    <row r="103">
      <c r="A103" s="9" t="inlineStr">
        <is>
          <t>168831-01</t>
        </is>
      </c>
      <c r="B103" s="10" t="inlineStr">
        <is>
          <t>YiTuuX</t>
        </is>
      </c>
      <c r="C103" s="11" t="inlineStr">
        <is>
          <t/>
        </is>
      </c>
      <c r="D103" s="12" t="inlineStr">
        <is>
          <t/>
        </is>
      </c>
      <c r="E103" s="13" t="inlineStr">
        <is>
          <t/>
        </is>
      </c>
      <c r="F103" s="14" t="inlineStr">
        <is>
          <t/>
        </is>
      </c>
      <c r="G103" s="15" t="inlineStr">
        <is>
          <t/>
        </is>
      </c>
      <c r="H103" s="16" t="inlineStr">
        <is>
          <t/>
        </is>
      </c>
      <c r="I103" s="17" t="inlineStr">
        <is>
          <t/>
        </is>
      </c>
      <c r="J103" s="18" t="inlineStr">
        <is>
          <t/>
        </is>
      </c>
      <c r="K103" s="19" t="inlineStr">
        <is>
          <t>Other Healthcare Technology Systems</t>
        </is>
      </c>
      <c r="L103" s="20" t="inlineStr">
        <is>
          <t>Developer of a medical image recognition tool. The company develops a cloud-based tool which uses machine learning and artificial intelligence to facilitate diagnosis and medical image recognition.</t>
        </is>
      </c>
      <c r="M103" s="21" t="inlineStr">
        <is>
          <t>Skydeck | Berkeley</t>
        </is>
      </c>
      <c r="N103" s="22" t="inlineStr">
        <is>
          <t>Accelerator/Incubator Backed</t>
        </is>
      </c>
      <c r="O103" s="23" t="inlineStr">
        <is>
          <t>Privately Held (backing)</t>
        </is>
      </c>
      <c r="P103" s="24" t="inlineStr">
        <is>
          <t>Berkeley, CA</t>
        </is>
      </c>
      <c r="Q103" s="25" t="inlineStr">
        <is>
          <t>www.yituux.com</t>
        </is>
      </c>
      <c r="R103" s="113">
        <f>HYPERLINK("https://my.pitchbook.com?c=168831-01", "View company online")</f>
      </c>
    </row>
    <row r="104">
      <c r="A104" s="27" t="inlineStr">
        <is>
          <t>104775-94</t>
        </is>
      </c>
      <c r="B104" s="28" t="inlineStr">
        <is>
          <t>Yiip</t>
        </is>
      </c>
      <c r="C104" s="29" t="n">
        <v>0.09879764656002868</v>
      </c>
      <c r="D104" s="30" t="n">
        <v>0.476292786628085</v>
      </c>
      <c r="E104" s="31" t="inlineStr">
        <is>
          <t/>
        </is>
      </c>
      <c r="F104" s="32" t="n">
        <v>11.0</v>
      </c>
      <c r="G104" s="33" t="n">
        <v>225.0</v>
      </c>
      <c r="H104" s="34" t="n">
        <v>364.0</v>
      </c>
      <c r="I104" s="35" t="n">
        <v>2.0</v>
      </c>
      <c r="J104" s="36" t="n">
        <v>0.5</v>
      </c>
      <c r="K104" s="37" t="inlineStr">
        <is>
          <t>Communication Software</t>
        </is>
      </c>
      <c r="L104" s="38" t="inlineStr">
        <is>
          <t>Provider of a real-time messaging platform. The company provides a platform which offers real-time voice-messaging through push-to-talk model which is also available as an API/SDK to integrate into applications.</t>
        </is>
      </c>
      <c r="M104" s="39" t="inlineStr">
        <is>
          <t/>
        </is>
      </c>
      <c r="N104" s="40" t="inlineStr">
        <is>
          <t>Angel-Backed</t>
        </is>
      </c>
      <c r="O104" s="41" t="inlineStr">
        <is>
          <t>Privately Held (backing)</t>
        </is>
      </c>
      <c r="P104" s="42" t="inlineStr">
        <is>
          <t>San Francisco, CA</t>
        </is>
      </c>
      <c r="Q104" s="43" t="inlineStr">
        <is>
          <t>www.voicelayer.io</t>
        </is>
      </c>
      <c r="R104" s="114">
        <f>HYPERLINK("https://my.pitchbook.com?c=104775-94", "View company online")</f>
      </c>
    </row>
    <row r="105">
      <c r="A105" s="9" t="inlineStr">
        <is>
          <t>58128-40</t>
        </is>
      </c>
      <c r="B105" s="10" t="inlineStr">
        <is>
          <t>Yidio</t>
        </is>
      </c>
      <c r="C105" s="11" t="n">
        <v>-0.40249259634620227</v>
      </c>
      <c r="D105" s="12" t="n">
        <v>240.6249495442384</v>
      </c>
      <c r="E105" s="13" t="inlineStr">
        <is>
          <t/>
        </is>
      </c>
      <c r="F105" s="14" t="n">
        <v>2231.0</v>
      </c>
      <c r="G105" s="15" t="n">
        <v>649643.0</v>
      </c>
      <c r="H105" s="16" t="n">
        <v>12472.0</v>
      </c>
      <c r="I105" s="17" t="n">
        <v>15.0</v>
      </c>
      <c r="J105" s="18" t="n">
        <v>0.35</v>
      </c>
      <c r="K105" s="19" t="inlineStr">
        <is>
          <t>Application Software</t>
        </is>
      </c>
      <c r="L105" s="20" t="inlineStr">
        <is>
          <t>Developer of a cross platform search and discovery application for TV Shows &amp; Movies. The company's application makes it easy to search, discover, and watch more than 1 million movies and TV shows across every content provider including Hulu, Amazon, iTunes, Netflix, and many more.</t>
        </is>
      </c>
      <c r="M105" s="21" t="inlineStr">
        <is>
          <t>Alan Warms, Bill Luby, Jamie Crouthamel, Jim Collis, Lon Chow</t>
        </is>
      </c>
      <c r="N105" s="22" t="inlineStr">
        <is>
          <t>Angel-Backed</t>
        </is>
      </c>
      <c r="O105" s="23" t="inlineStr">
        <is>
          <t>Privately Held (backing)</t>
        </is>
      </c>
      <c r="P105" s="24" t="inlineStr">
        <is>
          <t>San Francisco, CA</t>
        </is>
      </c>
      <c r="Q105" s="25" t="inlineStr">
        <is>
          <t>www.yidio.com</t>
        </is>
      </c>
      <c r="R105" s="113">
        <f>HYPERLINK("https://my.pitchbook.com?c=58128-40", "View company online")</f>
      </c>
    </row>
    <row r="106">
      <c r="A106" s="27" t="inlineStr">
        <is>
          <t>156306-07</t>
        </is>
      </c>
      <c r="B106" s="28" t="inlineStr">
        <is>
          <t>YFret</t>
        </is>
      </c>
      <c r="C106" s="29" t="inlineStr">
        <is>
          <t/>
        </is>
      </c>
      <c r="D106" s="30" t="inlineStr">
        <is>
          <t/>
        </is>
      </c>
      <c r="E106" s="31" t="inlineStr">
        <is>
          <t/>
        </is>
      </c>
      <c r="F106" s="32" t="inlineStr">
        <is>
          <t/>
        </is>
      </c>
      <c r="G106" s="33" t="inlineStr">
        <is>
          <t/>
        </is>
      </c>
      <c r="H106" s="34" t="inlineStr">
        <is>
          <t/>
        </is>
      </c>
      <c r="I106" s="35" t="inlineStr">
        <is>
          <t/>
        </is>
      </c>
      <c r="J106" s="36" t="n">
        <v>0.09</v>
      </c>
      <c r="K106" s="37" t="inlineStr">
        <is>
          <t>Social Content</t>
        </is>
      </c>
      <c r="L106" s="38" t="inlineStr">
        <is>
          <t>Developer of an online content recommendation platform. The company's platform auto generates content across Web, mobile application and emails and also allows online businesses to send relevant content to their audience.</t>
        </is>
      </c>
      <c r="M106" s="39" t="inlineStr">
        <is>
          <t>John Cook</t>
        </is>
      </c>
      <c r="N106" s="40" t="inlineStr">
        <is>
          <t>Angel-Backed</t>
        </is>
      </c>
      <c r="O106" s="41" t="inlineStr">
        <is>
          <t>Privately Held (backing)</t>
        </is>
      </c>
      <c r="P106" s="42" t="inlineStr">
        <is>
          <t>Palo Alto, CA</t>
        </is>
      </c>
      <c r="Q106" s="43" t="inlineStr">
        <is>
          <t>www.yfret.com</t>
        </is>
      </c>
      <c r="R106" s="114">
        <f>HYPERLINK("https://my.pitchbook.com?c=156306-07", "View company online")</f>
      </c>
    </row>
    <row r="107">
      <c r="A107" s="9" t="inlineStr">
        <is>
          <t>103443-49</t>
        </is>
      </c>
      <c r="B107" s="10" t="inlineStr">
        <is>
          <t>Yeti Data</t>
        </is>
      </c>
      <c r="C107" s="11" t="n">
        <v>0.0</v>
      </c>
      <c r="D107" s="12" t="n">
        <v>0.44196032014749775</v>
      </c>
      <c r="E107" s="13" t="inlineStr">
        <is>
          <t/>
        </is>
      </c>
      <c r="F107" s="14" t="n">
        <v>29.0</v>
      </c>
      <c r="G107" s="15" t="n">
        <v>93.0</v>
      </c>
      <c r="H107" s="16" t="n">
        <v>30.0</v>
      </c>
      <c r="I107" s="17" t="n">
        <v>9.0</v>
      </c>
      <c r="J107" s="18" t="n">
        <v>1.0</v>
      </c>
      <c r="K107" s="19" t="inlineStr">
        <is>
          <t>Social/Platform Software</t>
        </is>
      </c>
      <c r="L107" s="20" t="inlineStr">
        <is>
          <t>Developer of an online platform for marketing analytics services. The company provides attribution-based marketing analytics services to business entities dealing with large amounts of data to understand their multi-channel and multi-touch marketing campaigns.</t>
        </is>
      </c>
      <c r="M107" s="21" t="inlineStr">
        <is>
          <t>Kirenaga Partners, Raj Sandhu</t>
        </is>
      </c>
      <c r="N107" s="22" t="inlineStr">
        <is>
          <t>Angel-Backed</t>
        </is>
      </c>
      <c r="O107" s="23" t="inlineStr">
        <is>
          <t>Privately Held (backing)</t>
        </is>
      </c>
      <c r="P107" s="24" t="inlineStr">
        <is>
          <t>Palo Alto, CA</t>
        </is>
      </c>
      <c r="Q107" s="25" t="inlineStr">
        <is>
          <t>www.yetidata.com</t>
        </is>
      </c>
      <c r="R107" s="113">
        <f>HYPERLINK("https://my.pitchbook.com?c=103443-49", "View company online")</f>
      </c>
    </row>
    <row r="108">
      <c r="A108" s="27" t="inlineStr">
        <is>
          <t>108575-02</t>
        </is>
      </c>
      <c r="B108" s="28" t="inlineStr">
        <is>
          <t>Yes Man Watches</t>
        </is>
      </c>
      <c r="C108" s="29" t="n">
        <v>-0.02746561317965166</v>
      </c>
      <c r="D108" s="30" t="n">
        <v>7.500135576148841</v>
      </c>
      <c r="E108" s="31" t="inlineStr">
        <is>
          <t/>
        </is>
      </c>
      <c r="F108" s="32" t="n">
        <v>53.0</v>
      </c>
      <c r="G108" s="33" t="n">
        <v>4066.0</v>
      </c>
      <c r="H108" s="34" t="n">
        <v>7821.0</v>
      </c>
      <c r="I108" s="35" t="n">
        <v>4.0</v>
      </c>
      <c r="J108" s="36" t="inlineStr">
        <is>
          <t/>
        </is>
      </c>
      <c r="K108" s="37" t="inlineStr">
        <is>
          <t>Accessories</t>
        </is>
      </c>
      <c r="L108" s="38" t="inlineStr">
        <is>
          <t>Manufacturer of watches. The company is specialized in the manufacture and sales of watches and sunglasses in California.</t>
        </is>
      </c>
      <c r="M108" s="39" t="inlineStr">
        <is>
          <t/>
        </is>
      </c>
      <c r="N108" s="40" t="inlineStr">
        <is>
          <t>Angel-Backed</t>
        </is>
      </c>
      <c r="O108" s="41" t="inlineStr">
        <is>
          <t>Privately Held (backing)</t>
        </is>
      </c>
      <c r="P108" s="42" t="inlineStr">
        <is>
          <t>San Diego, CA</t>
        </is>
      </c>
      <c r="Q108" s="43" t="inlineStr">
        <is>
          <t>www.beayesman.com</t>
        </is>
      </c>
      <c r="R108" s="114">
        <f>HYPERLINK("https://my.pitchbook.com?c=108575-02", "View company online")</f>
      </c>
    </row>
    <row r="109">
      <c r="A109" s="9" t="inlineStr">
        <is>
          <t>103430-35</t>
        </is>
      </c>
      <c r="B109" s="10" t="inlineStr">
        <is>
          <t>Yes I Do</t>
        </is>
      </c>
      <c r="C109" s="11" t="n">
        <v>2.4746357892240064E-5</v>
      </c>
      <c r="D109" s="12" t="n">
        <v>0.47191539365452406</v>
      </c>
      <c r="E109" s="13" t="inlineStr">
        <is>
          <t/>
        </is>
      </c>
      <c r="F109" s="14" t="n">
        <v>5.0</v>
      </c>
      <c r="G109" s="15" t="n">
        <v>651.0</v>
      </c>
      <c r="H109" s="16" t="inlineStr">
        <is>
          <t/>
        </is>
      </c>
      <c r="I109" s="17" t="inlineStr">
        <is>
          <t/>
        </is>
      </c>
      <c r="J109" s="18" t="n">
        <v>0.04</v>
      </c>
      <c r="K109" s="19" t="inlineStr">
        <is>
          <t>Human Capital Services</t>
        </is>
      </c>
      <c r="L109" s="20" t="inlineStr">
        <is>
          <t>Provider of an online recruitment platform. The company helps in finding reviews and proposals on people, employers want to work with.</t>
        </is>
      </c>
      <c r="M109" s="21" t="inlineStr">
        <is>
          <t/>
        </is>
      </c>
      <c r="N109" s="22" t="inlineStr">
        <is>
          <t>Angel-Backed</t>
        </is>
      </c>
      <c r="O109" s="23" t="inlineStr">
        <is>
          <t>Privately Held (backing)</t>
        </is>
      </c>
      <c r="P109" s="24" t="inlineStr">
        <is>
          <t>Los Angeles, CA</t>
        </is>
      </c>
      <c r="Q109" s="25" t="inlineStr">
        <is>
          <t>www.yescrew.com</t>
        </is>
      </c>
      <c r="R109" s="113">
        <f>HYPERLINK("https://my.pitchbook.com?c=103430-35", "View company online")</f>
      </c>
    </row>
    <row r="110">
      <c r="A110" s="27" t="inlineStr">
        <is>
          <t>163667-71</t>
        </is>
      </c>
      <c r="B110" s="28" t="inlineStr">
        <is>
          <t>Yepse</t>
        </is>
      </c>
      <c r="C110" s="29" t="n">
        <v>0.548823710796746</v>
      </c>
      <c r="D110" s="30" t="n">
        <v>2.027429914386436</v>
      </c>
      <c r="E110" s="31" t="inlineStr">
        <is>
          <t/>
        </is>
      </c>
      <c r="F110" s="32" t="n">
        <v>24.0</v>
      </c>
      <c r="G110" s="33" t="n">
        <v>2728.0</v>
      </c>
      <c r="H110" s="34" t="inlineStr">
        <is>
          <t/>
        </is>
      </c>
      <c r="I110" s="35" t="inlineStr">
        <is>
          <t/>
        </is>
      </c>
      <c r="J110" s="36" t="inlineStr">
        <is>
          <t/>
        </is>
      </c>
      <c r="K110" s="37" t="inlineStr">
        <is>
          <t>Media and Information Services (B2B)</t>
        </is>
      </c>
      <c r="L110" s="38" t="inlineStr">
        <is>
          <t>Provider of a content advertising and marketing platform. The company's platform enables content promotion, audience building as well as advertising rights trading.</t>
        </is>
      </c>
      <c r="M110" s="39" t="inlineStr">
        <is>
          <t>Faster Capital</t>
        </is>
      </c>
      <c r="N110" s="40" t="inlineStr">
        <is>
          <t>Accelerator/Incubator Backed</t>
        </is>
      </c>
      <c r="O110" s="41" t="inlineStr">
        <is>
          <t>Privately Held (backing)</t>
        </is>
      </c>
      <c r="P110" s="42" t="inlineStr">
        <is>
          <t>San Francisco, CA</t>
        </is>
      </c>
      <c r="Q110" s="43" t="inlineStr">
        <is>
          <t>www.yepse.com</t>
        </is>
      </c>
      <c r="R110" s="114">
        <f>HYPERLINK("https://my.pitchbook.com?c=163667-71", "View company online")</f>
      </c>
    </row>
    <row r="111">
      <c r="A111" s="9" t="inlineStr">
        <is>
          <t>180414-64</t>
        </is>
      </c>
      <c r="B111" s="10" t="inlineStr">
        <is>
          <t>Yellowfinch</t>
        </is>
      </c>
      <c r="C111" s="85">
        <f>HYPERLINK("https://my.pitchbook.com?rrp=180414-64&amp;type=c", "This Company's information is not available to download. Need this Company? Request availability")</f>
      </c>
      <c r="D111" s="12" t="inlineStr">
        <is>
          <t/>
        </is>
      </c>
      <c r="E111" s="13" t="inlineStr">
        <is>
          <t/>
        </is>
      </c>
      <c r="F111" s="14" t="inlineStr">
        <is>
          <t/>
        </is>
      </c>
      <c r="G111" s="15" t="inlineStr">
        <is>
          <t/>
        </is>
      </c>
      <c r="H111" s="16" t="inlineStr">
        <is>
          <t/>
        </is>
      </c>
      <c r="I111" s="17" t="inlineStr">
        <is>
          <t/>
        </is>
      </c>
      <c r="J111" s="18" t="inlineStr">
        <is>
          <t/>
        </is>
      </c>
      <c r="K111" s="19" t="inlineStr">
        <is>
          <t/>
        </is>
      </c>
      <c r="L111" s="20" t="inlineStr">
        <is>
          <t/>
        </is>
      </c>
      <c r="M111" s="21" t="inlineStr">
        <is>
          <t/>
        </is>
      </c>
      <c r="N111" s="22" t="inlineStr">
        <is>
          <t/>
        </is>
      </c>
      <c r="O111" s="23" t="inlineStr">
        <is>
          <t/>
        </is>
      </c>
      <c r="P111" s="24" t="inlineStr">
        <is>
          <t/>
        </is>
      </c>
      <c r="Q111" s="25" t="inlineStr">
        <is>
          <t/>
        </is>
      </c>
      <c r="R111" s="26" t="inlineStr">
        <is>
          <t/>
        </is>
      </c>
    </row>
    <row r="112">
      <c r="A112" s="27" t="inlineStr">
        <is>
          <t>163668-43</t>
        </is>
      </c>
      <c r="B112" s="28" t="inlineStr">
        <is>
          <t>YelliGo</t>
        </is>
      </c>
      <c r="C112" s="29" t="n">
        <v>-0.002536473182751899</v>
      </c>
      <c r="D112" s="30" t="n">
        <v>0.051742098978650196</v>
      </c>
      <c r="E112" s="31" t="inlineStr">
        <is>
          <t/>
        </is>
      </c>
      <c r="F112" s="32" t="n">
        <v>1.0</v>
      </c>
      <c r="G112" s="33" t="n">
        <v>110.0</v>
      </c>
      <c r="H112" s="34" t="n">
        <v>4.0</v>
      </c>
      <c r="I112" s="35" t="inlineStr">
        <is>
          <t/>
        </is>
      </c>
      <c r="J112" s="36" t="inlineStr">
        <is>
          <t/>
        </is>
      </c>
      <c r="K112" s="37" t="inlineStr">
        <is>
          <t>Application Software</t>
        </is>
      </c>
      <c r="L112" s="38" t="inlineStr">
        <is>
          <t>Developer of an intra-team interacting application. The company develops a centralized application that enables team members to assign, monitor and communicate work plans and activity reports among themselves using a common interface that can be accessed from anywhere.</t>
        </is>
      </c>
      <c r="M112" s="39" t="inlineStr">
        <is>
          <t>Faster Capital</t>
        </is>
      </c>
      <c r="N112" s="40" t="inlineStr">
        <is>
          <t>Accelerator/Incubator Backed</t>
        </is>
      </c>
      <c r="O112" s="41" t="inlineStr">
        <is>
          <t>Privately Held (backing)</t>
        </is>
      </c>
      <c r="P112" s="42" t="inlineStr">
        <is>
          <t>Pleasanton, CA</t>
        </is>
      </c>
      <c r="Q112" s="43" t="inlineStr">
        <is>
          <t>www.yelligo.com</t>
        </is>
      </c>
      <c r="R112" s="114">
        <f>HYPERLINK("https://my.pitchbook.com?c=163668-43", "View company online")</f>
      </c>
    </row>
    <row r="113">
      <c r="A113" s="9" t="inlineStr">
        <is>
          <t>154370-98</t>
        </is>
      </c>
      <c r="B113" s="10" t="inlineStr">
        <is>
          <t>YayPay</t>
        </is>
      </c>
      <c r="C113" s="11" t="n">
        <v>2.242966219354188</v>
      </c>
      <c r="D113" s="12" t="n">
        <v>2.7492628432201016</v>
      </c>
      <c r="E113" s="13" t="inlineStr">
        <is>
          <t/>
        </is>
      </c>
      <c r="F113" s="14" t="n">
        <v>134.0</v>
      </c>
      <c r="G113" s="15" t="n">
        <v>654.0</v>
      </c>
      <c r="H113" s="16" t="n">
        <v>925.0</v>
      </c>
      <c r="I113" s="17" t="inlineStr">
        <is>
          <t/>
        </is>
      </c>
      <c r="J113" s="18" t="n">
        <v>1.15</v>
      </c>
      <c r="K113" s="19" t="inlineStr">
        <is>
          <t>Financial Software</t>
        </is>
      </c>
      <c r="L113" s="20" t="inlineStr">
        <is>
          <t>Developer of an accounts receivables management software. The company offers an accounts receivable software that automates payment work flows for invoice collection process.</t>
        </is>
      </c>
      <c r="M113" s="21" t="inlineStr">
        <is>
          <t>500 Startups, Right Side Capital Management, Techstars, Zelkova Ventures</t>
        </is>
      </c>
      <c r="N113" s="22" t="inlineStr">
        <is>
          <t>Accelerator/Incubator Backed</t>
        </is>
      </c>
      <c r="O113" s="23" t="inlineStr">
        <is>
          <t>Privately Held (backing)</t>
        </is>
      </c>
      <c r="P113" s="24" t="inlineStr">
        <is>
          <t>San Francisco, CA</t>
        </is>
      </c>
      <c r="Q113" s="25" t="inlineStr">
        <is>
          <t>www.yaypay.com</t>
        </is>
      </c>
      <c r="R113" s="113">
        <f>HYPERLINK("https://my.pitchbook.com?c=154370-98", "View company online")</f>
      </c>
    </row>
    <row r="114">
      <c r="A114" s="27" t="inlineStr">
        <is>
          <t>103695-13</t>
        </is>
      </c>
      <c r="B114" s="28" t="inlineStr">
        <is>
          <t>Yaware</t>
        </is>
      </c>
      <c r="C114" s="86">
        <f>HYPERLINK("https://my.pitchbook.com?rrp=103695-13&amp;type=c", "This Company's information is not available to download. Need this Company? Request availability")</f>
      </c>
      <c r="D114" s="30" t="inlineStr">
        <is>
          <t/>
        </is>
      </c>
      <c r="E114" s="31" t="inlineStr">
        <is>
          <t/>
        </is>
      </c>
      <c r="F114" s="32" t="inlineStr">
        <is>
          <t/>
        </is>
      </c>
      <c r="G114" s="33" t="inlineStr">
        <is>
          <t/>
        </is>
      </c>
      <c r="H114" s="34" t="inlineStr">
        <is>
          <t/>
        </is>
      </c>
      <c r="I114" s="35" t="inlineStr">
        <is>
          <t/>
        </is>
      </c>
      <c r="J114" s="36" t="inlineStr">
        <is>
          <t/>
        </is>
      </c>
      <c r="K114" s="37" t="inlineStr">
        <is>
          <t/>
        </is>
      </c>
      <c r="L114" s="38" t="inlineStr">
        <is>
          <t/>
        </is>
      </c>
      <c r="M114" s="39" t="inlineStr">
        <is>
          <t/>
        </is>
      </c>
      <c r="N114" s="40" t="inlineStr">
        <is>
          <t/>
        </is>
      </c>
      <c r="O114" s="41" t="inlineStr">
        <is>
          <t/>
        </is>
      </c>
      <c r="P114" s="42" t="inlineStr">
        <is>
          <t/>
        </is>
      </c>
      <c r="Q114" s="43" t="inlineStr">
        <is>
          <t/>
        </is>
      </c>
      <c r="R114" s="44" t="inlineStr">
        <is>
          <t/>
        </is>
      </c>
    </row>
    <row r="115">
      <c r="A115" s="9" t="inlineStr">
        <is>
          <t>104513-14</t>
        </is>
      </c>
      <c r="B115" s="10" t="inlineStr">
        <is>
          <t>Yattos</t>
        </is>
      </c>
      <c r="C115" s="11" t="n">
        <v>0.021932985272555154</v>
      </c>
      <c r="D115" s="12" t="n">
        <v>1.365053054422988</v>
      </c>
      <c r="E115" s="13" t="inlineStr">
        <is>
          <t/>
        </is>
      </c>
      <c r="F115" s="14" t="n">
        <v>20.0</v>
      </c>
      <c r="G115" s="15" t="n">
        <v>3009.0</v>
      </c>
      <c r="H115" s="16" t="n">
        <v>227.0</v>
      </c>
      <c r="I115" s="17" t="n">
        <v>2.0</v>
      </c>
      <c r="J115" s="18" t="n">
        <v>0.4</v>
      </c>
      <c r="K115" s="19" t="inlineStr">
        <is>
          <t>Other Financial Services</t>
        </is>
      </c>
      <c r="L115" s="20" t="inlineStr">
        <is>
          <t>Provider of an online social funding platform. The company enables users to organize social funding circles using their social networking accounts.</t>
        </is>
      </c>
      <c r="M115" s="21" t="inlineStr">
        <is>
          <t/>
        </is>
      </c>
      <c r="N115" s="22" t="inlineStr">
        <is>
          <t>Angel-Backed</t>
        </is>
      </c>
      <c r="O115" s="23" t="inlineStr">
        <is>
          <t>Privately Held (backing)</t>
        </is>
      </c>
      <c r="P115" s="24" t="inlineStr">
        <is>
          <t>San Francisco, CA</t>
        </is>
      </c>
      <c r="Q115" s="25" t="inlineStr">
        <is>
          <t>www.yattos.com</t>
        </is>
      </c>
      <c r="R115" s="113">
        <f>HYPERLINK("https://my.pitchbook.com?c=104513-14", "View company online")</f>
      </c>
    </row>
    <row r="116">
      <c r="A116" s="27" t="inlineStr">
        <is>
          <t>115019-65</t>
        </is>
      </c>
      <c r="B116" s="28" t="inlineStr">
        <is>
          <t>Yatragenie Services</t>
        </is>
      </c>
      <c r="C116" s="29" t="n">
        <v>-0.0050524651869508575</v>
      </c>
      <c r="D116" s="30" t="n">
        <v>38.48269514382263</v>
      </c>
      <c r="E116" s="31" t="inlineStr">
        <is>
          <t/>
        </is>
      </c>
      <c r="F116" s="32" t="n">
        <v>89.0</v>
      </c>
      <c r="G116" s="33" t="n">
        <v>117974.0</v>
      </c>
      <c r="H116" s="34" t="n">
        <v>898.0</v>
      </c>
      <c r="I116" s="35" t="n">
        <v>750.0</v>
      </c>
      <c r="J116" s="36" t="n">
        <v>9.41</v>
      </c>
      <c r="K116" s="37" t="inlineStr">
        <is>
          <t>Other Restaurants, Hotels and Leisure</t>
        </is>
      </c>
      <c r="L116" s="38" t="inlineStr">
        <is>
          <t>Operator of an online travel portal. The company provides bus and radio taxi booking services for traveling.</t>
        </is>
      </c>
      <c r="M116" s="39" t="inlineStr">
        <is>
          <t>Ash Bhardwaj</t>
        </is>
      </c>
      <c r="N116" s="40" t="inlineStr">
        <is>
          <t>Angel-Backed</t>
        </is>
      </c>
      <c r="O116" s="41" t="inlineStr">
        <is>
          <t>Privately Held (backing)</t>
        </is>
      </c>
      <c r="P116" s="42" t="inlineStr">
        <is>
          <t>Bangalore, India</t>
        </is>
      </c>
      <c r="Q116" s="43" t="inlineStr">
        <is>
          <t>www.yatragenie.com</t>
        </is>
      </c>
      <c r="R116" s="114">
        <f>HYPERLINK("https://my.pitchbook.com?c=115019-65", "View company online")</f>
      </c>
    </row>
    <row r="117">
      <c r="A117" s="9" t="inlineStr">
        <is>
          <t>181828-81</t>
        </is>
      </c>
      <c r="B117" s="10" t="inlineStr">
        <is>
          <t>Yassets</t>
        </is>
      </c>
      <c r="C117" s="85">
        <f>HYPERLINK("https://my.pitchbook.com?rrp=181828-81&amp;type=c", "This Company's information is not available to download. Need this Company? Request availability")</f>
      </c>
      <c r="D117" s="12" t="inlineStr">
        <is>
          <t/>
        </is>
      </c>
      <c r="E117" s="13" t="inlineStr">
        <is>
          <t/>
        </is>
      </c>
      <c r="F117" s="14" t="inlineStr">
        <is>
          <t/>
        </is>
      </c>
      <c r="G117" s="15" t="inlineStr">
        <is>
          <t/>
        </is>
      </c>
      <c r="H117" s="16" t="inlineStr">
        <is>
          <t/>
        </is>
      </c>
      <c r="I117" s="17" t="inlineStr">
        <is>
          <t/>
        </is>
      </c>
      <c r="J117" s="18" t="inlineStr">
        <is>
          <t/>
        </is>
      </c>
      <c r="K117" s="19" t="inlineStr">
        <is>
          <t/>
        </is>
      </c>
      <c r="L117" s="20" t="inlineStr">
        <is>
          <t/>
        </is>
      </c>
      <c r="M117" s="21" t="inlineStr">
        <is>
          <t/>
        </is>
      </c>
      <c r="N117" s="22" t="inlineStr">
        <is>
          <t/>
        </is>
      </c>
      <c r="O117" s="23" t="inlineStr">
        <is>
          <t/>
        </is>
      </c>
      <c r="P117" s="24" t="inlineStr">
        <is>
          <t/>
        </is>
      </c>
      <c r="Q117" s="25" t="inlineStr">
        <is>
          <t/>
        </is>
      </c>
      <c r="R117" s="26" t="inlineStr">
        <is>
          <t/>
        </is>
      </c>
    </row>
    <row r="118">
      <c r="A118" s="27" t="inlineStr">
        <is>
          <t>115464-61</t>
        </is>
      </c>
      <c r="B118" s="28" t="inlineStr">
        <is>
          <t>Yardbook</t>
        </is>
      </c>
      <c r="C118" s="29" t="n">
        <v>0.7830102892332935</v>
      </c>
      <c r="D118" s="30" t="n">
        <v>6.4486748012355966</v>
      </c>
      <c r="E118" s="31" t="inlineStr">
        <is>
          <t/>
        </is>
      </c>
      <c r="F118" s="32" t="n">
        <v>405.0</v>
      </c>
      <c r="G118" s="33" t="n">
        <v>2758.0</v>
      </c>
      <c r="H118" s="34" t="n">
        <v>166.0</v>
      </c>
      <c r="I118" s="35" t="n">
        <v>6.0</v>
      </c>
      <c r="J118" s="36" t="n">
        <v>0.12</v>
      </c>
      <c r="K118" s="37" t="inlineStr">
        <is>
          <t>Business/Productivity Software</t>
        </is>
      </c>
      <c r="L118" s="38" t="inlineStr">
        <is>
          <t>Provider of business management software. The company provides a cloud based business application for landscapers and lawn care businesses.</t>
        </is>
      </c>
      <c r="M118" s="39" t="inlineStr">
        <is>
          <t>Oriza Ventures, Tsingyuan Ventures, Y Combinator</t>
        </is>
      </c>
      <c r="N118" s="40" t="inlineStr">
        <is>
          <t>Accelerator/Incubator Backed</t>
        </is>
      </c>
      <c r="O118" s="41" t="inlineStr">
        <is>
          <t>Privately Held (backing)</t>
        </is>
      </c>
      <c r="P118" s="42" t="inlineStr">
        <is>
          <t>San Mateo, CA</t>
        </is>
      </c>
      <c r="Q118" s="43" t="inlineStr">
        <is>
          <t>www.yardbook.com</t>
        </is>
      </c>
      <c r="R118" s="114">
        <f>HYPERLINK("https://my.pitchbook.com?c=115464-61", "View company online")</f>
      </c>
    </row>
    <row r="119">
      <c r="A119" s="9" t="inlineStr">
        <is>
          <t>108413-47</t>
        </is>
      </c>
      <c r="B119" s="10" t="inlineStr">
        <is>
          <t>Yardarm Technologies</t>
        </is>
      </c>
      <c r="C119" s="11" t="n">
        <v>-0.04488272017077677</v>
      </c>
      <c r="D119" s="12" t="n">
        <v>2.673499770957398</v>
      </c>
      <c r="E119" s="13" t="inlineStr">
        <is>
          <t/>
        </is>
      </c>
      <c r="F119" s="14" t="n">
        <v>190.0</v>
      </c>
      <c r="G119" s="15" t="inlineStr">
        <is>
          <t/>
        </is>
      </c>
      <c r="H119" s="16" t="n">
        <v>75.0</v>
      </c>
      <c r="I119" s="17" t="n">
        <v>4.0</v>
      </c>
      <c r="J119" s="18" t="n">
        <v>3.1</v>
      </c>
      <c r="K119" s="19" t="inlineStr">
        <is>
          <t>Other Commercial Products</t>
        </is>
      </c>
      <c r="L119" s="20" t="inlineStr">
        <is>
          <t>Developer of wireless firearm technologies. The company develops sensors which tracks the location, movement, holstering as well as discharge and direction of fire of weapons and allows wireless reporting of these information to the relevant departments.</t>
        </is>
      </c>
      <c r="M119" s="21" t="inlineStr">
        <is>
          <t>Paul Hammond</t>
        </is>
      </c>
      <c r="N119" s="22" t="inlineStr">
        <is>
          <t>Angel-Backed</t>
        </is>
      </c>
      <c r="O119" s="23" t="inlineStr">
        <is>
          <t>Privately Held (backing)</t>
        </is>
      </c>
      <c r="P119" s="24" t="inlineStr">
        <is>
          <t>Capitola, CA</t>
        </is>
      </c>
      <c r="Q119" s="25" t="inlineStr">
        <is>
          <t>www.yardarmtech.com</t>
        </is>
      </c>
      <c r="R119" s="113">
        <f>HYPERLINK("https://my.pitchbook.com?c=108413-47", "View company online")</f>
      </c>
    </row>
    <row r="120">
      <c r="A120" s="27" t="inlineStr">
        <is>
          <t>109612-00</t>
        </is>
      </c>
      <c r="B120" s="28" t="inlineStr">
        <is>
          <t>Yappee</t>
        </is>
      </c>
      <c r="C120" s="29" t="n">
        <v>0.014437133688081707</v>
      </c>
      <c r="D120" s="30" t="n">
        <v>1.0159345839154241</v>
      </c>
      <c r="E120" s="31" t="inlineStr">
        <is>
          <t/>
        </is>
      </c>
      <c r="F120" s="32" t="n">
        <v>31.0</v>
      </c>
      <c r="G120" s="33" t="n">
        <v>1170.0</v>
      </c>
      <c r="H120" s="34" t="n">
        <v>349.0</v>
      </c>
      <c r="I120" s="35" t="n">
        <v>6.0</v>
      </c>
      <c r="J120" s="36" t="inlineStr">
        <is>
          <t/>
        </is>
      </c>
      <c r="K120" s="37" t="inlineStr">
        <is>
          <t>Other Commercial Services</t>
        </is>
      </c>
      <c r="L120" s="38" t="inlineStr">
        <is>
          <t>Provider of a marketing and discovery platform. The company's platform lets users find new businesses recommended by the people they know and also helps businesses find new customers.</t>
        </is>
      </c>
      <c r="M120" s="39" t="inlineStr">
        <is>
          <t/>
        </is>
      </c>
      <c r="N120" s="40" t="inlineStr">
        <is>
          <t>Angel-Backed</t>
        </is>
      </c>
      <c r="O120" s="41" t="inlineStr">
        <is>
          <t>Privately Held (backing)</t>
        </is>
      </c>
      <c r="P120" s="42" t="inlineStr">
        <is>
          <t>San Diego, CA</t>
        </is>
      </c>
      <c r="Q120" s="43" t="inlineStr">
        <is>
          <t>www.yappee.com</t>
        </is>
      </c>
      <c r="R120" s="114">
        <f>HYPERLINK("https://my.pitchbook.com?c=109612-00", "View company online")</f>
      </c>
    </row>
    <row r="121">
      <c r="A121" s="9" t="inlineStr">
        <is>
          <t>118105-93</t>
        </is>
      </c>
      <c r="B121" s="10" t="inlineStr">
        <is>
          <t>Yacht Club Games</t>
        </is>
      </c>
      <c r="C121" s="11" t="n">
        <v>0.2966578316769294</v>
      </c>
      <c r="D121" s="12" t="n">
        <v>50.07353002544602</v>
      </c>
      <c r="E121" s="13" t="inlineStr">
        <is>
          <t/>
        </is>
      </c>
      <c r="F121" s="14" t="n">
        <v>84.0</v>
      </c>
      <c r="G121" s="15" t="n">
        <v>14894.0</v>
      </c>
      <c r="H121" s="16" t="n">
        <v>62627.0</v>
      </c>
      <c r="I121" s="17" t="inlineStr">
        <is>
          <t/>
        </is>
      </c>
      <c r="J121" s="18" t="inlineStr">
        <is>
          <t/>
        </is>
      </c>
      <c r="K121" s="19" t="inlineStr">
        <is>
          <t>Entertainment Software</t>
        </is>
      </c>
      <c r="L121" s="20" t="inlineStr">
        <is>
          <t>Operator of a gaming studio created to design and publish video games. The company specializes in designing and publishing single and multi-user adventurous video games that can be played online or downloaded via phone or laptops, enabling users to enjoy games in 2D and 3D immersive environments.</t>
        </is>
      </c>
      <c r="M121" s="21" t="inlineStr">
        <is>
          <t/>
        </is>
      </c>
      <c r="N121" s="22" t="inlineStr">
        <is>
          <t>Angel-Backed</t>
        </is>
      </c>
      <c r="O121" s="23" t="inlineStr">
        <is>
          <t>Privately Held (backing)</t>
        </is>
      </c>
      <c r="P121" s="24" t="inlineStr">
        <is>
          <t>Marina Del Rey, CA</t>
        </is>
      </c>
      <c r="Q121" s="25" t="inlineStr">
        <is>
          <t>www.yachtclubgames.com</t>
        </is>
      </c>
      <c r="R121" s="113">
        <f>HYPERLINK("https://my.pitchbook.com?c=118105-93", "View company online")</f>
      </c>
    </row>
    <row r="122">
      <c r="A122" s="27" t="inlineStr">
        <is>
          <t>125616-34</t>
        </is>
      </c>
      <c r="B122" s="28" t="inlineStr">
        <is>
          <t>X-Zell</t>
        </is>
      </c>
      <c r="C122" s="29" t="n">
        <v>0.0</v>
      </c>
      <c r="D122" s="30" t="n">
        <v>1.7567567567567568</v>
      </c>
      <c r="E122" s="31" t="inlineStr">
        <is>
          <t/>
        </is>
      </c>
      <c r="F122" s="32" t="n">
        <v>65.0</v>
      </c>
      <c r="G122" s="33" t="inlineStr">
        <is>
          <t/>
        </is>
      </c>
      <c r="H122" s="34" t="inlineStr">
        <is>
          <t/>
        </is>
      </c>
      <c r="I122" s="35" t="inlineStr">
        <is>
          <t/>
        </is>
      </c>
      <c r="J122" s="36" t="n">
        <v>0.32</v>
      </c>
      <c r="K122" s="37" t="inlineStr">
        <is>
          <t>Decision/Risk Analysis</t>
        </is>
      </c>
      <c r="L122" s="38" t="inlineStr">
        <is>
          <t>Developer of a testing tool for cancer cells. The company removes health cells from a standard blood sample and then visualizes leftover circulating cancer cells on laboratory slides, seamlessly integrating into routine laboratory workflows.</t>
        </is>
      </c>
      <c r="M122" s="39" t="inlineStr">
        <is>
          <t>Paul Buchheit, Y Combinator</t>
        </is>
      </c>
      <c r="N122" s="40" t="inlineStr">
        <is>
          <t>Accelerator/Incubator Backed</t>
        </is>
      </c>
      <c r="O122" s="41" t="inlineStr">
        <is>
          <t>Privately Held (backing)</t>
        </is>
      </c>
      <c r="P122" s="42" t="inlineStr">
        <is>
          <t>Mountain View, CA</t>
        </is>
      </c>
      <c r="Q122" s="43" t="inlineStr">
        <is>
          <t>www.x-zell.com</t>
        </is>
      </c>
      <c r="R122" s="114">
        <f>HYPERLINK("https://my.pitchbook.com?c=125616-34", "View company online")</f>
      </c>
    </row>
    <row r="123">
      <c r="A123" s="9" t="inlineStr">
        <is>
          <t>127243-18</t>
        </is>
      </c>
      <c r="B123" s="10" t="inlineStr">
        <is>
          <t>XYZZY Studios</t>
        </is>
      </c>
      <c r="C123" s="11" t="n">
        <v>0.0</v>
      </c>
      <c r="D123" s="12" t="n">
        <v>0.004968944099378882</v>
      </c>
      <c r="E123" s="13" t="inlineStr">
        <is>
          <t/>
        </is>
      </c>
      <c r="F123" s="14" t="inlineStr">
        <is>
          <t/>
        </is>
      </c>
      <c r="G123" s="15" t="n">
        <v>4.0</v>
      </c>
      <c r="H123" s="16" t="inlineStr">
        <is>
          <t/>
        </is>
      </c>
      <c r="I123" s="17" t="inlineStr">
        <is>
          <t/>
        </is>
      </c>
      <c r="J123" s="18" t="inlineStr">
        <is>
          <t/>
        </is>
      </c>
      <c r="K123" s="19" t="inlineStr">
        <is>
          <t>Entertainment Software</t>
        </is>
      </c>
      <c r="L123" s="20" t="inlineStr">
        <is>
          <t>Operator of a game development studio. The company operates an independent game development studio developing mobile games for all audiences.</t>
        </is>
      </c>
      <c r="M123" s="21" t="inlineStr">
        <is>
          <t>Chicostart</t>
        </is>
      </c>
      <c r="N123" s="22" t="inlineStr">
        <is>
          <t>Accelerator/Incubator Backed</t>
        </is>
      </c>
      <c r="O123" s="23" t="inlineStr">
        <is>
          <t>Privately Held (backing)</t>
        </is>
      </c>
      <c r="P123" s="24" t="inlineStr">
        <is>
          <t>Chico, CA</t>
        </is>
      </c>
      <c r="Q123" s="25" t="inlineStr">
        <is>
          <t>www.xyzzystudios.com</t>
        </is>
      </c>
      <c r="R123" s="113">
        <f>HYPERLINK("https://my.pitchbook.com?c=127243-18", "View company online")</f>
      </c>
    </row>
    <row r="124">
      <c r="A124" s="27" t="inlineStr">
        <is>
          <t>107519-32</t>
        </is>
      </c>
      <c r="B124" s="28" t="inlineStr">
        <is>
          <t>Xycrobe Therapeutics</t>
        </is>
      </c>
      <c r="C124" s="29" t="n">
        <v>0.0</v>
      </c>
      <c r="D124" s="30" t="n">
        <v>0.43243243243243246</v>
      </c>
      <c r="E124" s="31" t="inlineStr">
        <is>
          <t/>
        </is>
      </c>
      <c r="F124" s="32" t="n">
        <v>16.0</v>
      </c>
      <c r="G124" s="33" t="inlineStr">
        <is>
          <t/>
        </is>
      </c>
      <c r="H124" s="34" t="inlineStr">
        <is>
          <t/>
        </is>
      </c>
      <c r="I124" s="35" t="n">
        <v>3.0</v>
      </c>
      <c r="J124" s="36" t="n">
        <v>0.2</v>
      </c>
      <c r="K124" s="37" t="inlineStr">
        <is>
          <t>Biotechnology</t>
        </is>
      </c>
      <c r="L124" s="38" t="inlineStr">
        <is>
          <t>Provider of biotechnological services in California. The company uses data generated from human microbiome to develop therapies for clinical applications.</t>
        </is>
      </c>
      <c r="M124" s="39" t="inlineStr">
        <is>
          <t>JLabs</t>
        </is>
      </c>
      <c r="N124" s="40" t="inlineStr">
        <is>
          <t>Accelerator/Incubator Backed</t>
        </is>
      </c>
      <c r="O124" s="41" t="inlineStr">
        <is>
          <t>Privately Held (backing)</t>
        </is>
      </c>
      <c r="P124" s="42" t="inlineStr">
        <is>
          <t>San Diego, CA</t>
        </is>
      </c>
      <c r="Q124" s="43" t="inlineStr">
        <is>
          <t>www.xycrobe.com</t>
        </is>
      </c>
      <c r="R124" s="114">
        <f>HYPERLINK("https://my.pitchbook.com?c=107519-32", "View company online")</f>
      </c>
    </row>
    <row r="125">
      <c r="A125" s="9" t="inlineStr">
        <is>
          <t>167300-47</t>
        </is>
      </c>
      <c r="B125" s="10" t="inlineStr">
        <is>
          <t>XY Findables</t>
        </is>
      </c>
      <c r="C125" s="11" t="n">
        <v>0.11546342275613686</v>
      </c>
      <c r="D125" s="12" t="n">
        <v>35.5727152881906</v>
      </c>
      <c r="E125" s="13" t="inlineStr">
        <is>
          <t/>
        </is>
      </c>
      <c r="F125" s="14" t="n">
        <v>6.0</v>
      </c>
      <c r="G125" s="15" t="n">
        <v>107319.0</v>
      </c>
      <c r="H125" s="16" t="n">
        <v>3023.0</v>
      </c>
      <c r="I125" s="17" t="inlineStr">
        <is>
          <t/>
        </is>
      </c>
      <c r="J125" s="18" t="n">
        <v>0.02</v>
      </c>
      <c r="K125" s="19" t="inlineStr">
        <is>
          <t>Electronics (B2C)</t>
        </is>
      </c>
      <c r="L125" s="20" t="inlineStr">
        <is>
          <t>Provider of a bluetooth powered item finder. The company offers a tracking tag to its users, which is to be attached with any product, enabling users to track the device or item when misplaced.</t>
        </is>
      </c>
      <c r="M125" s="21" t="inlineStr">
        <is>
          <t/>
        </is>
      </c>
      <c r="N125" s="22" t="inlineStr">
        <is>
          <t>Angel-Backed</t>
        </is>
      </c>
      <c r="O125" s="23" t="inlineStr">
        <is>
          <t>Privately Held (backing)</t>
        </is>
      </c>
      <c r="P125" s="24" t="inlineStr">
        <is>
          <t>San Diego, CA</t>
        </is>
      </c>
      <c r="Q125" s="25" t="inlineStr">
        <is>
          <t>www.xyfindables.com</t>
        </is>
      </c>
      <c r="R125" s="113">
        <f>HYPERLINK("https://my.pitchbook.com?c=167300-47", "View company online")</f>
      </c>
    </row>
    <row r="126">
      <c r="A126" s="27" t="inlineStr">
        <is>
          <t>54446-77</t>
        </is>
      </c>
      <c r="B126" s="28" t="inlineStr">
        <is>
          <t>Xulu Entertainment</t>
        </is>
      </c>
      <c r="C126" s="29" t="n">
        <v>0.1883888414213218</v>
      </c>
      <c r="D126" s="30" t="n">
        <v>0.6194451004325728</v>
      </c>
      <c r="E126" s="31" t="inlineStr">
        <is>
          <t/>
        </is>
      </c>
      <c r="F126" s="32" t="n">
        <v>32.0</v>
      </c>
      <c r="G126" s="33" t="n">
        <v>441.0</v>
      </c>
      <c r="H126" s="34" t="n">
        <v>70.0</v>
      </c>
      <c r="I126" s="35" t="n">
        <v>15.0</v>
      </c>
      <c r="J126" s="36" t="n">
        <v>12.0</v>
      </c>
      <c r="K126" s="37" t="inlineStr">
        <is>
          <t>Entertainment Software</t>
        </is>
      </c>
      <c r="L126" s="38" t="inlineStr">
        <is>
          <t>Provider of an online casual gaming and virtual world platform. The company provides platforms and tools to its client to build and share online destination for gaming activities and social hangouts.</t>
        </is>
      </c>
      <c r="M126" s="39" t="inlineStr">
        <is>
          <t>Band of Angels</t>
        </is>
      </c>
      <c r="N126" s="40" t="inlineStr">
        <is>
          <t>Angel-Backed</t>
        </is>
      </c>
      <c r="O126" s="41" t="inlineStr">
        <is>
          <t>Privately Held (backing)</t>
        </is>
      </c>
      <c r="P126" s="42" t="inlineStr">
        <is>
          <t>Milpitas, CA</t>
        </is>
      </c>
      <c r="Q126" s="43" t="inlineStr">
        <is>
          <t>www.xulu.com</t>
        </is>
      </c>
      <c r="R126" s="114">
        <f>HYPERLINK("https://my.pitchbook.com?c=54446-77", "View company online")</f>
      </c>
    </row>
    <row r="127">
      <c r="A127" s="9" t="inlineStr">
        <is>
          <t>120001-78</t>
        </is>
      </c>
      <c r="B127" s="10" t="inlineStr">
        <is>
          <t>Xudera</t>
        </is>
      </c>
      <c r="C127" s="11" t="n">
        <v>0.0</v>
      </c>
      <c r="D127" s="12" t="n">
        <v>0.05405405405405406</v>
      </c>
      <c r="E127" s="13" t="inlineStr">
        <is>
          <t/>
        </is>
      </c>
      <c r="F127" s="14" t="n">
        <v>2.0</v>
      </c>
      <c r="G127" s="15" t="inlineStr">
        <is>
          <t/>
        </is>
      </c>
      <c r="H127" s="16" t="inlineStr">
        <is>
          <t/>
        </is>
      </c>
      <c r="I127" s="17" t="n">
        <v>7.0</v>
      </c>
      <c r="J127" s="18" t="n">
        <v>0.05</v>
      </c>
      <c r="K127" s="19" t="inlineStr">
        <is>
          <t>Information Services (B2C)</t>
        </is>
      </c>
      <c r="L127" s="20" t="inlineStr">
        <is>
          <t>Developer and provider of a digital travel guide. The company offers an application for business and leisure travelers that enables them to find information about restaurants, local events, places, clubs and other travel and tour recommendations.</t>
        </is>
      </c>
      <c r="M127" s="21" t="inlineStr">
        <is>
          <t/>
        </is>
      </c>
      <c r="N127" s="22" t="inlineStr">
        <is>
          <t>Angel-Backed</t>
        </is>
      </c>
      <c r="O127" s="23" t="inlineStr">
        <is>
          <t>Privately Held (backing)</t>
        </is>
      </c>
      <c r="P127" s="24" t="inlineStr">
        <is>
          <t>Santa Clara, CA</t>
        </is>
      </c>
      <c r="Q127" s="25" t="inlineStr">
        <is>
          <t>www.xudera.com</t>
        </is>
      </c>
      <c r="R127" s="113">
        <f>HYPERLINK("https://my.pitchbook.com?c=120001-78", "View company online")</f>
      </c>
    </row>
    <row r="128">
      <c r="A128" s="27" t="inlineStr">
        <is>
          <t>173056-96</t>
        </is>
      </c>
      <c r="B128" s="28" t="inlineStr">
        <is>
          <t>XTND</t>
        </is>
      </c>
      <c r="C128" s="86">
        <f>HYPERLINK("https://my.pitchbook.com?rrp=173056-96&amp;type=c", "This Company's information is not available to download. Need this Company? Request availability")</f>
      </c>
      <c r="D128" s="30" t="inlineStr">
        <is>
          <t/>
        </is>
      </c>
      <c r="E128" s="31" t="inlineStr">
        <is>
          <t/>
        </is>
      </c>
      <c r="F128" s="32" t="inlineStr">
        <is>
          <t/>
        </is>
      </c>
      <c r="G128" s="33" t="inlineStr">
        <is>
          <t/>
        </is>
      </c>
      <c r="H128" s="34" t="inlineStr">
        <is>
          <t/>
        </is>
      </c>
      <c r="I128" s="35" t="inlineStr">
        <is>
          <t/>
        </is>
      </c>
      <c r="J128" s="36" t="inlineStr">
        <is>
          <t/>
        </is>
      </c>
      <c r="K128" s="37" t="inlineStr">
        <is>
          <t/>
        </is>
      </c>
      <c r="L128" s="38" t="inlineStr">
        <is>
          <t/>
        </is>
      </c>
      <c r="M128" s="39" t="inlineStr">
        <is>
          <t/>
        </is>
      </c>
      <c r="N128" s="40" t="inlineStr">
        <is>
          <t/>
        </is>
      </c>
      <c r="O128" s="41" t="inlineStr">
        <is>
          <t/>
        </is>
      </c>
      <c r="P128" s="42" t="inlineStr">
        <is>
          <t/>
        </is>
      </c>
      <c r="Q128" s="43" t="inlineStr">
        <is>
          <t/>
        </is>
      </c>
      <c r="R128" s="44" t="inlineStr">
        <is>
          <t/>
        </is>
      </c>
    </row>
    <row r="129">
      <c r="A129" s="9" t="inlineStr">
        <is>
          <t>125517-07</t>
        </is>
      </c>
      <c r="B129" s="10" t="inlineStr">
        <is>
          <t>X-Therma</t>
        </is>
      </c>
      <c r="C129" s="11" t="n">
        <v>0.0</v>
      </c>
      <c r="D129" s="12" t="n">
        <v>0.3783783783783784</v>
      </c>
      <c r="E129" s="13" t="inlineStr">
        <is>
          <t/>
        </is>
      </c>
      <c r="F129" s="14" t="n">
        <v>14.0</v>
      </c>
      <c r="G129" s="15" t="inlineStr">
        <is>
          <t/>
        </is>
      </c>
      <c r="H129" s="16" t="inlineStr">
        <is>
          <t/>
        </is>
      </c>
      <c r="I129" s="17" t="inlineStr">
        <is>
          <t/>
        </is>
      </c>
      <c r="J129" s="18" t="inlineStr">
        <is>
          <t/>
        </is>
      </c>
      <c r="K129" s="19" t="inlineStr">
        <is>
          <t>Biotechnology</t>
        </is>
      </c>
      <c r="L129" s="20" t="inlineStr">
        <is>
          <t>Developer of bio materials for medical and industrial applications. The company develops bio materials using Biomimetic Nanoscience to deliver effective and non-toxic cryoprotective agents (CPAs) for advanced organ and tissue preservation media .</t>
        </is>
      </c>
      <c r="M129" s="21" t="inlineStr">
        <is>
          <t/>
        </is>
      </c>
      <c r="N129" s="22" t="inlineStr">
        <is>
          <t>Angel-Backed</t>
        </is>
      </c>
      <c r="O129" s="23" t="inlineStr">
        <is>
          <t>Privately Held (backing)</t>
        </is>
      </c>
      <c r="P129" s="24" t="inlineStr">
        <is>
          <t>Vallejo, CA</t>
        </is>
      </c>
      <c r="Q129" s="25" t="inlineStr">
        <is>
          <t>www.x-therma.com</t>
        </is>
      </c>
      <c r="R129" s="113">
        <f>HYPERLINK("https://my.pitchbook.com?c=125517-07", "View company online")</f>
      </c>
    </row>
    <row r="130">
      <c r="A130" s="27" t="inlineStr">
        <is>
          <t>113901-40</t>
        </is>
      </c>
      <c r="B130" s="28" t="inlineStr">
        <is>
          <t>Xspaced</t>
        </is>
      </c>
      <c r="C130" s="86">
        <f>HYPERLINK("https://my.pitchbook.com?rrp=113901-40&amp;type=c", "This Company's information is not available to download. Need this Company? Request availability")</f>
      </c>
      <c r="D130" s="30" t="inlineStr">
        <is>
          <t/>
        </is>
      </c>
      <c r="E130" s="31" t="inlineStr">
        <is>
          <t/>
        </is>
      </c>
      <c r="F130" s="32" t="inlineStr">
        <is>
          <t/>
        </is>
      </c>
      <c r="G130" s="33" t="inlineStr">
        <is>
          <t/>
        </is>
      </c>
      <c r="H130" s="34" t="inlineStr">
        <is>
          <t/>
        </is>
      </c>
      <c r="I130" s="35" t="inlineStr">
        <is>
          <t/>
        </is>
      </c>
      <c r="J130" s="36" t="inlineStr">
        <is>
          <t/>
        </is>
      </c>
      <c r="K130" s="37" t="inlineStr">
        <is>
          <t/>
        </is>
      </c>
      <c r="L130" s="38" t="inlineStr">
        <is>
          <t/>
        </is>
      </c>
      <c r="M130" s="39" t="inlineStr">
        <is>
          <t/>
        </is>
      </c>
      <c r="N130" s="40" t="inlineStr">
        <is>
          <t/>
        </is>
      </c>
      <c r="O130" s="41" t="inlineStr">
        <is>
          <t/>
        </is>
      </c>
      <c r="P130" s="42" t="inlineStr">
        <is>
          <t/>
        </is>
      </c>
      <c r="Q130" s="43" t="inlineStr">
        <is>
          <t/>
        </is>
      </c>
      <c r="R130" s="44" t="inlineStr">
        <is>
          <t/>
        </is>
      </c>
    </row>
    <row r="131">
      <c r="A131" s="9" t="inlineStr">
        <is>
          <t>102824-29</t>
        </is>
      </c>
      <c r="B131" s="10" t="inlineStr">
        <is>
          <t>X-Scan Imaging</t>
        </is>
      </c>
      <c r="C131" s="11" t="n">
        <v>0.0</v>
      </c>
      <c r="D131" s="12" t="n">
        <v>0.5135135135135135</v>
      </c>
      <c r="E131" s="13" t="inlineStr">
        <is>
          <t/>
        </is>
      </c>
      <c r="F131" s="14" t="n">
        <v>19.0</v>
      </c>
      <c r="G131" s="15" t="inlineStr">
        <is>
          <t/>
        </is>
      </c>
      <c r="H131" s="16" t="inlineStr">
        <is>
          <t/>
        </is>
      </c>
      <c r="I131" s="17" t="n">
        <v>11.0</v>
      </c>
      <c r="J131" s="18" t="n">
        <v>1.37</v>
      </c>
      <c r="K131" s="19" t="inlineStr">
        <is>
          <t>Other Healthcare Technology Systems</t>
        </is>
      </c>
      <c r="L131" s="20" t="inlineStr">
        <is>
          <t>Provider of X-ray imaging services. The company engages in making and distribution of CMOS linear photo-diode arrays and line-scan cameras for visible and X-ray imaging applications.</t>
        </is>
      </c>
      <c r="M131" s="21" t="inlineStr">
        <is>
          <t/>
        </is>
      </c>
      <c r="N131" s="22" t="inlineStr">
        <is>
          <t>Angel-Backed</t>
        </is>
      </c>
      <c r="O131" s="23" t="inlineStr">
        <is>
          <t>Privately Held (backing)</t>
        </is>
      </c>
      <c r="P131" s="24" t="inlineStr">
        <is>
          <t>San Jose, CA</t>
        </is>
      </c>
      <c r="Q131" s="25" t="inlineStr">
        <is>
          <t>www.x-scanimaging.com</t>
        </is>
      </c>
      <c r="R131" s="113">
        <f>HYPERLINK("https://my.pitchbook.com?c=102824-29", "View company online")</f>
      </c>
    </row>
    <row r="132">
      <c r="A132" s="27" t="inlineStr">
        <is>
          <t>128237-50</t>
        </is>
      </c>
      <c r="B132" s="28" t="inlineStr">
        <is>
          <t>xPressTap</t>
        </is>
      </c>
      <c r="C132" s="29" t="n">
        <v>-0.13661007632373262</v>
      </c>
      <c r="D132" s="30" t="n">
        <v>9.906272590097203</v>
      </c>
      <c r="E132" s="31" t="inlineStr">
        <is>
          <t/>
        </is>
      </c>
      <c r="F132" s="32" t="inlineStr">
        <is>
          <t/>
        </is>
      </c>
      <c r="G132" s="33" t="n">
        <v>3699.0</v>
      </c>
      <c r="H132" s="34" t="n">
        <v>5387.0</v>
      </c>
      <c r="I132" s="35" t="inlineStr">
        <is>
          <t/>
        </is>
      </c>
      <c r="J132" s="36" t="n">
        <v>0.5</v>
      </c>
      <c r="K132" s="37" t="inlineStr">
        <is>
          <t>Application Software</t>
        </is>
      </c>
      <c r="L132" s="38" t="inlineStr">
        <is>
          <t>Provider of an online payment platform. The company provides a platform which allows users to make faster payments using their NFC enabled phones and contactless payment cards.</t>
        </is>
      </c>
      <c r="M132" s="39" t="inlineStr">
        <is>
          <t>Brent Jones, John Faylor, Mark Adams, Plug and Play Tech Center, Tommy Vardell</t>
        </is>
      </c>
      <c r="N132" s="40" t="inlineStr">
        <is>
          <t>Accelerator/Incubator Backed</t>
        </is>
      </c>
      <c r="O132" s="41" t="inlineStr">
        <is>
          <t>Privately Held (backing)</t>
        </is>
      </c>
      <c r="P132" s="42" t="inlineStr">
        <is>
          <t>San Jose, CA</t>
        </is>
      </c>
      <c r="Q132" s="43" t="inlineStr">
        <is>
          <t>beta.xpresstap.com</t>
        </is>
      </c>
      <c r="R132" s="114">
        <f>HYPERLINK("https://my.pitchbook.com?c=128237-50", "View company online")</f>
      </c>
    </row>
    <row r="133">
      <c r="A133" s="9" t="inlineStr">
        <is>
          <t>171410-50</t>
        </is>
      </c>
      <c r="B133" s="10" t="inlineStr">
        <is>
          <t>Xpresso</t>
        </is>
      </c>
      <c r="C133" s="85">
        <f>HYPERLINK("https://my.pitchbook.com?rrp=171410-50&amp;type=c", "This Company's information is not available to download. Need this Company? Request availability")</f>
      </c>
      <c r="D133" s="12" t="inlineStr">
        <is>
          <t/>
        </is>
      </c>
      <c r="E133" s="13" t="inlineStr">
        <is>
          <t/>
        </is>
      </c>
      <c r="F133" s="14" t="inlineStr">
        <is>
          <t/>
        </is>
      </c>
      <c r="G133" s="15" t="inlineStr">
        <is>
          <t/>
        </is>
      </c>
      <c r="H133" s="16" t="inlineStr">
        <is>
          <t/>
        </is>
      </c>
      <c r="I133" s="17" t="inlineStr">
        <is>
          <t/>
        </is>
      </c>
      <c r="J133" s="18" t="inlineStr">
        <is>
          <t/>
        </is>
      </c>
      <c r="K133" s="19" t="inlineStr">
        <is>
          <t/>
        </is>
      </c>
      <c r="L133" s="20" t="inlineStr">
        <is>
          <t/>
        </is>
      </c>
      <c r="M133" s="21" t="inlineStr">
        <is>
          <t/>
        </is>
      </c>
      <c r="N133" s="22" t="inlineStr">
        <is>
          <t/>
        </is>
      </c>
      <c r="O133" s="23" t="inlineStr">
        <is>
          <t/>
        </is>
      </c>
      <c r="P133" s="24" t="inlineStr">
        <is>
          <t/>
        </is>
      </c>
      <c r="Q133" s="25" t="inlineStr">
        <is>
          <t/>
        </is>
      </c>
      <c r="R133" s="26" t="inlineStr">
        <is>
          <t/>
        </is>
      </c>
    </row>
    <row r="134">
      <c r="A134" s="27" t="inlineStr">
        <is>
          <t>173000-44</t>
        </is>
      </c>
      <c r="B134" s="28" t="inlineStr">
        <is>
          <t>XpressMail</t>
        </is>
      </c>
      <c r="C134" s="29" t="n">
        <v>0.0</v>
      </c>
      <c r="D134" s="30" t="n">
        <v>0.02283467012649032</v>
      </c>
      <c r="E134" s="31" t="inlineStr">
        <is>
          <t/>
        </is>
      </c>
      <c r="F134" s="32" t="n">
        <v>1.0</v>
      </c>
      <c r="G134" s="33" t="n">
        <v>5.0</v>
      </c>
      <c r="H134" s="34" t="n">
        <v>11.0</v>
      </c>
      <c r="I134" s="35" t="inlineStr">
        <is>
          <t/>
        </is>
      </c>
      <c r="J134" s="36" t="n">
        <v>0.5</v>
      </c>
      <c r="K134" s="37" t="inlineStr">
        <is>
          <t>Application Software</t>
        </is>
      </c>
      <c r="L134" s="38" t="inlineStr">
        <is>
          <t>Developer of a video messaging platform designed to provide personalized video messaging services. The company provides a video messaging platform that is designed for enterprises and businesses to send unlimited video based messages, enabling them to improve business communication, strengthen employee engagement and enhance support.</t>
        </is>
      </c>
      <c r="M134" s="39" t="inlineStr">
        <is>
          <t>Z Nation Lab</t>
        </is>
      </c>
      <c r="N134" s="40" t="inlineStr">
        <is>
          <t>Accelerator/Incubator Backed</t>
        </is>
      </c>
      <c r="O134" s="41" t="inlineStr">
        <is>
          <t>Privately Held (backing)</t>
        </is>
      </c>
      <c r="P134" s="42" t="inlineStr">
        <is>
          <t>Sunnyvale, CA</t>
        </is>
      </c>
      <c r="Q134" s="43" t="inlineStr">
        <is>
          <t>www.xpressmail.io</t>
        </is>
      </c>
      <c r="R134" s="114">
        <f>HYPERLINK("https://my.pitchbook.com?c=173000-44", "View company online")</f>
      </c>
    </row>
    <row r="135">
      <c r="A135" s="9" t="inlineStr">
        <is>
          <t>113363-83</t>
        </is>
      </c>
      <c r="B135" s="10" t="inlineStr">
        <is>
          <t>Xplicit Computing</t>
        </is>
      </c>
      <c r="C135" s="85">
        <f>HYPERLINK("https://my.pitchbook.com?rrp=113363-83&amp;type=c", "This Company's information is not available to download. Need this Company? Request availability")</f>
      </c>
      <c r="D135" s="12" t="inlineStr">
        <is>
          <t/>
        </is>
      </c>
      <c r="E135" s="13" t="inlineStr">
        <is>
          <t/>
        </is>
      </c>
      <c r="F135" s="14" t="inlineStr">
        <is>
          <t/>
        </is>
      </c>
      <c r="G135" s="15" t="inlineStr">
        <is>
          <t/>
        </is>
      </c>
      <c r="H135" s="16" t="inlineStr">
        <is>
          <t/>
        </is>
      </c>
      <c r="I135" s="17" t="inlineStr">
        <is>
          <t/>
        </is>
      </c>
      <c r="J135" s="18" t="inlineStr">
        <is>
          <t/>
        </is>
      </c>
      <c r="K135" s="19" t="inlineStr">
        <is>
          <t/>
        </is>
      </c>
      <c r="L135" s="20" t="inlineStr">
        <is>
          <t/>
        </is>
      </c>
      <c r="M135" s="21" t="inlineStr">
        <is>
          <t/>
        </is>
      </c>
      <c r="N135" s="22" t="inlineStr">
        <is>
          <t/>
        </is>
      </c>
      <c r="O135" s="23" t="inlineStr">
        <is>
          <t/>
        </is>
      </c>
      <c r="P135" s="24" t="inlineStr">
        <is>
          <t/>
        </is>
      </c>
      <c r="Q135" s="25" t="inlineStr">
        <is>
          <t/>
        </is>
      </c>
      <c r="R135" s="26" t="inlineStr">
        <is>
          <t/>
        </is>
      </c>
    </row>
    <row r="136">
      <c r="A136" s="27" t="inlineStr">
        <is>
          <t>107631-64</t>
        </is>
      </c>
      <c r="B136" s="28" t="inlineStr">
        <is>
          <t>Xphyr</t>
        </is>
      </c>
      <c r="C136" s="29" t="n">
        <v>-0.023149013485895854</v>
      </c>
      <c r="D136" s="30" t="n">
        <v>0.25544924596140517</v>
      </c>
      <c r="E136" s="31" t="inlineStr">
        <is>
          <t/>
        </is>
      </c>
      <c r="F136" s="32" t="n">
        <v>7.0</v>
      </c>
      <c r="G136" s="33" t="n">
        <v>120.0</v>
      </c>
      <c r="H136" s="34" t="n">
        <v>174.0</v>
      </c>
      <c r="I136" s="35" t="inlineStr">
        <is>
          <t/>
        </is>
      </c>
      <c r="J136" s="36" t="inlineStr">
        <is>
          <t/>
        </is>
      </c>
      <c r="K136" s="37" t="inlineStr">
        <is>
          <t>Social/Platform Software</t>
        </is>
      </c>
      <c r="L136" s="38" t="inlineStr">
        <is>
          <t>Provider of a novel donation and lead-generation platform for civic and political organizations. The company is creating a system to allow citizens to donate volunteer hours, pledge their votes and put money towards specific issues in politics and civil society which can then be linked through the issues to candidates, parties and NGOs.</t>
        </is>
      </c>
      <c r="M136" s="39" t="inlineStr">
        <is>
          <t>Founder.org</t>
        </is>
      </c>
      <c r="N136" s="40" t="inlineStr">
        <is>
          <t>Accelerator/Incubator Backed</t>
        </is>
      </c>
      <c r="O136" s="41" t="inlineStr">
        <is>
          <t>Privately Held (backing)</t>
        </is>
      </c>
      <c r="P136" s="42" t="inlineStr">
        <is>
          <t>San Francisco, CA</t>
        </is>
      </c>
      <c r="Q136" s="43" t="inlineStr">
        <is>
          <t>www.civicup.com</t>
        </is>
      </c>
      <c r="R136" s="114">
        <f>HYPERLINK("https://my.pitchbook.com?c=107631-64", "View company online")</f>
      </c>
    </row>
    <row r="137">
      <c r="A137" s="9" t="inlineStr">
        <is>
          <t>110511-28</t>
        </is>
      </c>
      <c r="B137" s="10" t="inlineStr">
        <is>
          <t>Xooltime</t>
        </is>
      </c>
      <c r="C137" s="11" t="n">
        <v>0.0</v>
      </c>
      <c r="D137" s="12" t="n">
        <v>0.11135287830203085</v>
      </c>
      <c r="E137" s="13" t="inlineStr">
        <is>
          <t/>
        </is>
      </c>
      <c r="F137" s="14" t="n">
        <v>5.0</v>
      </c>
      <c r="G137" s="15" t="inlineStr">
        <is>
          <t/>
        </is>
      </c>
      <c r="H137" s="16" t="n">
        <v>31.0</v>
      </c>
      <c r="I137" s="17" t="n">
        <v>11.0</v>
      </c>
      <c r="J137" s="18" t="inlineStr">
        <is>
          <t/>
        </is>
      </c>
      <c r="K137" s="19" t="inlineStr">
        <is>
          <t>Educational and Training Services (B2C)</t>
        </is>
      </c>
      <c r="L137" s="20" t="inlineStr">
        <is>
          <t>Provider of an educational platform which provides school notes management tool. The company's platform motivate students towards focused daily learning and also integrate teachers and parents into the learning process.</t>
        </is>
      </c>
      <c r="M137" s="21" t="inlineStr">
        <is>
          <t>Skydeck | Berkeley</t>
        </is>
      </c>
      <c r="N137" s="22" t="inlineStr">
        <is>
          <t>Accelerator/Incubator Backed</t>
        </is>
      </c>
      <c r="O137" s="23" t="inlineStr">
        <is>
          <t>Privately Held (backing)</t>
        </is>
      </c>
      <c r="P137" s="24" t="inlineStr">
        <is>
          <t>Berkeley, CA</t>
        </is>
      </c>
      <c r="Q137" s="25" t="inlineStr">
        <is>
          <t>www.xooltime.com</t>
        </is>
      </c>
      <c r="R137" s="113">
        <f>HYPERLINK("https://my.pitchbook.com?c=110511-28", "View company online")</f>
      </c>
    </row>
    <row r="138">
      <c r="A138" s="27" t="inlineStr">
        <is>
          <t>99059-50</t>
        </is>
      </c>
      <c r="B138" s="28" t="inlineStr">
        <is>
          <t>Xompass</t>
        </is>
      </c>
      <c r="C138" s="29" t="n">
        <v>0.5562002272987923</v>
      </c>
      <c r="D138" s="30" t="n">
        <v>0.4526645289357154</v>
      </c>
      <c r="E138" s="31" t="inlineStr">
        <is>
          <t/>
        </is>
      </c>
      <c r="F138" s="32" t="n">
        <v>22.0</v>
      </c>
      <c r="G138" s="33" t="inlineStr">
        <is>
          <t/>
        </is>
      </c>
      <c r="H138" s="34" t="n">
        <v>109.0</v>
      </c>
      <c r="I138" s="35" t="n">
        <v>4.0</v>
      </c>
      <c r="J138" s="36" t="n">
        <v>0.07</v>
      </c>
      <c r="K138" s="37" t="inlineStr">
        <is>
          <t>Social/Platform Software</t>
        </is>
      </c>
      <c r="L138" s="38" t="inlineStr">
        <is>
          <t>Provider of a cloud-based industrial internet of things platform. The company provides a cloud based platform that enables industrial machinery to communicate with team members at the plant.</t>
        </is>
      </c>
      <c r="M138" s="39" t="inlineStr">
        <is>
          <t>Blackbox, CCTVal Research lab, Plug and Play Tech Center, Wasabi Ventures</t>
        </is>
      </c>
      <c r="N138" s="40" t="inlineStr">
        <is>
          <t>Accelerator/Incubator Backed</t>
        </is>
      </c>
      <c r="O138" s="41" t="inlineStr">
        <is>
          <t>Privately Held (backing)</t>
        </is>
      </c>
      <c r="P138" s="42" t="inlineStr">
        <is>
          <t>San Leandro, CA</t>
        </is>
      </c>
      <c r="Q138" s="43" t="inlineStr">
        <is>
          <t>www.xompass.com</t>
        </is>
      </c>
      <c r="R138" s="114">
        <f>HYPERLINK("https://my.pitchbook.com?c=99059-50", "View company online")</f>
      </c>
    </row>
    <row r="139">
      <c r="A139" s="9" t="inlineStr">
        <is>
          <t>178439-32</t>
        </is>
      </c>
      <c r="B139" s="10" t="inlineStr">
        <is>
          <t>Xix.ai</t>
        </is>
      </c>
      <c r="C139" s="11" t="n">
        <v>0.0</v>
      </c>
      <c r="D139" s="12" t="n">
        <v>0.044687160051935286</v>
      </c>
      <c r="E139" s="13" t="inlineStr">
        <is>
          <t/>
        </is>
      </c>
      <c r="F139" s="14" t="inlineStr">
        <is>
          <t/>
        </is>
      </c>
      <c r="G139" s="15" t="n">
        <v>6.0</v>
      </c>
      <c r="H139" s="16" t="n">
        <v>27.0</v>
      </c>
      <c r="I139" s="17" t="inlineStr">
        <is>
          <t/>
        </is>
      </c>
      <c r="J139" s="18" t="n">
        <v>0.12</v>
      </c>
      <c r="K139" s="19" t="inlineStr">
        <is>
          <t>Application Software</t>
        </is>
      </c>
      <c r="L139" s="20" t="inlineStr">
        <is>
          <t>Developer of an artificial intelligence based mobile application intended to predict activities of the users based on their smartphone usage. The company's operating system uses advanced machine learning and AI technology, which shows upcoming events and activities of a user on their device's home screen, enabling them to organize and plan out their upcoming events and activities well in advance based on the predictions offered.</t>
        </is>
      </c>
      <c r="M139" s="21" t="inlineStr">
        <is>
          <t>Y Combinator</t>
        </is>
      </c>
      <c r="N139" s="22" t="inlineStr">
        <is>
          <t>Accelerator/Incubator Backed</t>
        </is>
      </c>
      <c r="O139" s="23" t="inlineStr">
        <is>
          <t>Privately Held (backing)</t>
        </is>
      </c>
      <c r="P139" s="24" t="inlineStr">
        <is>
          <t>San Francisco, CA</t>
        </is>
      </c>
      <c r="Q139" s="25" t="inlineStr">
        <is>
          <t>www.xix.ai</t>
        </is>
      </c>
      <c r="R139" s="113">
        <f>HYPERLINK("https://my.pitchbook.com?c=178439-32", "View company online")</f>
      </c>
    </row>
    <row r="140">
      <c r="A140" s="27" t="inlineStr">
        <is>
          <t>102822-85</t>
        </is>
      </c>
      <c r="B140" s="28" t="inlineStr">
        <is>
          <t>Ximoxi</t>
        </is>
      </c>
      <c r="C140" s="29" t="n">
        <v>0.0</v>
      </c>
      <c r="D140" s="30" t="n">
        <v>0.08108108108108109</v>
      </c>
      <c r="E140" s="31" t="inlineStr">
        <is>
          <t/>
        </is>
      </c>
      <c r="F140" s="32" t="n">
        <v>3.0</v>
      </c>
      <c r="G140" s="33" t="inlineStr">
        <is>
          <t/>
        </is>
      </c>
      <c r="H140" s="34" t="inlineStr">
        <is>
          <t/>
        </is>
      </c>
      <c r="I140" s="35" t="n">
        <v>1.0</v>
      </c>
      <c r="J140" s="36" t="n">
        <v>0.3</v>
      </c>
      <c r="K140" s="37" t="inlineStr">
        <is>
          <t>Application Software</t>
        </is>
      </c>
      <c r="L140" s="38" t="inlineStr">
        <is>
          <t>Developer of a mobile application software to find members in their vicinity. The company develops a bluetooth based mobile application software that enables users to discover members in the vicinity with personal attributes such as picture and names.</t>
        </is>
      </c>
      <c r="M140" s="39" t="inlineStr">
        <is>
          <t/>
        </is>
      </c>
      <c r="N140" s="40" t="inlineStr">
        <is>
          <t>Angel-Backed</t>
        </is>
      </c>
      <c r="O140" s="41" t="inlineStr">
        <is>
          <t>Privately Held (backing)</t>
        </is>
      </c>
      <c r="P140" s="42" t="inlineStr">
        <is>
          <t>Los Gatos, CA</t>
        </is>
      </c>
      <c r="Q140" s="43" t="inlineStr">
        <is>
          <t>www.ximoxi.com</t>
        </is>
      </c>
      <c r="R140" s="114">
        <f>HYPERLINK("https://my.pitchbook.com?c=102822-85", "View company online")</f>
      </c>
    </row>
    <row r="141">
      <c r="A141" s="9" t="inlineStr">
        <is>
          <t>152840-35</t>
        </is>
      </c>
      <c r="B141" s="10" t="inlineStr">
        <is>
          <t>Xemana</t>
        </is>
      </c>
      <c r="C141" s="11" t="inlineStr">
        <is>
          <t/>
        </is>
      </c>
      <c r="D141" s="12" t="inlineStr">
        <is>
          <t/>
        </is>
      </c>
      <c r="E141" s="13" t="inlineStr">
        <is>
          <t/>
        </is>
      </c>
      <c r="F141" s="14" t="inlineStr">
        <is>
          <t/>
        </is>
      </c>
      <c r="G141" s="15" t="inlineStr">
        <is>
          <t/>
        </is>
      </c>
      <c r="H141" s="16" t="inlineStr">
        <is>
          <t/>
        </is>
      </c>
      <c r="I141" s="17" t="inlineStr">
        <is>
          <t/>
        </is>
      </c>
      <c r="J141" s="18" t="n">
        <v>0.33</v>
      </c>
      <c r="K141" s="19" t="inlineStr">
        <is>
          <t>Education and Training Services (B2B)</t>
        </is>
      </c>
      <c r="L141" s="20" t="inlineStr">
        <is>
          <t>Developer of an application software designed for access to workplace training. The company's application software helps workers with mobile access to workplace training and immediate communication with management enabling companies to customize training plans, monitor job completion and maintain a record of workplace activities.</t>
        </is>
      </c>
      <c r="M141" s="21" t="inlineStr">
        <is>
          <t>Bob Ellis, Lexington Group, Paul DeRosa, Windy City Communications</t>
        </is>
      </c>
      <c r="N141" s="22" t="inlineStr">
        <is>
          <t>Angel-Backed</t>
        </is>
      </c>
      <c r="O141" s="23" t="inlineStr">
        <is>
          <t>Privately Held (backing)</t>
        </is>
      </c>
      <c r="P141" s="24" t="inlineStr">
        <is>
          <t>Santa Monica, CA</t>
        </is>
      </c>
      <c r="Q141" s="25" t="inlineStr">
        <is>
          <t>www.xemana.net</t>
        </is>
      </c>
      <c r="R141" s="113">
        <f>HYPERLINK("https://my.pitchbook.com?c=152840-35", "View company online")</f>
      </c>
    </row>
    <row r="142">
      <c r="A142" s="27" t="inlineStr">
        <is>
          <t>123283-99</t>
        </is>
      </c>
      <c r="B142" s="28" t="inlineStr">
        <is>
          <t>XCellAssay</t>
        </is>
      </c>
      <c r="C142" s="29" t="n">
        <v>0.0</v>
      </c>
      <c r="D142" s="30" t="n">
        <v>0.05405405405405406</v>
      </c>
      <c r="E142" s="31" t="inlineStr">
        <is>
          <t/>
        </is>
      </c>
      <c r="F142" s="32" t="n">
        <v>2.0</v>
      </c>
      <c r="G142" s="33" t="inlineStr">
        <is>
          <t/>
        </is>
      </c>
      <c r="H142" s="34" t="inlineStr">
        <is>
          <t/>
        </is>
      </c>
      <c r="I142" s="35" t="inlineStr">
        <is>
          <t/>
        </is>
      </c>
      <c r="J142" s="36" t="inlineStr">
        <is>
          <t/>
        </is>
      </c>
      <c r="K142" s="37" t="inlineStr">
        <is>
          <t>Drug Delivery</t>
        </is>
      </c>
      <c r="L142" s="38" t="inlineStr">
        <is>
          <t>Owner and operator of a clinical diagnostic laboratory. The company offers disease assessment, hormonal assessment and drug discovery.</t>
        </is>
      </c>
      <c r="M142" s="39" t="inlineStr">
        <is>
          <t>California Institute for Quantitative Biosciences</t>
        </is>
      </c>
      <c r="N142" s="40" t="inlineStr">
        <is>
          <t>Accelerator/Incubator Backed</t>
        </is>
      </c>
      <c r="O142" s="41" t="inlineStr">
        <is>
          <t>Privately Held (backing)</t>
        </is>
      </c>
      <c r="P142" s="42" t="inlineStr">
        <is>
          <t>San Francisco, CA</t>
        </is>
      </c>
      <c r="Q142" s="43" t="inlineStr">
        <is>
          <t>www.xcellassay.com</t>
        </is>
      </c>
      <c r="R142" s="114">
        <f>HYPERLINK("https://my.pitchbook.com?c=123283-99", "View company online")</f>
      </c>
    </row>
    <row r="143">
      <c r="A143" s="9" t="inlineStr">
        <is>
          <t>103825-72</t>
        </is>
      </c>
      <c r="B143" s="10" t="inlineStr">
        <is>
          <t>Xcel Group</t>
        </is>
      </c>
      <c r="C143" s="11" t="n">
        <v>0.0</v>
      </c>
      <c r="D143" s="12" t="n">
        <v>0.10810810810810811</v>
      </c>
      <c r="E143" s="13" t="inlineStr">
        <is>
          <t/>
        </is>
      </c>
      <c r="F143" s="14" t="n">
        <v>4.0</v>
      </c>
      <c r="G143" s="15" t="inlineStr">
        <is>
          <t/>
        </is>
      </c>
      <c r="H143" s="16" t="inlineStr">
        <is>
          <t/>
        </is>
      </c>
      <c r="I143" s="17" t="n">
        <v>4.0</v>
      </c>
      <c r="J143" s="18" t="n">
        <v>0.01</v>
      </c>
      <c r="K143" s="19" t="inlineStr">
        <is>
          <t>Human Capital Services</t>
        </is>
      </c>
      <c r="L143" s="20" t="inlineStr">
        <is>
          <t>Provider of staffing and recruitment services. The company specializes in placing finance, accounting and human resources professionals into relevant companies and industries.</t>
        </is>
      </c>
      <c r="M143" s="21" t="inlineStr">
        <is>
          <t/>
        </is>
      </c>
      <c r="N143" s="22" t="inlineStr">
        <is>
          <t>Angel-Backed</t>
        </is>
      </c>
      <c r="O143" s="23" t="inlineStr">
        <is>
          <t>Privately Held (backing)</t>
        </is>
      </c>
      <c r="P143" s="24" t="inlineStr">
        <is>
          <t>San Mateo, CA</t>
        </is>
      </c>
      <c r="Q143" s="25" t="inlineStr">
        <is>
          <t>www.xcelgroup.com</t>
        </is>
      </c>
      <c r="R143" s="113">
        <f>HYPERLINK("https://my.pitchbook.com?c=103825-72", "View company online")</f>
      </c>
    </row>
    <row r="144">
      <c r="A144" s="27" t="inlineStr">
        <is>
          <t>148135-51</t>
        </is>
      </c>
      <c r="B144" s="28" t="inlineStr">
        <is>
          <t>Wyndow</t>
        </is>
      </c>
      <c r="C144" s="29" t="n">
        <v>0.029011390061534796</v>
      </c>
      <c r="D144" s="30" t="n">
        <v>0.38864271156091346</v>
      </c>
      <c r="E144" s="31" t="inlineStr">
        <is>
          <t/>
        </is>
      </c>
      <c r="F144" s="32" t="n">
        <v>9.0</v>
      </c>
      <c r="G144" s="33" t="n">
        <v>73.0</v>
      </c>
      <c r="H144" s="34" t="n">
        <v>345.0</v>
      </c>
      <c r="I144" s="35" t="inlineStr">
        <is>
          <t/>
        </is>
      </c>
      <c r="J144" s="36" t="n">
        <v>1.15</v>
      </c>
      <c r="K144" s="37" t="inlineStr">
        <is>
          <t>Application Software</t>
        </is>
      </c>
      <c r="L144" s="38" t="inlineStr">
        <is>
          <t>Developer of an event discovering mobile application. The company's application uses geolocation and helps in the local discovery for entertainment nearby, including concerts, movies, sporting events and public meetings.</t>
        </is>
      </c>
      <c r="M144" s="39" t="inlineStr">
        <is>
          <t>Bob Bozeman, Dave Sanders</t>
        </is>
      </c>
      <c r="N144" s="40" t="inlineStr">
        <is>
          <t>Angel-Backed</t>
        </is>
      </c>
      <c r="O144" s="41" t="inlineStr">
        <is>
          <t>Privately Held (backing)</t>
        </is>
      </c>
      <c r="P144" s="42" t="inlineStr">
        <is>
          <t>Sacramento, CA</t>
        </is>
      </c>
      <c r="Q144" s="43" t="inlineStr">
        <is>
          <t>www.wyndow.com</t>
        </is>
      </c>
      <c r="R144" s="114">
        <f>HYPERLINK("https://my.pitchbook.com?c=148135-51", "View company online")</f>
      </c>
    </row>
    <row r="145">
      <c r="A145" s="9" t="inlineStr">
        <is>
          <t>65820-16</t>
        </is>
      </c>
      <c r="B145" s="10" t="inlineStr">
        <is>
          <t>Wyldfire</t>
        </is>
      </c>
      <c r="C145" s="11" t="n">
        <v>0.20051204872607972</v>
      </c>
      <c r="D145" s="12" t="n">
        <v>2.61249975104065</v>
      </c>
      <c r="E145" s="13" t="inlineStr">
        <is>
          <t/>
        </is>
      </c>
      <c r="F145" s="14" t="n">
        <v>109.0</v>
      </c>
      <c r="G145" s="15" t="n">
        <v>3080.0</v>
      </c>
      <c r="H145" s="16" t="n">
        <v>239.0</v>
      </c>
      <c r="I145" s="17" t="n">
        <v>11.0</v>
      </c>
      <c r="J145" s="18" t="n">
        <v>0.1</v>
      </c>
      <c r="K145" s="19" t="inlineStr">
        <is>
          <t>Social Content</t>
        </is>
      </c>
      <c r="L145" s="20" t="inlineStr">
        <is>
          <t>Provider of mobile dating network. The company develops mobile dating application and platform that allows users to chat, interact and date online where women grant access to men.</t>
        </is>
      </c>
      <c r="M145" s="21" t="inlineStr">
        <is>
          <t>Kirkland &amp; Ellis, Momentum, Will Bunker, WS Investments</t>
        </is>
      </c>
      <c r="N145" s="22" t="inlineStr">
        <is>
          <t>Accelerator/Incubator Backed</t>
        </is>
      </c>
      <c r="O145" s="23" t="inlineStr">
        <is>
          <t>Privately Held (backing)</t>
        </is>
      </c>
      <c r="P145" s="24" t="inlineStr">
        <is>
          <t>San Diego, CA</t>
        </is>
      </c>
      <c r="Q145" s="25" t="inlineStr">
        <is>
          <t>www.wyldfireapp.com</t>
        </is>
      </c>
      <c r="R145" s="113">
        <f>HYPERLINK("https://my.pitchbook.com?c=65820-16", "View company online")</f>
      </c>
    </row>
    <row r="146">
      <c r="A146" s="27" t="inlineStr">
        <is>
          <t>171909-01</t>
        </is>
      </c>
      <c r="B146" s="28" t="inlineStr">
        <is>
          <t>WUTT2</t>
        </is>
      </c>
      <c r="C146" s="86">
        <f>HYPERLINK("https://my.pitchbook.com?rrp=171909-01&amp;type=c", "This Company's information is not available to download. Need this Company? Request availability")</f>
      </c>
      <c r="D146" s="30" t="inlineStr">
        <is>
          <t/>
        </is>
      </c>
      <c r="E146" s="31" t="inlineStr">
        <is>
          <t/>
        </is>
      </c>
      <c r="F146" s="32" t="inlineStr">
        <is>
          <t/>
        </is>
      </c>
      <c r="G146" s="33" t="inlineStr">
        <is>
          <t/>
        </is>
      </c>
      <c r="H146" s="34" t="inlineStr">
        <is>
          <t/>
        </is>
      </c>
      <c r="I146" s="35" t="inlineStr">
        <is>
          <t/>
        </is>
      </c>
      <c r="J146" s="36" t="inlineStr">
        <is>
          <t/>
        </is>
      </c>
      <c r="K146" s="37" t="inlineStr">
        <is>
          <t/>
        </is>
      </c>
      <c r="L146" s="38" t="inlineStr">
        <is>
          <t/>
        </is>
      </c>
      <c r="M146" s="39" t="inlineStr">
        <is>
          <t/>
        </is>
      </c>
      <c r="N146" s="40" t="inlineStr">
        <is>
          <t/>
        </is>
      </c>
      <c r="O146" s="41" t="inlineStr">
        <is>
          <t/>
        </is>
      </c>
      <c r="P146" s="42" t="inlineStr">
        <is>
          <t/>
        </is>
      </c>
      <c r="Q146" s="43" t="inlineStr">
        <is>
          <t/>
        </is>
      </c>
      <c r="R146" s="44" t="inlineStr">
        <is>
          <t/>
        </is>
      </c>
    </row>
    <row r="147">
      <c r="A147" s="9" t="inlineStr">
        <is>
          <t>119967-40</t>
        </is>
      </c>
      <c r="B147" s="10" t="inlineStr">
        <is>
          <t>Wurrly</t>
        </is>
      </c>
      <c r="C147" s="11" t="n">
        <v>-0.4103957804526439</v>
      </c>
      <c r="D147" s="12" t="n">
        <v>10.748423755369224</v>
      </c>
      <c r="E147" s="13" t="inlineStr">
        <is>
          <t/>
        </is>
      </c>
      <c r="F147" s="14" t="n">
        <v>119.0</v>
      </c>
      <c r="G147" s="15" t="n">
        <v>22513.0</v>
      </c>
      <c r="H147" s="16" t="n">
        <v>3042.0</v>
      </c>
      <c r="I147" s="17" t="n">
        <v>10.0</v>
      </c>
      <c r="J147" s="18" t="inlineStr">
        <is>
          <t/>
        </is>
      </c>
      <c r="K147" s="19" t="inlineStr">
        <is>
          <t>Movies, Music and Entertainment</t>
        </is>
      </c>
      <c r="L147" s="20" t="inlineStr">
        <is>
          <t>Developer of a music application designed to transform smartphones into a music studio. The company's application permits recording of songs, customizing instruments, checking mic levels as well as enhancing of recordings with filters, enabling users to record music anywhere on-the-go as well as discover new talents and songs.</t>
        </is>
      </c>
      <c r="M147" s="21" t="inlineStr">
        <is>
          <t/>
        </is>
      </c>
      <c r="N147" s="22" t="inlineStr">
        <is>
          <t>Angel-Backed</t>
        </is>
      </c>
      <c r="O147" s="23" t="inlineStr">
        <is>
          <t>Privately Held (backing)</t>
        </is>
      </c>
      <c r="P147" s="24" t="inlineStr">
        <is>
          <t>Santa Monica, CA</t>
        </is>
      </c>
      <c r="Q147" s="25" t="inlineStr">
        <is>
          <t>www.wurrly.com</t>
        </is>
      </c>
      <c r="R147" s="113">
        <f>HYPERLINK("https://my.pitchbook.com?c=119967-40", "View company online")</f>
      </c>
    </row>
    <row r="148">
      <c r="A148" s="27" t="inlineStr">
        <is>
          <t>62254-18</t>
        </is>
      </c>
      <c r="B148" s="28" t="inlineStr">
        <is>
          <t>Wurl</t>
        </is>
      </c>
      <c r="C148" s="29" t="n">
        <v>0.0</v>
      </c>
      <c r="D148" s="30" t="n">
        <v>0.942030313290446</v>
      </c>
      <c r="E148" s="31" t="inlineStr">
        <is>
          <t/>
        </is>
      </c>
      <c r="F148" s="32" t="n">
        <v>66.0</v>
      </c>
      <c r="G148" s="33" t="n">
        <v>77.0</v>
      </c>
      <c r="H148" s="34" t="n">
        <v>18.0</v>
      </c>
      <c r="I148" s="35" t="n">
        <v>6.0</v>
      </c>
      <c r="J148" s="36" t="n">
        <v>6.54</v>
      </c>
      <c r="K148" s="37" t="inlineStr">
        <is>
          <t>Social/Platform Software</t>
        </is>
      </c>
      <c r="L148" s="38" t="inlineStr">
        <is>
          <t>Provider of online-video programming, metadata and cloud-based services. The company provides video service providers on broadband-connected devices including smartphones, tablets, connected TVs, OTT services, IPTV systems, video CE devices, and desktop/web apps.</t>
        </is>
      </c>
      <c r="M148" s="39" t="inlineStr">
        <is>
          <t>Individual Investor, Sean Doherty, William Randolph Hearst III</t>
        </is>
      </c>
      <c r="N148" s="40" t="inlineStr">
        <is>
          <t>Angel-Backed</t>
        </is>
      </c>
      <c r="O148" s="41" t="inlineStr">
        <is>
          <t>Privately Held (backing)</t>
        </is>
      </c>
      <c r="P148" s="42" t="inlineStr">
        <is>
          <t>Palo Alto, CA</t>
        </is>
      </c>
      <c r="Q148" s="43" t="inlineStr">
        <is>
          <t>www.wurl.com</t>
        </is>
      </c>
      <c r="R148" s="114">
        <f>HYPERLINK("https://my.pitchbook.com?c=62254-18", "View company online")</f>
      </c>
    </row>
    <row r="149">
      <c r="A149" s="9" t="inlineStr">
        <is>
          <t>165985-30</t>
        </is>
      </c>
      <c r="B149" s="10" t="inlineStr">
        <is>
          <t>WrkRiot</t>
        </is>
      </c>
      <c r="C149" s="11" t="n">
        <v>0.0</v>
      </c>
      <c r="D149" s="12" t="n">
        <v>0.03389830508474576</v>
      </c>
      <c r="E149" s="13" t="inlineStr">
        <is>
          <t/>
        </is>
      </c>
      <c r="F149" s="14" t="inlineStr">
        <is>
          <t/>
        </is>
      </c>
      <c r="G149" s="15" t="inlineStr">
        <is>
          <t/>
        </is>
      </c>
      <c r="H149" s="16" t="n">
        <v>12.0</v>
      </c>
      <c r="I149" s="17" t="inlineStr">
        <is>
          <t/>
        </is>
      </c>
      <c r="J149" s="18" t="n">
        <v>0.13</v>
      </c>
      <c r="K149" s="19" t="inlineStr">
        <is>
          <t>Social/Platform Software</t>
        </is>
      </c>
      <c r="L149" s="20" t="inlineStr">
        <is>
          <t>Provider of an online job searching portal. The company provides an online recruitment platform that helps to connect employers with job seekers without having to hire third party recruitment consultancy agents.</t>
        </is>
      </c>
      <c r="M149" s="21" t="inlineStr">
        <is>
          <t>Paul Kim</t>
        </is>
      </c>
      <c r="N149" s="22" t="inlineStr">
        <is>
          <t>Angel-Backed</t>
        </is>
      </c>
      <c r="O149" s="23" t="inlineStr">
        <is>
          <t>Privately Held (backing)</t>
        </is>
      </c>
      <c r="P149" s="24" t="inlineStr">
        <is>
          <t>Santa Clara, CA</t>
        </is>
      </c>
      <c r="Q149" s="25" t="inlineStr">
        <is>
          <t>www.wrkriot.com</t>
        </is>
      </c>
      <c r="R149" s="113">
        <f>HYPERLINK("https://my.pitchbook.com?c=165985-30", "View company online")</f>
      </c>
    </row>
    <row r="150">
      <c r="A150" s="27" t="inlineStr">
        <is>
          <t>103761-91</t>
        </is>
      </c>
      <c r="B150" s="28" t="inlineStr">
        <is>
          <t>Writeyboard</t>
        </is>
      </c>
      <c r="C150" s="29" t="n">
        <v>0.05887457949866267</v>
      </c>
      <c r="D150" s="30" t="n">
        <v>6.540298409789935</v>
      </c>
      <c r="E150" s="31" t="inlineStr">
        <is>
          <t/>
        </is>
      </c>
      <c r="F150" s="32" t="n">
        <v>262.0</v>
      </c>
      <c r="G150" s="33" t="n">
        <v>7978.0</v>
      </c>
      <c r="H150" s="34" t="n">
        <v>737.0</v>
      </c>
      <c r="I150" s="35" t="n">
        <v>4.0</v>
      </c>
      <c r="J150" s="36" t="n">
        <v>0.5</v>
      </c>
      <c r="K150" s="37" t="inlineStr">
        <is>
          <t>Other Consumer Durables</t>
        </is>
      </c>
      <c r="L150" s="38" t="inlineStr">
        <is>
          <t>Provider of stick-on whiteboards and dry-erase paints intended to transform walls into a dry erasable canvas. The company's stick-on whiteboards and dry-erase paints are sleek and smudge-proof, enabling users to write, draw or sketch and turn any wall into a board by sticking the whiteboard and it's erasable also.</t>
        </is>
      </c>
      <c r="M150" s="39" t="inlineStr">
        <is>
          <t>Bill Liao, Mark Cuban</t>
        </is>
      </c>
      <c r="N150" s="40" t="inlineStr">
        <is>
          <t>Angel-Backed</t>
        </is>
      </c>
      <c r="O150" s="41" t="inlineStr">
        <is>
          <t>Privately Held (backing)</t>
        </is>
      </c>
      <c r="P150" s="42" t="inlineStr">
        <is>
          <t>Calabasas, CA</t>
        </is>
      </c>
      <c r="Q150" s="43" t="inlineStr">
        <is>
          <t>www.whiteyboard.com</t>
        </is>
      </c>
      <c r="R150" s="114">
        <f>HYPERLINK("https://my.pitchbook.com?c=103761-91", "View company online")</f>
      </c>
    </row>
    <row r="151">
      <c r="A151" s="9" t="inlineStr">
        <is>
          <t>113588-20</t>
        </is>
      </c>
      <c r="B151" s="10" t="inlineStr">
        <is>
          <t>WriteWell</t>
        </is>
      </c>
      <c r="C151" s="85">
        <f>HYPERLINK("https://my.pitchbook.com?rrp=113588-20&amp;type=c", "This Company's information is not available to download. Need this Company? Request availability")</f>
      </c>
      <c r="D151" s="12" t="inlineStr">
        <is>
          <t/>
        </is>
      </c>
      <c r="E151" s="13" t="inlineStr">
        <is>
          <t/>
        </is>
      </c>
      <c r="F151" s="14" t="inlineStr">
        <is>
          <t/>
        </is>
      </c>
      <c r="G151" s="15" t="inlineStr">
        <is>
          <t/>
        </is>
      </c>
      <c r="H151" s="16" t="inlineStr">
        <is>
          <t/>
        </is>
      </c>
      <c r="I151" s="17" t="inlineStr">
        <is>
          <t/>
        </is>
      </c>
      <c r="J151" s="18" t="inlineStr">
        <is>
          <t/>
        </is>
      </c>
      <c r="K151" s="19" t="inlineStr">
        <is>
          <t/>
        </is>
      </c>
      <c r="L151" s="20" t="inlineStr">
        <is>
          <t/>
        </is>
      </c>
      <c r="M151" s="21" t="inlineStr">
        <is>
          <t/>
        </is>
      </c>
      <c r="N151" s="22" t="inlineStr">
        <is>
          <t/>
        </is>
      </c>
      <c r="O151" s="23" t="inlineStr">
        <is>
          <t/>
        </is>
      </c>
      <c r="P151" s="24" t="inlineStr">
        <is>
          <t/>
        </is>
      </c>
      <c r="Q151" s="25" t="inlineStr">
        <is>
          <t/>
        </is>
      </c>
      <c r="R151" s="26" t="inlineStr">
        <is>
          <t/>
        </is>
      </c>
    </row>
    <row r="152">
      <c r="A152" s="27" t="inlineStr">
        <is>
          <t>103754-44</t>
        </is>
      </c>
      <c r="B152" s="28" t="inlineStr">
        <is>
          <t>WriteOn</t>
        </is>
      </c>
      <c r="C152" s="29" t="n">
        <v>11.22366342278267</v>
      </c>
      <c r="D152" s="30" t="n">
        <v>11.249329445773808</v>
      </c>
      <c r="E152" s="31" t="inlineStr">
        <is>
          <t/>
        </is>
      </c>
      <c r="F152" s="32" t="n">
        <v>392.0</v>
      </c>
      <c r="G152" s="33" t="n">
        <v>4281.0</v>
      </c>
      <c r="H152" s="34" t="n">
        <v>5607.0</v>
      </c>
      <c r="I152" s="35" t="n">
        <v>4.0</v>
      </c>
      <c r="J152" s="36" t="inlineStr">
        <is>
          <t/>
        </is>
      </c>
      <c r="K152" s="37" t="inlineStr">
        <is>
          <t>Application Software</t>
        </is>
      </c>
      <c r="L152" s="38" t="inlineStr">
        <is>
          <t>Developer of a digital handwriting application. The company's mobile application helps in note taking on touchscreen devices.</t>
        </is>
      </c>
      <c r="M152" s="39" t="inlineStr">
        <is>
          <t/>
        </is>
      </c>
      <c r="N152" s="40" t="inlineStr">
        <is>
          <t>Angel-Backed</t>
        </is>
      </c>
      <c r="O152" s="41" t="inlineStr">
        <is>
          <t>Privately Held (backing)</t>
        </is>
      </c>
      <c r="P152" s="42" t="inlineStr">
        <is>
          <t>Los Angeles, CA</t>
        </is>
      </c>
      <c r="Q152" s="43" t="inlineStr">
        <is>
          <t>www.writeon.cool</t>
        </is>
      </c>
      <c r="R152" s="114">
        <f>HYPERLINK("https://my.pitchbook.com?c=103754-44", "View company online")</f>
      </c>
    </row>
    <row r="153">
      <c r="A153" s="9" t="inlineStr">
        <is>
          <t>104507-02</t>
        </is>
      </c>
      <c r="B153" s="10" t="inlineStr">
        <is>
          <t>Wrenchguy's Mobile</t>
        </is>
      </c>
      <c r="C153" s="11" t="n">
        <v>0.0</v>
      </c>
      <c r="D153" s="12" t="n">
        <v>0.05405405405405406</v>
      </c>
      <c r="E153" s="13" t="inlineStr">
        <is>
          <t/>
        </is>
      </c>
      <c r="F153" s="14" t="n">
        <v>2.0</v>
      </c>
      <c r="G153" s="15" t="inlineStr">
        <is>
          <t/>
        </is>
      </c>
      <c r="H153" s="16" t="inlineStr">
        <is>
          <t/>
        </is>
      </c>
      <c r="I153" s="17" t="inlineStr">
        <is>
          <t/>
        </is>
      </c>
      <c r="J153" s="18" t="n">
        <v>0.02</v>
      </c>
      <c r="K153" s="19" t="inlineStr">
        <is>
          <t>Automotive</t>
        </is>
      </c>
      <c r="L153" s="20" t="inlineStr">
        <is>
          <t>Provider of mobile automotive diagnostics and repair services. The company involves in diagnosing and troubleshooting vehicle’s malfunctions. It also offers driveability, coolant system, electrical and brake system evaluation services.</t>
        </is>
      </c>
      <c r="M153" s="21" t="inlineStr">
        <is>
          <t/>
        </is>
      </c>
      <c r="N153" s="22" t="inlineStr">
        <is>
          <t>Angel-Backed</t>
        </is>
      </c>
      <c r="O153" s="23" t="inlineStr">
        <is>
          <t>Privately Held (backing)</t>
        </is>
      </c>
      <c r="P153" s="24" t="inlineStr">
        <is>
          <t>Hawthorne, CA</t>
        </is>
      </c>
      <c r="Q153" s="25" t="inlineStr">
        <is>
          <t>www.wrenchguy.net</t>
        </is>
      </c>
      <c r="R153" s="113">
        <f>HYPERLINK("https://my.pitchbook.com?c=104507-02", "View company online")</f>
      </c>
    </row>
    <row r="154">
      <c r="A154" s="27" t="inlineStr">
        <is>
          <t>178991-92</t>
        </is>
      </c>
      <c r="B154" s="28" t="inlineStr">
        <is>
          <t>Wreckords</t>
        </is>
      </c>
      <c r="C154" s="29" t="inlineStr">
        <is>
          <t/>
        </is>
      </c>
      <c r="D154" s="30" t="inlineStr">
        <is>
          <t/>
        </is>
      </c>
      <c r="E154" s="31" t="inlineStr">
        <is>
          <t/>
        </is>
      </c>
      <c r="F154" s="32" t="inlineStr">
        <is>
          <t/>
        </is>
      </c>
      <c r="G154" s="33" t="inlineStr">
        <is>
          <t/>
        </is>
      </c>
      <c r="H154" s="34" t="inlineStr">
        <is>
          <t/>
        </is>
      </c>
      <c r="I154" s="35" t="inlineStr">
        <is>
          <t/>
        </is>
      </c>
      <c r="J154" s="36" t="n">
        <v>0.01</v>
      </c>
      <c r="K154" s="37" t="inlineStr">
        <is>
          <t>Other Business Products and Services</t>
        </is>
      </c>
      <c r="L154" s="38" t="inlineStr">
        <is>
          <t>The company is currently operating in Stealth mode.</t>
        </is>
      </c>
      <c r="M154" s="39" t="inlineStr">
        <is>
          <t/>
        </is>
      </c>
      <c r="N154" s="40" t="inlineStr">
        <is>
          <t>Angel-Backed</t>
        </is>
      </c>
      <c r="O154" s="41" t="inlineStr">
        <is>
          <t>Privately Held (backing)</t>
        </is>
      </c>
      <c r="P154" s="42" t="inlineStr">
        <is>
          <t>Newport Beach, CA</t>
        </is>
      </c>
      <c r="Q154" s="43" t="inlineStr">
        <is>
          <t/>
        </is>
      </c>
      <c r="R154" s="114">
        <f>HYPERLINK("https://my.pitchbook.com?c=178991-92", "View company online")</f>
      </c>
    </row>
    <row r="155">
      <c r="A155" s="9" t="inlineStr">
        <is>
          <t>174356-29</t>
        </is>
      </c>
      <c r="B155" s="10" t="inlineStr">
        <is>
          <t>WOSH</t>
        </is>
      </c>
      <c r="C155" s="85">
        <f>HYPERLINK("https://my.pitchbook.com?rrp=174356-29&amp;type=c", "This Company's information is not available to download. Need this Company? Request availability")</f>
      </c>
      <c r="D155" s="12" t="inlineStr">
        <is>
          <t/>
        </is>
      </c>
      <c r="E155" s="13" t="inlineStr">
        <is>
          <t/>
        </is>
      </c>
      <c r="F155" s="14" t="inlineStr">
        <is>
          <t/>
        </is>
      </c>
      <c r="G155" s="15" t="inlineStr">
        <is>
          <t/>
        </is>
      </c>
      <c r="H155" s="16" t="inlineStr">
        <is>
          <t/>
        </is>
      </c>
      <c r="I155" s="17" t="inlineStr">
        <is>
          <t/>
        </is>
      </c>
      <c r="J155" s="18" t="inlineStr">
        <is>
          <t/>
        </is>
      </c>
      <c r="K155" s="19" t="inlineStr">
        <is>
          <t/>
        </is>
      </c>
      <c r="L155" s="20" t="inlineStr">
        <is>
          <t/>
        </is>
      </c>
      <c r="M155" s="21" t="inlineStr">
        <is>
          <t/>
        </is>
      </c>
      <c r="N155" s="22" t="inlineStr">
        <is>
          <t/>
        </is>
      </c>
      <c r="O155" s="23" t="inlineStr">
        <is>
          <t/>
        </is>
      </c>
      <c r="P155" s="24" t="inlineStr">
        <is>
          <t/>
        </is>
      </c>
      <c r="Q155" s="25" t="inlineStr">
        <is>
          <t/>
        </is>
      </c>
      <c r="R155" s="26" t="inlineStr">
        <is>
          <t/>
        </is>
      </c>
    </row>
    <row r="156">
      <c r="A156" s="27" t="inlineStr">
        <is>
          <t>169159-87</t>
        </is>
      </c>
      <c r="B156" s="28" t="inlineStr">
        <is>
          <t>WortheeMed</t>
        </is>
      </c>
      <c r="C156" s="29" t="inlineStr">
        <is>
          <t/>
        </is>
      </c>
      <c r="D156" s="30" t="inlineStr">
        <is>
          <t/>
        </is>
      </c>
      <c r="E156" s="31" t="inlineStr">
        <is>
          <t/>
        </is>
      </c>
      <c r="F156" s="32" t="inlineStr">
        <is>
          <t/>
        </is>
      </c>
      <c r="G156" s="33" t="inlineStr">
        <is>
          <t/>
        </is>
      </c>
      <c r="H156" s="34" t="inlineStr">
        <is>
          <t/>
        </is>
      </c>
      <c r="I156" s="35" t="inlineStr">
        <is>
          <t/>
        </is>
      </c>
      <c r="J156" s="36" t="n">
        <v>0.01</v>
      </c>
      <c r="K156" s="37" t="inlineStr">
        <is>
          <t>Other Business Products and Services</t>
        </is>
      </c>
      <c r="L156" s="38" t="inlineStr">
        <is>
          <t>The company is currently operating in Stealth mode.</t>
        </is>
      </c>
      <c r="M156" s="39" t="inlineStr">
        <is>
          <t/>
        </is>
      </c>
      <c r="N156" s="40" t="inlineStr">
        <is>
          <t>Angel-Backed</t>
        </is>
      </c>
      <c r="O156" s="41" t="inlineStr">
        <is>
          <t>Privately Held (backing)</t>
        </is>
      </c>
      <c r="P156" s="42" t="inlineStr">
        <is>
          <t>Foster City, CA</t>
        </is>
      </c>
      <c r="Q156" s="43" t="inlineStr">
        <is>
          <t>www.wortheemed.com</t>
        </is>
      </c>
      <c r="R156" s="114">
        <f>HYPERLINK("https://my.pitchbook.com?c=169159-87", "View company online")</f>
      </c>
    </row>
    <row r="157">
      <c r="A157" s="9" t="inlineStr">
        <is>
          <t>103747-42</t>
        </is>
      </c>
      <c r="B157" s="10" t="inlineStr">
        <is>
          <t>Worlize</t>
        </is>
      </c>
      <c r="C157" s="11" t="n">
        <v>-0.01452515727401069</v>
      </c>
      <c r="D157" s="12" t="n">
        <v>1.405502997470573</v>
      </c>
      <c r="E157" s="13" t="inlineStr">
        <is>
          <t/>
        </is>
      </c>
      <c r="F157" s="14" t="n">
        <v>52.0</v>
      </c>
      <c r="G157" s="15" t="n">
        <v>461.0</v>
      </c>
      <c r="H157" s="16" t="n">
        <v>791.0</v>
      </c>
      <c r="I157" s="17" t="n">
        <v>3.0</v>
      </c>
      <c r="J157" s="18" t="n">
        <v>0.15</v>
      </c>
      <c r="K157" s="19" t="inlineStr">
        <is>
          <t>Entertainment Software</t>
        </is>
      </c>
      <c r="L157" s="20" t="inlineStr">
        <is>
          <t>Developer and provider of social gaming and chat platform. The company provides a platform to interact in 2D environments as well as play user-created games and also allows to customize images on the social networks.</t>
        </is>
      </c>
      <c r="M157" s="21" t="inlineStr">
        <is>
          <t/>
        </is>
      </c>
      <c r="N157" s="22" t="inlineStr">
        <is>
          <t>Angel-Backed</t>
        </is>
      </c>
      <c r="O157" s="23" t="inlineStr">
        <is>
          <t>Privately Held (backing)</t>
        </is>
      </c>
      <c r="P157" s="24" t="inlineStr">
        <is>
          <t>Los Angeles, CA</t>
        </is>
      </c>
      <c r="Q157" s="25" t="inlineStr">
        <is>
          <t>www.worlize.com</t>
        </is>
      </c>
      <c r="R157" s="113">
        <f>HYPERLINK("https://my.pitchbook.com?c=103747-42", "View company online")</f>
      </c>
    </row>
    <row r="158">
      <c r="A158" s="27" t="inlineStr">
        <is>
          <t>103643-74</t>
        </is>
      </c>
      <c r="B158" s="28" t="inlineStr">
        <is>
          <t>WorldShop</t>
        </is>
      </c>
      <c r="C158" s="29" t="n">
        <v>0.0</v>
      </c>
      <c r="D158" s="30" t="n">
        <v>2.2162162162162162</v>
      </c>
      <c r="E158" s="31" t="inlineStr">
        <is>
          <t/>
        </is>
      </c>
      <c r="F158" s="32" t="n">
        <v>82.0</v>
      </c>
      <c r="G158" s="33" t="inlineStr">
        <is>
          <t/>
        </is>
      </c>
      <c r="H158" s="34" t="inlineStr">
        <is>
          <t/>
        </is>
      </c>
      <c r="I158" s="35" t="inlineStr">
        <is>
          <t/>
        </is>
      </c>
      <c r="J158" s="36" t="inlineStr">
        <is>
          <t/>
        </is>
      </c>
      <c r="K158" s="37" t="inlineStr">
        <is>
          <t>Internet Retail</t>
        </is>
      </c>
      <c r="L158" s="38" t="inlineStr">
        <is>
          <t>Provider of an international shopping marketplace. The company provides an online marketplace which allows non-US consumers to shop from US merchants and have the products shipped to their country.</t>
        </is>
      </c>
      <c r="M158" s="39" t="inlineStr">
        <is>
          <t>500 Startups</t>
        </is>
      </c>
      <c r="N158" s="40" t="inlineStr">
        <is>
          <t>Accelerator/Incubator Backed</t>
        </is>
      </c>
      <c r="O158" s="41" t="inlineStr">
        <is>
          <t>Privately Held (backing)</t>
        </is>
      </c>
      <c r="P158" s="42" t="inlineStr">
        <is>
          <t>Monterey, CA</t>
        </is>
      </c>
      <c r="Q158" s="43" t="inlineStr">
        <is>
          <t>www.worldshop.com</t>
        </is>
      </c>
      <c r="R158" s="114">
        <f>HYPERLINK("https://my.pitchbook.com?c=103643-74", "View company online")</f>
      </c>
    </row>
    <row r="159">
      <c r="A159" s="9" t="inlineStr">
        <is>
          <t>169419-25</t>
        </is>
      </c>
      <c r="B159" s="10" t="inlineStr">
        <is>
          <t>WorlDance</t>
        </is>
      </c>
      <c r="C159" s="11" t="inlineStr">
        <is>
          <t/>
        </is>
      </c>
      <c r="D159" s="12" t="inlineStr">
        <is>
          <t/>
        </is>
      </c>
      <c r="E159" s="13" t="inlineStr">
        <is>
          <t/>
        </is>
      </c>
      <c r="F159" s="14" t="inlineStr">
        <is>
          <t/>
        </is>
      </c>
      <c r="G159" s="15" t="inlineStr">
        <is>
          <t/>
        </is>
      </c>
      <c r="H159" s="16" t="inlineStr">
        <is>
          <t/>
        </is>
      </c>
      <c r="I159" s="17" t="inlineStr">
        <is>
          <t/>
        </is>
      </c>
      <c r="J159" s="18" t="inlineStr">
        <is>
          <t/>
        </is>
      </c>
      <c r="K159" s="19" t="inlineStr">
        <is>
          <t>Other Consumer Products and Services</t>
        </is>
      </c>
      <c r="L159" s="20" t="inlineStr">
        <is>
          <t>Owner and operator of a contemporary dance studio. The company operates dance classes and educates basic hip hop and ballet steps to the students.</t>
        </is>
      </c>
      <c r="M159" s="21" t="inlineStr">
        <is>
          <t>Catapult Ideas</t>
        </is>
      </c>
      <c r="N159" s="22" t="inlineStr">
        <is>
          <t>Accelerator/Incubator Backed</t>
        </is>
      </c>
      <c r="O159" s="23" t="inlineStr">
        <is>
          <t>Privately Held (backing)</t>
        </is>
      </c>
      <c r="P159" s="24" t="inlineStr">
        <is>
          <t>San Francisco, CA</t>
        </is>
      </c>
      <c r="Q159" s="25" t="inlineStr">
        <is>
          <t>www.worldance.co</t>
        </is>
      </c>
      <c r="R159" s="113">
        <f>HYPERLINK("https://my.pitchbook.com?c=169419-25", "View company online")</f>
      </c>
    </row>
    <row r="160">
      <c r="A160" s="27" t="inlineStr">
        <is>
          <t>104812-39</t>
        </is>
      </c>
      <c r="B160" s="28" t="inlineStr">
        <is>
          <t>World Tech Makers</t>
        </is>
      </c>
      <c r="C160" s="29" t="n">
        <v>0.5444972744529816</v>
      </c>
      <c r="D160" s="30" t="n">
        <v>4.808188676095824</v>
      </c>
      <c r="E160" s="31" t="inlineStr">
        <is>
          <t/>
        </is>
      </c>
      <c r="F160" s="32" t="n">
        <v>18.0</v>
      </c>
      <c r="G160" s="33" t="n">
        <v>6590.0</v>
      </c>
      <c r="H160" s="34" t="n">
        <v>3555.0</v>
      </c>
      <c r="I160" s="35" t="inlineStr">
        <is>
          <t/>
        </is>
      </c>
      <c r="J160" s="36" t="inlineStr">
        <is>
          <t/>
        </is>
      </c>
      <c r="K160" s="37" t="inlineStr">
        <is>
          <t>Education and Training Services (B2B)</t>
        </is>
      </c>
      <c r="L160" s="38" t="inlineStr">
        <is>
          <t>Provider of vocational and technological training services. The company specializes in providing technological training through on-site coding and offers its services through disruptive bootcamps and international coding expeditions.</t>
        </is>
      </c>
      <c r="M160" s="39" t="inlineStr">
        <is>
          <t>MassChallenge, Timothy Draper</t>
        </is>
      </c>
      <c r="N160" s="40" t="inlineStr">
        <is>
          <t>Accelerator/Incubator Backed</t>
        </is>
      </c>
      <c r="O160" s="41" t="inlineStr">
        <is>
          <t>Privately Held (backing)</t>
        </is>
      </c>
      <c r="P160" s="42" t="inlineStr">
        <is>
          <t>San Francisco, CA</t>
        </is>
      </c>
      <c r="Q160" s="43" t="inlineStr">
        <is>
          <t>www.worldtechmakers.com</t>
        </is>
      </c>
      <c r="R160" s="114">
        <f>HYPERLINK("https://my.pitchbook.com?c=104812-39", "View company online")</f>
      </c>
    </row>
    <row r="161">
      <c r="A161" s="9" t="inlineStr">
        <is>
          <t>103365-82</t>
        </is>
      </c>
      <c r="B161" s="10" t="inlineStr">
        <is>
          <t>World Market Vendor Services</t>
        </is>
      </c>
      <c r="C161" s="11" t="n">
        <v>-0.016610100457154494</v>
      </c>
      <c r="D161" s="12" t="n">
        <v>0.576271186440678</v>
      </c>
      <c r="E161" s="13" t="inlineStr">
        <is>
          <t/>
        </is>
      </c>
      <c r="F161" s="14" t="inlineStr">
        <is>
          <t/>
        </is>
      </c>
      <c r="G161" s="15" t="inlineStr">
        <is>
          <t/>
        </is>
      </c>
      <c r="H161" s="16" t="n">
        <v>204.0</v>
      </c>
      <c r="I161" s="17" t="inlineStr">
        <is>
          <t/>
        </is>
      </c>
      <c r="J161" s="18" t="n">
        <v>2.0</v>
      </c>
      <c r="K161" s="19" t="inlineStr">
        <is>
          <t>Internet Retail</t>
        </is>
      </c>
      <c r="L161" s="20" t="inlineStr">
        <is>
          <t>Developer and provider of an online cash-pay shopping center. The company is developing online cash-pay technology that offers global online cash-pay shopping services.</t>
        </is>
      </c>
      <c r="M161" s="21" t="inlineStr">
        <is>
          <t/>
        </is>
      </c>
      <c r="N161" s="22" t="inlineStr">
        <is>
          <t>Angel-Backed</t>
        </is>
      </c>
      <c r="O161" s="23" t="inlineStr">
        <is>
          <t>Privately Held (backing)</t>
        </is>
      </c>
      <c r="P161" s="24" t="inlineStr">
        <is>
          <t>Huntington Beach, CA</t>
        </is>
      </c>
      <c r="Q161" s="25" t="inlineStr">
        <is>
          <t>worldmarket.pinpay.co</t>
        </is>
      </c>
      <c r="R161" s="113">
        <f>HYPERLINK("https://my.pitchbook.com?c=103365-82", "View company online")</f>
      </c>
    </row>
    <row r="162">
      <c r="A162" s="27" t="inlineStr">
        <is>
          <t>108698-59</t>
        </is>
      </c>
      <c r="B162" s="28" t="inlineStr">
        <is>
          <t>World Lifestyle</t>
        </is>
      </c>
      <c r="C162" s="86">
        <f>HYPERLINK("https://my.pitchbook.com?rrp=108698-59&amp;type=c", "This Company's information is not available to download. Need this Company? Request availability")</f>
      </c>
      <c r="D162" s="30" t="inlineStr">
        <is>
          <t/>
        </is>
      </c>
      <c r="E162" s="31" t="inlineStr">
        <is>
          <t/>
        </is>
      </c>
      <c r="F162" s="32" t="inlineStr">
        <is>
          <t/>
        </is>
      </c>
      <c r="G162" s="33" t="inlineStr">
        <is>
          <t/>
        </is>
      </c>
      <c r="H162" s="34" t="inlineStr">
        <is>
          <t/>
        </is>
      </c>
      <c r="I162" s="35" t="inlineStr">
        <is>
          <t/>
        </is>
      </c>
      <c r="J162" s="36" t="inlineStr">
        <is>
          <t/>
        </is>
      </c>
      <c r="K162" s="37" t="inlineStr">
        <is>
          <t/>
        </is>
      </c>
      <c r="L162" s="38" t="inlineStr">
        <is>
          <t/>
        </is>
      </c>
      <c r="M162" s="39" t="inlineStr">
        <is>
          <t/>
        </is>
      </c>
      <c r="N162" s="40" t="inlineStr">
        <is>
          <t/>
        </is>
      </c>
      <c r="O162" s="41" t="inlineStr">
        <is>
          <t/>
        </is>
      </c>
      <c r="P162" s="42" t="inlineStr">
        <is>
          <t/>
        </is>
      </c>
      <c r="Q162" s="43" t="inlineStr">
        <is>
          <t/>
        </is>
      </c>
      <c r="R162" s="44" t="inlineStr">
        <is>
          <t/>
        </is>
      </c>
    </row>
    <row r="163">
      <c r="A163" s="9" t="inlineStr">
        <is>
          <t>151189-12</t>
        </is>
      </c>
      <c r="B163" s="10" t="inlineStr">
        <is>
          <t>World Education University</t>
        </is>
      </c>
      <c r="C163" s="11" t="n">
        <v>-0.18890525635683408</v>
      </c>
      <c r="D163" s="12" t="n">
        <v>6.152039640967423</v>
      </c>
      <c r="E163" s="13" t="inlineStr">
        <is>
          <t/>
        </is>
      </c>
      <c r="F163" s="14" t="n">
        <v>213.0</v>
      </c>
      <c r="G163" s="15" t="n">
        <v>1831.0</v>
      </c>
      <c r="H163" s="16" t="n">
        <v>3829.0</v>
      </c>
      <c r="I163" s="17" t="inlineStr">
        <is>
          <t/>
        </is>
      </c>
      <c r="J163" s="18" t="n">
        <v>1.0</v>
      </c>
      <c r="K163" s="19" t="inlineStr">
        <is>
          <t>Educational and Training Services (B2C)</t>
        </is>
      </c>
      <c r="L163" s="20" t="inlineStr">
        <is>
          <t>Owner and operator of an educational institution. The company offers free education to all without any government financial support, assistance or restrictions.</t>
        </is>
      </c>
      <c r="M163" s="21" t="inlineStr">
        <is>
          <t/>
        </is>
      </c>
      <c r="N163" s="22" t="inlineStr">
        <is>
          <t>Angel-Backed</t>
        </is>
      </c>
      <c r="O163" s="23" t="inlineStr">
        <is>
          <t>Privately Held (backing)</t>
        </is>
      </c>
      <c r="P163" s="24" t="inlineStr">
        <is>
          <t>Indian Wells, CA</t>
        </is>
      </c>
      <c r="Q163" s="25" t="inlineStr">
        <is>
          <t>www.theweu.com</t>
        </is>
      </c>
      <c r="R163" s="113">
        <f>HYPERLINK("https://my.pitchbook.com?c=151189-12", "View company online")</f>
      </c>
    </row>
    <row r="164">
      <c r="A164" s="27" t="inlineStr">
        <is>
          <t>117692-74</t>
        </is>
      </c>
      <c r="B164" s="28" t="inlineStr">
        <is>
          <t>Worksurge</t>
        </is>
      </c>
      <c r="C164" s="29" t="n">
        <v>0.0</v>
      </c>
      <c r="D164" s="30" t="n">
        <v>0.08573828065353489</v>
      </c>
      <c r="E164" s="31" t="inlineStr">
        <is>
          <t/>
        </is>
      </c>
      <c r="F164" s="32" t="n">
        <v>3.0</v>
      </c>
      <c r="G164" s="33" t="inlineStr">
        <is>
          <t/>
        </is>
      </c>
      <c r="H164" s="34" t="n">
        <v>32.0</v>
      </c>
      <c r="I164" s="35" t="n">
        <v>11.0</v>
      </c>
      <c r="J164" s="36" t="inlineStr">
        <is>
          <t/>
        </is>
      </c>
      <c r="K164" s="37" t="inlineStr">
        <is>
          <t>Other Software</t>
        </is>
      </c>
      <c r="L164" s="38" t="inlineStr">
        <is>
          <t>Developer of a cloud-based marketplace. The company provides dashboard and marketplace for subscribing, licensing, managing and monitoring all of an organization’s applications, services and data.</t>
        </is>
      </c>
      <c r="M164" s="39" t="inlineStr">
        <is>
          <t>Bret Lock</t>
        </is>
      </c>
      <c r="N164" s="40" t="inlineStr">
        <is>
          <t>Angel-Backed</t>
        </is>
      </c>
      <c r="O164" s="41" t="inlineStr">
        <is>
          <t>Privately Held (backing)</t>
        </is>
      </c>
      <c r="P164" s="42" t="inlineStr">
        <is>
          <t>San Francisco, CA</t>
        </is>
      </c>
      <c r="Q164" s="43" t="inlineStr">
        <is>
          <t>www.worksurge.co</t>
        </is>
      </c>
      <c r="R164" s="114">
        <f>HYPERLINK("https://my.pitchbook.com?c=117692-74", "View company online")</f>
      </c>
    </row>
    <row r="165">
      <c r="A165" s="9" t="inlineStr">
        <is>
          <t>109985-95</t>
        </is>
      </c>
      <c r="B165" s="10" t="inlineStr">
        <is>
          <t>Worksfire</t>
        </is>
      </c>
      <c r="C165" s="11" t="n">
        <v>0.029333315867309445</v>
      </c>
      <c r="D165" s="12" t="n">
        <v>0.6942043211755815</v>
      </c>
      <c r="E165" s="13" t="inlineStr">
        <is>
          <t/>
        </is>
      </c>
      <c r="F165" s="14" t="n">
        <v>11.0</v>
      </c>
      <c r="G165" s="15" t="n">
        <v>1501.0</v>
      </c>
      <c r="H165" s="16" t="n">
        <v>112.0</v>
      </c>
      <c r="I165" s="17" t="n">
        <v>7.0</v>
      </c>
      <c r="J165" s="18" t="n">
        <v>0.6</v>
      </c>
      <c r="K165" s="19" t="inlineStr">
        <is>
          <t>Systems and Information Management</t>
        </is>
      </c>
      <c r="L165" s="20" t="inlineStr">
        <is>
          <t>Developer of a social project and management platform which connects tasks, projects, documents and people. The company specialises in task management, project management, document storage, document sharing and business marketing.</t>
        </is>
      </c>
      <c r="M165" s="21" t="inlineStr">
        <is>
          <t/>
        </is>
      </c>
      <c r="N165" s="22" t="inlineStr">
        <is>
          <t>Angel-Backed</t>
        </is>
      </c>
      <c r="O165" s="23" t="inlineStr">
        <is>
          <t>Privately Held (backing)</t>
        </is>
      </c>
      <c r="P165" s="24" t="inlineStr">
        <is>
          <t>Murrieta, CA</t>
        </is>
      </c>
      <c r="Q165" s="25" t="inlineStr">
        <is>
          <t>www.worksfire.com</t>
        </is>
      </c>
      <c r="R165" s="113">
        <f>HYPERLINK("https://my.pitchbook.com?c=109985-95", "View company online")</f>
      </c>
    </row>
    <row r="166">
      <c r="A166" s="27" t="inlineStr">
        <is>
          <t>118193-14</t>
        </is>
      </c>
      <c r="B166" s="28" t="inlineStr">
        <is>
          <t>Workr</t>
        </is>
      </c>
      <c r="C166" s="29" t="n">
        <v>0.0</v>
      </c>
      <c r="D166" s="30" t="n">
        <v>0.21621621621621623</v>
      </c>
      <c r="E166" s="31" t="inlineStr">
        <is>
          <t/>
        </is>
      </c>
      <c r="F166" s="32" t="n">
        <v>8.0</v>
      </c>
      <c r="G166" s="33" t="inlineStr">
        <is>
          <t/>
        </is>
      </c>
      <c r="H166" s="34" t="inlineStr">
        <is>
          <t/>
        </is>
      </c>
      <c r="I166" s="35" t="n">
        <v>4.0</v>
      </c>
      <c r="J166" s="36" t="inlineStr">
        <is>
          <t/>
        </is>
      </c>
      <c r="K166" s="37" t="inlineStr">
        <is>
          <t>Media and Information Services (B2B)</t>
        </is>
      </c>
      <c r="L166" s="38" t="inlineStr">
        <is>
          <t>Developer of an online platform for sharing knowledge about startups. The company develops an online platform for sharing knowledge based on funding strategy, pitch sessions and financial modelling of startups.</t>
        </is>
      </c>
      <c r="M166" s="39" t="inlineStr">
        <is>
          <t>StartX</t>
        </is>
      </c>
      <c r="N166" s="40" t="inlineStr">
        <is>
          <t>Accelerator/Incubator Backed</t>
        </is>
      </c>
      <c r="O166" s="41" t="inlineStr">
        <is>
          <t>Privately Held (backing)</t>
        </is>
      </c>
      <c r="P166" s="42" t="inlineStr">
        <is>
          <t>Mountain View, CA</t>
        </is>
      </c>
      <c r="Q166" s="43" t="inlineStr">
        <is>
          <t>www.workr.com</t>
        </is>
      </c>
      <c r="R166" s="114">
        <f>HYPERLINK("https://my.pitchbook.com?c=118193-14", "View company online")</f>
      </c>
    </row>
    <row r="167">
      <c r="A167" s="9" t="inlineStr">
        <is>
          <t>136629-28</t>
        </is>
      </c>
      <c r="B167" s="10" t="inlineStr">
        <is>
          <t>Worklete</t>
        </is>
      </c>
      <c r="C167" s="11" t="n">
        <v>0.0</v>
      </c>
      <c r="D167" s="12" t="n">
        <v>0.3868529546495648</v>
      </c>
      <c r="E167" s="13" t="inlineStr">
        <is>
          <t/>
        </is>
      </c>
      <c r="F167" s="14" t="n">
        <v>28.0</v>
      </c>
      <c r="G167" s="15" t="inlineStr">
        <is>
          <t/>
        </is>
      </c>
      <c r="H167" s="16" t="n">
        <v>6.0</v>
      </c>
      <c r="I167" s="17" t="inlineStr">
        <is>
          <t/>
        </is>
      </c>
      <c r="J167" s="18" t="n">
        <v>0.65</v>
      </c>
      <c r="K167" s="19" t="inlineStr">
        <is>
          <t>Other Commercial Services</t>
        </is>
      </c>
      <c r="L167" s="20" t="inlineStr">
        <is>
          <t>Provider of safety training services. The company offers training to employees working in physically demanding jobs in order to reduce injuries and overexertion.</t>
        </is>
      </c>
      <c r="M167" s="21" t="inlineStr">
        <is>
          <t>500 Startups, LaunchCapital, Silicon Badia</t>
        </is>
      </c>
      <c r="N167" s="22" t="inlineStr">
        <is>
          <t>Accelerator/Incubator Backed</t>
        </is>
      </c>
      <c r="O167" s="23" t="inlineStr">
        <is>
          <t>Privately Held (backing)</t>
        </is>
      </c>
      <c r="P167" s="24" t="inlineStr">
        <is>
          <t>San Francisco, CA</t>
        </is>
      </c>
      <c r="Q167" s="25" t="inlineStr">
        <is>
          <t>www.worklete.com</t>
        </is>
      </c>
      <c r="R167" s="113">
        <f>HYPERLINK("https://my.pitchbook.com?c=136629-28", "View company online")</f>
      </c>
    </row>
    <row r="168">
      <c r="A168" s="27" t="inlineStr">
        <is>
          <t>108599-68</t>
        </is>
      </c>
      <c r="B168" s="28" t="inlineStr">
        <is>
          <t>Working Not Working</t>
        </is>
      </c>
      <c r="C168" s="29" t="n">
        <v>0.13340807893906964</v>
      </c>
      <c r="D168" s="30" t="n">
        <v>12.445846931255922</v>
      </c>
      <c r="E168" s="31" t="inlineStr">
        <is>
          <t/>
        </is>
      </c>
      <c r="F168" s="32" t="n">
        <v>37.0</v>
      </c>
      <c r="G168" s="33" t="n">
        <v>11260.0</v>
      </c>
      <c r="H168" s="34" t="n">
        <v>11951.0</v>
      </c>
      <c r="I168" s="35" t="n">
        <v>10.0</v>
      </c>
      <c r="J168" s="36" t="n">
        <v>0.99</v>
      </c>
      <c r="K168" s="37" t="inlineStr">
        <is>
          <t>Human Capital Services</t>
        </is>
      </c>
      <c r="L168" s="38" t="inlineStr">
        <is>
          <t>Developer of an online community for creative freelancers and organizations. The company's platform enables creative freelancers to broadcast whether they are working, available or available soon to companies looking to hire them.</t>
        </is>
      </c>
      <c r="M168" s="39" t="inlineStr">
        <is>
          <t>David Droga, Drew Ungvarsky, Joe Gebbia</t>
        </is>
      </c>
      <c r="N168" s="40" t="inlineStr">
        <is>
          <t>Angel-Backed</t>
        </is>
      </c>
      <c r="O168" s="41" t="inlineStr">
        <is>
          <t>Privately Held (backing)</t>
        </is>
      </c>
      <c r="P168" s="42" t="inlineStr">
        <is>
          <t>San Francisco, CA</t>
        </is>
      </c>
      <c r="Q168" s="43" t="inlineStr">
        <is>
          <t>www.workingnotworking.com</t>
        </is>
      </c>
      <c r="R168" s="114">
        <f>HYPERLINK("https://my.pitchbook.com?c=108599-68", "View company online")</f>
      </c>
    </row>
    <row r="169">
      <c r="A169" s="9" t="inlineStr">
        <is>
          <t>153361-00</t>
        </is>
      </c>
      <c r="B169" s="10" t="inlineStr">
        <is>
          <t>WorkGenius</t>
        </is>
      </c>
      <c r="C169" s="11" t="n">
        <v>0.011547218372553989</v>
      </c>
      <c r="D169" s="12" t="n">
        <v>0.42083263387611214</v>
      </c>
      <c r="E169" s="13" t="inlineStr">
        <is>
          <t/>
        </is>
      </c>
      <c r="F169" s="14" t="n">
        <v>6.0</v>
      </c>
      <c r="G169" s="15" t="n">
        <v>546.0</v>
      </c>
      <c r="H169" s="16" t="inlineStr">
        <is>
          <t/>
        </is>
      </c>
      <c r="I169" s="17" t="inlineStr">
        <is>
          <t/>
        </is>
      </c>
      <c r="J169" s="18" t="n">
        <v>0.13</v>
      </c>
      <c r="K169" s="19" t="inlineStr">
        <is>
          <t>Human Capital Services</t>
        </is>
      </c>
      <c r="L169" s="20" t="inlineStr">
        <is>
          <t>Provider of an online employee sharing platform. The company offers a Web-based platform and mobile application that enables users to discover and work multiple on-demand jobs.</t>
        </is>
      </c>
      <c r="M169" s="21" t="inlineStr">
        <is>
          <t>500 Startups, Douglas Mandell, Nick Green, Sarah Imbach</t>
        </is>
      </c>
      <c r="N169" s="22" t="inlineStr">
        <is>
          <t>Accelerator/Incubator Backed</t>
        </is>
      </c>
      <c r="O169" s="23" t="inlineStr">
        <is>
          <t>Privately Held (backing)</t>
        </is>
      </c>
      <c r="P169" s="24" t="inlineStr">
        <is>
          <t>San Francisco, CA</t>
        </is>
      </c>
      <c r="Q169" s="25" t="inlineStr">
        <is>
          <t>www.workgeni.us</t>
        </is>
      </c>
      <c r="R169" s="113">
        <f>HYPERLINK("https://my.pitchbook.com?c=153361-00", "View company online")</f>
      </c>
    </row>
    <row r="170">
      <c r="A170" s="27" t="inlineStr">
        <is>
          <t>175448-89</t>
        </is>
      </c>
      <c r="B170" s="28" t="inlineStr">
        <is>
          <t>Worker Bee Solutions</t>
        </is>
      </c>
      <c r="C170" s="86">
        <f>HYPERLINK("https://my.pitchbook.com?rrp=175448-89&amp;type=c", "This Company's information is not available to download. Need this Company? Request availability")</f>
      </c>
      <c r="D170" s="30" t="inlineStr">
        <is>
          <t/>
        </is>
      </c>
      <c r="E170" s="31" t="inlineStr">
        <is>
          <t/>
        </is>
      </c>
      <c r="F170" s="32" t="inlineStr">
        <is>
          <t/>
        </is>
      </c>
      <c r="G170" s="33" t="inlineStr">
        <is>
          <t/>
        </is>
      </c>
      <c r="H170" s="34" t="inlineStr">
        <is>
          <t/>
        </is>
      </c>
      <c r="I170" s="35" t="inlineStr">
        <is>
          <t/>
        </is>
      </c>
      <c r="J170" s="36" t="inlineStr">
        <is>
          <t/>
        </is>
      </c>
      <c r="K170" s="37" t="inlineStr">
        <is>
          <t/>
        </is>
      </c>
      <c r="L170" s="38" t="inlineStr">
        <is>
          <t/>
        </is>
      </c>
      <c r="M170" s="39" t="inlineStr">
        <is>
          <t/>
        </is>
      </c>
      <c r="N170" s="40" t="inlineStr">
        <is>
          <t/>
        </is>
      </c>
      <c r="O170" s="41" t="inlineStr">
        <is>
          <t/>
        </is>
      </c>
      <c r="P170" s="42" t="inlineStr">
        <is>
          <t/>
        </is>
      </c>
      <c r="Q170" s="43" t="inlineStr">
        <is>
          <t/>
        </is>
      </c>
      <c r="R170" s="44" t="inlineStr">
        <is>
          <t/>
        </is>
      </c>
    </row>
    <row r="171">
      <c r="A171" s="9" t="inlineStr">
        <is>
          <t>104503-15</t>
        </is>
      </c>
      <c r="B171" s="10" t="inlineStr">
        <is>
          <t>Wordinaire</t>
        </is>
      </c>
      <c r="C171" s="11" t="n">
        <v>0.0</v>
      </c>
      <c r="D171" s="12" t="n">
        <v>0.21621621621621623</v>
      </c>
      <c r="E171" s="13" t="inlineStr">
        <is>
          <t/>
        </is>
      </c>
      <c r="F171" s="14" t="n">
        <v>8.0</v>
      </c>
      <c r="G171" s="15" t="inlineStr">
        <is>
          <t/>
        </is>
      </c>
      <c r="H171" s="16" t="inlineStr">
        <is>
          <t/>
        </is>
      </c>
      <c r="I171" s="17" t="n">
        <v>2.0</v>
      </c>
      <c r="J171" s="18" t="n">
        <v>0.14</v>
      </c>
      <c r="K171" s="19" t="inlineStr">
        <is>
          <t>Educational and Training Services (B2C)</t>
        </is>
      </c>
      <c r="L171" s="20" t="inlineStr">
        <is>
          <t>Developer of an application for English learning. The company develops an application which allows users to search and learn English words and phrases with the help of imagery, sound and contextual examples.</t>
        </is>
      </c>
      <c r="M171" s="21" t="inlineStr">
        <is>
          <t>Patrick Fraioli</t>
        </is>
      </c>
      <c r="N171" s="22" t="inlineStr">
        <is>
          <t>Angel-Backed</t>
        </is>
      </c>
      <c r="O171" s="23" t="inlineStr">
        <is>
          <t>Privately Held (backing)</t>
        </is>
      </c>
      <c r="P171" s="24" t="inlineStr">
        <is>
          <t>Los Angeles, CA</t>
        </is>
      </c>
      <c r="Q171" s="25" t="inlineStr">
        <is>
          <t>www.wordinaire.com</t>
        </is>
      </c>
      <c r="R171" s="113">
        <f>HYPERLINK("https://my.pitchbook.com?c=104503-15", "View company online")</f>
      </c>
    </row>
    <row r="172">
      <c r="A172" s="27" t="inlineStr">
        <is>
          <t>178656-58</t>
        </is>
      </c>
      <c r="B172" s="28" t="inlineStr">
        <is>
          <t>Wooji</t>
        </is>
      </c>
      <c r="C172" s="86">
        <f>HYPERLINK("https://my.pitchbook.com?rrp=178656-58&amp;type=c", "This Company's information is not available to download. Need this Company? Request availability")</f>
      </c>
      <c r="D172" s="30" t="inlineStr">
        <is>
          <t/>
        </is>
      </c>
      <c r="E172" s="31" t="inlineStr">
        <is>
          <t/>
        </is>
      </c>
      <c r="F172" s="32" t="inlineStr">
        <is>
          <t/>
        </is>
      </c>
      <c r="G172" s="33" t="inlineStr">
        <is>
          <t/>
        </is>
      </c>
      <c r="H172" s="34" t="inlineStr">
        <is>
          <t/>
        </is>
      </c>
      <c r="I172" s="35" t="inlineStr">
        <is>
          <t/>
        </is>
      </c>
      <c r="J172" s="36" t="inlineStr">
        <is>
          <t/>
        </is>
      </c>
      <c r="K172" s="37" t="inlineStr">
        <is>
          <t/>
        </is>
      </c>
      <c r="L172" s="38" t="inlineStr">
        <is>
          <t/>
        </is>
      </c>
      <c r="M172" s="39" t="inlineStr">
        <is>
          <t/>
        </is>
      </c>
      <c r="N172" s="40" t="inlineStr">
        <is>
          <t/>
        </is>
      </c>
      <c r="O172" s="41" t="inlineStr">
        <is>
          <t/>
        </is>
      </c>
      <c r="P172" s="42" t="inlineStr">
        <is>
          <t/>
        </is>
      </c>
      <c r="Q172" s="43" t="inlineStr">
        <is>
          <t/>
        </is>
      </c>
      <c r="R172" s="44" t="inlineStr">
        <is>
          <t/>
        </is>
      </c>
    </row>
    <row r="173">
      <c r="A173" s="9" t="inlineStr">
        <is>
          <t>166228-39</t>
        </is>
      </c>
      <c r="B173" s="10" t="inlineStr">
        <is>
          <t>Woodspur Farms</t>
        </is>
      </c>
      <c r="C173" s="11" t="n">
        <v>-0.05677000689614537</v>
      </c>
      <c r="D173" s="12" t="n">
        <v>0.5496258970835242</v>
      </c>
      <c r="E173" s="13" t="inlineStr">
        <is>
          <t/>
        </is>
      </c>
      <c r="F173" s="14" t="n">
        <v>2.0</v>
      </c>
      <c r="G173" s="15" t="inlineStr">
        <is>
          <t/>
        </is>
      </c>
      <c r="H173" s="16" t="n">
        <v>369.0</v>
      </c>
      <c r="I173" s="17" t="inlineStr">
        <is>
          <t/>
        </is>
      </c>
      <c r="J173" s="18" t="inlineStr">
        <is>
          <t/>
        </is>
      </c>
      <c r="K173" s="19" t="inlineStr">
        <is>
          <t>Food Products</t>
        </is>
      </c>
      <c r="L173" s="20" t="inlineStr">
        <is>
          <t>Producer and distributor of dates and date based food products. The company produces and distributes dates and date based products such as whole dates, date rolls and date syrups that act as nutritional alternatives to sugar.</t>
        </is>
      </c>
      <c r="M173" s="21" t="inlineStr">
        <is>
          <t/>
        </is>
      </c>
      <c r="N173" s="22" t="inlineStr">
        <is>
          <t>Angel-Backed</t>
        </is>
      </c>
      <c r="O173" s="23" t="inlineStr">
        <is>
          <t>Privately Held (backing)</t>
        </is>
      </c>
      <c r="P173" s="24" t="inlineStr">
        <is>
          <t>Coachella, CA</t>
        </is>
      </c>
      <c r="Q173" s="25" t="inlineStr">
        <is>
          <t>www.woodspurfarming.com</t>
        </is>
      </c>
      <c r="R173" s="113">
        <f>HYPERLINK("https://my.pitchbook.com?c=166228-39", "View company online")</f>
      </c>
    </row>
    <row r="174">
      <c r="A174" s="27" t="inlineStr">
        <is>
          <t>153150-22</t>
        </is>
      </c>
      <c r="B174" s="28" t="inlineStr">
        <is>
          <t>Wood Ranch BBQ &amp; Grill</t>
        </is>
      </c>
      <c r="C174" s="29" t="n">
        <v>0.7501296261903808</v>
      </c>
      <c r="D174" s="30" t="n">
        <v>9.034947656889441</v>
      </c>
      <c r="E174" s="31" t="inlineStr">
        <is>
          <t/>
        </is>
      </c>
      <c r="F174" s="32" t="n">
        <v>594.0</v>
      </c>
      <c r="G174" s="33" t="n">
        <v>863.0</v>
      </c>
      <c r="H174" s="34" t="n">
        <v>1004.0</v>
      </c>
      <c r="I174" s="35" t="inlineStr">
        <is>
          <t/>
        </is>
      </c>
      <c r="J174" s="36" t="n">
        <v>2.0</v>
      </c>
      <c r="K174" s="37" t="inlineStr">
        <is>
          <t>Restaurants and Bars</t>
        </is>
      </c>
      <c r="L174" s="38" t="inlineStr">
        <is>
          <t>Operator of restaurants for fine dining. The company specializes in operating specialty and fine dining restaurants that serves American cuisine.</t>
        </is>
      </c>
      <c r="M174" s="39" t="inlineStr">
        <is>
          <t/>
        </is>
      </c>
      <c r="N174" s="40" t="inlineStr">
        <is>
          <t>Angel-Backed</t>
        </is>
      </c>
      <c r="O174" s="41" t="inlineStr">
        <is>
          <t>Privately Held (backing)</t>
        </is>
      </c>
      <c r="P174" s="42" t="inlineStr">
        <is>
          <t>Burbank, CA</t>
        </is>
      </c>
      <c r="Q174" s="43" t="inlineStr">
        <is>
          <t>www.woodranch.com</t>
        </is>
      </c>
      <c r="R174" s="114">
        <f>HYPERLINK("https://my.pitchbook.com?c=153150-22", "View company online")</f>
      </c>
    </row>
    <row r="175">
      <c r="A175" s="9" t="inlineStr">
        <is>
          <t>169329-61</t>
        </is>
      </c>
      <c r="B175" s="10" t="inlineStr">
        <is>
          <t>Wondery</t>
        </is>
      </c>
      <c r="C175" s="11" t="n">
        <v>0.2639181210990142</v>
      </c>
      <c r="D175" s="12" t="n">
        <v>5.368702419126148</v>
      </c>
      <c r="E175" s="13" t="inlineStr">
        <is>
          <t/>
        </is>
      </c>
      <c r="F175" s="14" t="n">
        <v>30.0</v>
      </c>
      <c r="G175" s="15" t="n">
        <v>13086.0</v>
      </c>
      <c r="H175" s="16" t="n">
        <v>1269.0</v>
      </c>
      <c r="I175" s="17" t="inlineStr">
        <is>
          <t/>
        </is>
      </c>
      <c r="J175" s="18" t="n">
        <v>0.03</v>
      </c>
      <c r="K175" s="19" t="inlineStr">
        <is>
          <t>Movies, Music and Entertainment</t>
        </is>
      </c>
      <c r="L175" s="20" t="inlineStr">
        <is>
          <t>Provider of an on-demand audio service intended to connect wonderers and brands to a world of entertainment and knowledge. The company provides on-demand audio service and creates and curates podcasts for audio storytelling, enabling writers to offer a new storytelling medium.</t>
        </is>
      </c>
      <c r="M175" s="21" t="inlineStr">
        <is>
          <t>FOX International Channels, NXTP Labs</t>
        </is>
      </c>
      <c r="N175" s="22" t="inlineStr">
        <is>
          <t>Accelerator/Incubator Backed</t>
        </is>
      </c>
      <c r="O175" s="23" t="inlineStr">
        <is>
          <t>Privately Held (backing)</t>
        </is>
      </c>
      <c r="P175" s="24" t="inlineStr">
        <is>
          <t>Los Angeles, CA</t>
        </is>
      </c>
      <c r="Q175" s="25" t="inlineStr">
        <is>
          <t>www.wondery.com</t>
        </is>
      </c>
      <c r="R175" s="113">
        <f>HYPERLINK("https://my.pitchbook.com?c=169329-61", "View company online")</f>
      </c>
    </row>
    <row r="176">
      <c r="A176" s="27" t="inlineStr">
        <is>
          <t>175888-27</t>
        </is>
      </c>
      <c r="B176" s="28" t="inlineStr">
        <is>
          <t>Wonder Media</t>
        </is>
      </c>
      <c r="C176" s="86">
        <f>HYPERLINK("https://my.pitchbook.com?rrp=175888-27&amp;type=c", "This Company's information is not available to download. Need this Company? Request availability")</f>
      </c>
      <c r="D176" s="30" t="inlineStr">
        <is>
          <t/>
        </is>
      </c>
      <c r="E176" s="31" t="inlineStr">
        <is>
          <t/>
        </is>
      </c>
      <c r="F176" s="32" t="inlineStr">
        <is>
          <t/>
        </is>
      </c>
      <c r="G176" s="33" t="inlineStr">
        <is>
          <t/>
        </is>
      </c>
      <c r="H176" s="34" t="inlineStr">
        <is>
          <t/>
        </is>
      </c>
      <c r="I176" s="35" t="inlineStr">
        <is>
          <t/>
        </is>
      </c>
      <c r="J176" s="36" t="inlineStr">
        <is>
          <t/>
        </is>
      </c>
      <c r="K176" s="37" t="inlineStr">
        <is>
          <t/>
        </is>
      </c>
      <c r="L176" s="38" t="inlineStr">
        <is>
          <t/>
        </is>
      </c>
      <c r="M176" s="39" t="inlineStr">
        <is>
          <t/>
        </is>
      </c>
      <c r="N176" s="40" t="inlineStr">
        <is>
          <t/>
        </is>
      </c>
      <c r="O176" s="41" t="inlineStr">
        <is>
          <t/>
        </is>
      </c>
      <c r="P176" s="42" t="inlineStr">
        <is>
          <t/>
        </is>
      </c>
      <c r="Q176" s="43" t="inlineStr">
        <is>
          <t/>
        </is>
      </c>
      <c r="R176" s="44" t="inlineStr">
        <is>
          <t/>
        </is>
      </c>
    </row>
    <row r="177">
      <c r="A177" s="9" t="inlineStr">
        <is>
          <t>103727-89</t>
        </is>
      </c>
      <c r="B177" s="10" t="inlineStr">
        <is>
          <t>Women Who Code</t>
        </is>
      </c>
      <c r="C177" s="11" t="n">
        <v>0.9203954480441087</v>
      </c>
      <c r="D177" s="12" t="n">
        <v>122.39300993276673</v>
      </c>
      <c r="E177" s="13" t="inlineStr">
        <is>
          <t/>
        </is>
      </c>
      <c r="F177" s="14" t="n">
        <v>1353.0</v>
      </c>
      <c r="G177" s="15" t="n">
        <v>30817.0</v>
      </c>
      <c r="H177" s="16" t="n">
        <v>133405.0</v>
      </c>
      <c r="I177" s="17" t="n">
        <v>99.0</v>
      </c>
      <c r="J177" s="18" t="n">
        <v>0.12</v>
      </c>
      <c r="K177" s="19" t="inlineStr">
        <is>
          <t>Educational and Training Services (B2C)</t>
        </is>
      </c>
      <c r="L177" s="20" t="inlineStr">
        <is>
          <t>Provider of technical education services for women. The company serves as a non-profit that provides services for women who are pursing a career in the tech industry. The company provides members technical study groups, networking services, and career and leadership development courses.</t>
        </is>
      </c>
      <c r="M177" s="21" t="inlineStr">
        <is>
          <t>Capital Factory, Y Combinator</t>
        </is>
      </c>
      <c r="N177" s="22" t="inlineStr">
        <is>
          <t>Accelerator/Incubator Backed</t>
        </is>
      </c>
      <c r="O177" s="23" t="inlineStr">
        <is>
          <t>Privately Held (backing)</t>
        </is>
      </c>
      <c r="P177" s="24" t="inlineStr">
        <is>
          <t>San Francisco, CA</t>
        </is>
      </c>
      <c r="Q177" s="25" t="inlineStr">
        <is>
          <t>womenwhocode.com</t>
        </is>
      </c>
      <c r="R177" s="113">
        <f>HYPERLINK("https://my.pitchbook.com?c=103727-89", "View company online")</f>
      </c>
    </row>
    <row r="178">
      <c r="A178" s="27" t="inlineStr">
        <is>
          <t>103733-20</t>
        </is>
      </c>
      <c r="B178" s="28" t="inlineStr">
        <is>
          <t>Women 2.0</t>
        </is>
      </c>
      <c r="C178" s="86">
        <f>HYPERLINK("https://my.pitchbook.com?rrp=103733-20&amp;type=c", "This Company's information is not available to download. Need this Company? Request availability")</f>
      </c>
      <c r="D178" s="30" t="inlineStr">
        <is>
          <t/>
        </is>
      </c>
      <c r="E178" s="31" t="inlineStr">
        <is>
          <t/>
        </is>
      </c>
      <c r="F178" s="32" t="inlineStr">
        <is>
          <t/>
        </is>
      </c>
      <c r="G178" s="33" t="inlineStr">
        <is>
          <t/>
        </is>
      </c>
      <c r="H178" s="34" t="inlineStr">
        <is>
          <t/>
        </is>
      </c>
      <c r="I178" s="35" t="inlineStr">
        <is>
          <t/>
        </is>
      </c>
      <c r="J178" s="36" t="inlineStr">
        <is>
          <t/>
        </is>
      </c>
      <c r="K178" s="37" t="inlineStr">
        <is>
          <t/>
        </is>
      </c>
      <c r="L178" s="38" t="inlineStr">
        <is>
          <t/>
        </is>
      </c>
      <c r="M178" s="39" t="inlineStr">
        <is>
          <t/>
        </is>
      </c>
      <c r="N178" s="40" t="inlineStr">
        <is>
          <t/>
        </is>
      </c>
      <c r="O178" s="41" t="inlineStr">
        <is>
          <t/>
        </is>
      </c>
      <c r="P178" s="42" t="inlineStr">
        <is>
          <t/>
        </is>
      </c>
      <c r="Q178" s="43" t="inlineStr">
        <is>
          <t/>
        </is>
      </c>
      <c r="R178" s="44" t="inlineStr">
        <is>
          <t/>
        </is>
      </c>
    </row>
    <row r="179">
      <c r="A179" s="9" t="inlineStr">
        <is>
          <t>103727-62</t>
        </is>
      </c>
      <c r="B179" s="10" t="inlineStr">
        <is>
          <t>Wolken Software</t>
        </is>
      </c>
      <c r="C179" s="11" t="n">
        <v>0.1118340388269391</v>
      </c>
      <c r="D179" s="12" t="n">
        <v>0.8476657808455892</v>
      </c>
      <c r="E179" s="13" t="inlineStr">
        <is>
          <t/>
        </is>
      </c>
      <c r="F179" s="14" t="n">
        <v>44.0</v>
      </c>
      <c r="G179" s="15" t="n">
        <v>428.0</v>
      </c>
      <c r="H179" s="16" t="n">
        <v>149.0</v>
      </c>
      <c r="I179" s="17" t="inlineStr">
        <is>
          <t/>
        </is>
      </c>
      <c r="J179" s="18" t="inlineStr">
        <is>
          <t/>
        </is>
      </c>
      <c r="K179" s="19" t="inlineStr">
        <is>
          <t>Automation/Workflow Software</t>
        </is>
      </c>
      <c r="L179" s="20" t="inlineStr">
        <is>
          <t>Developer of a cloud-based business workflow management software designed to resolve internal support incidents. The company's cloud's based software offers management of incidents, change requests, problems, tasks as well as customer service requests, enabling clients to improve customer service experience and quality of service. It also offers a secure, collaborative and device agnostic enterprise conversation platform.</t>
        </is>
      </c>
      <c r="M179" s="21" t="inlineStr">
        <is>
          <t>Subodh Bapat, Vivek Mansingh</t>
        </is>
      </c>
      <c r="N179" s="22" t="inlineStr">
        <is>
          <t>Angel-Backed</t>
        </is>
      </c>
      <c r="O179" s="23" t="inlineStr">
        <is>
          <t>Privately Held (backing)</t>
        </is>
      </c>
      <c r="P179" s="24" t="inlineStr">
        <is>
          <t>Bangalore, India</t>
        </is>
      </c>
      <c r="Q179" s="25" t="inlineStr">
        <is>
          <t>www.wolkensoftware.com</t>
        </is>
      </c>
      <c r="R179" s="113">
        <f>HYPERLINK("https://my.pitchbook.com?c=103727-62", "View company online")</f>
      </c>
    </row>
    <row r="180">
      <c r="A180" s="27" t="inlineStr">
        <is>
          <t>117089-92</t>
        </is>
      </c>
      <c r="B180" s="28" t="inlineStr">
        <is>
          <t>Wolfprint 3D</t>
        </is>
      </c>
      <c r="C180" s="29" t="inlineStr">
        <is>
          <t/>
        </is>
      </c>
      <c r="D180" s="30" t="inlineStr">
        <is>
          <t/>
        </is>
      </c>
      <c r="E180" s="31" t="inlineStr">
        <is>
          <t/>
        </is>
      </c>
      <c r="F180" s="32" t="inlineStr">
        <is>
          <t/>
        </is>
      </c>
      <c r="G180" s="33" t="inlineStr">
        <is>
          <t/>
        </is>
      </c>
      <c r="H180" s="34" t="inlineStr">
        <is>
          <t/>
        </is>
      </c>
      <c r="I180" s="35" t="n">
        <v>11.0</v>
      </c>
      <c r="J180" s="36" t="n">
        <v>1.18</v>
      </c>
      <c r="K180" s="37" t="inlineStr">
        <is>
          <t>Printing Services (B2B)</t>
        </is>
      </c>
      <c r="L180" s="38" t="inlineStr">
        <is>
          <t>Provider of 3D printing and scanning services intended to develop 3D models for virtual reality and games. The company offers 3D-printing of human sculptures using ultrasound data and creates models of bones and organs for surgical planning and for use in games and virtual reality enabling developers to integrate 3D models into existing games, game engines or VR applications.</t>
        </is>
      </c>
      <c r="M180" s="39" t="inlineStr">
        <is>
          <t>Estonian Business School, Frederik Cyrus Roeder, Startup Wise Guys</t>
        </is>
      </c>
      <c r="N180" s="40" t="inlineStr">
        <is>
          <t>Angel-Backed</t>
        </is>
      </c>
      <c r="O180" s="41" t="inlineStr">
        <is>
          <t>Privately Held (backing)</t>
        </is>
      </c>
      <c r="P180" s="42" t="inlineStr">
        <is>
          <t>Tallinn, Estonia</t>
        </is>
      </c>
      <c r="Q180" s="43" t="inlineStr">
        <is>
          <t>www.wolf3d.io</t>
        </is>
      </c>
      <c r="R180" s="114">
        <f>HYPERLINK("https://my.pitchbook.com?c=117089-92", "View company online")</f>
      </c>
    </row>
    <row r="181">
      <c r="A181" s="9" t="inlineStr">
        <is>
          <t>156672-91</t>
        </is>
      </c>
      <c r="B181" s="10" t="inlineStr">
        <is>
          <t>Wolfee Technologies</t>
        </is>
      </c>
      <c r="C181" s="11" t="n">
        <v>0.0</v>
      </c>
      <c r="D181" s="12" t="n">
        <v>0.02702702702702703</v>
      </c>
      <c r="E181" s="13" t="inlineStr">
        <is>
          <t/>
        </is>
      </c>
      <c r="F181" s="14" t="n">
        <v>1.0</v>
      </c>
      <c r="G181" s="15" t="inlineStr">
        <is>
          <t/>
        </is>
      </c>
      <c r="H181" s="16" t="inlineStr">
        <is>
          <t/>
        </is>
      </c>
      <c r="I181" s="17" t="inlineStr">
        <is>
          <t/>
        </is>
      </c>
      <c r="J181" s="18" t="n">
        <v>0.36</v>
      </c>
      <c r="K181" s="19" t="inlineStr">
        <is>
          <t>Computers, Parts and Peripherals</t>
        </is>
      </c>
      <c r="L181" s="20" t="inlineStr">
        <is>
          <t>Provider of computer accessories. The company specializes in providing consumer electronics and computer accessories for its customers.</t>
        </is>
      </c>
      <c r="M181" s="21" t="inlineStr">
        <is>
          <t/>
        </is>
      </c>
      <c r="N181" s="22" t="inlineStr">
        <is>
          <t>Angel-Backed</t>
        </is>
      </c>
      <c r="O181" s="23" t="inlineStr">
        <is>
          <t>Privately Held (backing)</t>
        </is>
      </c>
      <c r="P181" s="24" t="inlineStr">
        <is>
          <t>Fremont, CA</t>
        </is>
      </c>
      <c r="Q181" s="25" t="inlineStr">
        <is>
          <t>www.wolfeetechnologies.com</t>
        </is>
      </c>
      <c r="R181" s="113">
        <f>HYPERLINK("https://my.pitchbook.com?c=156672-91", "View company online")</f>
      </c>
    </row>
    <row r="182">
      <c r="A182" s="27" t="inlineStr">
        <is>
          <t>174484-36</t>
        </is>
      </c>
      <c r="B182" s="28" t="inlineStr">
        <is>
          <t>WolfBlood ESports</t>
        </is>
      </c>
      <c r="C182" s="86">
        <f>HYPERLINK("https://my.pitchbook.com?rrp=174484-36&amp;type=c", "This Company's information is not available to download. Need this Company? Request availability")</f>
      </c>
      <c r="D182" s="30" t="inlineStr">
        <is>
          <t/>
        </is>
      </c>
      <c r="E182" s="31" t="inlineStr">
        <is>
          <t/>
        </is>
      </c>
      <c r="F182" s="32" t="inlineStr">
        <is>
          <t/>
        </is>
      </c>
      <c r="G182" s="33" t="inlineStr">
        <is>
          <t/>
        </is>
      </c>
      <c r="H182" s="34" t="inlineStr">
        <is>
          <t/>
        </is>
      </c>
      <c r="I182" s="35" t="inlineStr">
        <is>
          <t/>
        </is>
      </c>
      <c r="J182" s="36" t="inlineStr">
        <is>
          <t/>
        </is>
      </c>
      <c r="K182" s="37" t="inlineStr">
        <is>
          <t/>
        </is>
      </c>
      <c r="L182" s="38" t="inlineStr">
        <is>
          <t/>
        </is>
      </c>
      <c r="M182" s="39" t="inlineStr">
        <is>
          <t/>
        </is>
      </c>
      <c r="N182" s="40" t="inlineStr">
        <is>
          <t/>
        </is>
      </c>
      <c r="O182" s="41" t="inlineStr">
        <is>
          <t/>
        </is>
      </c>
      <c r="P182" s="42" t="inlineStr">
        <is>
          <t/>
        </is>
      </c>
      <c r="Q182" s="43" t="inlineStr">
        <is>
          <t/>
        </is>
      </c>
      <c r="R182" s="44" t="inlineStr">
        <is>
          <t/>
        </is>
      </c>
    </row>
    <row r="183">
      <c r="A183" s="9" t="inlineStr">
        <is>
          <t>145501-21</t>
        </is>
      </c>
      <c r="B183" s="10" t="inlineStr">
        <is>
          <t>WoahStork</t>
        </is>
      </c>
      <c r="C183" s="11" t="n">
        <v>-0.10786970394241928</v>
      </c>
      <c r="D183" s="12" t="n">
        <v>19.38810024099265</v>
      </c>
      <c r="E183" s="13" t="inlineStr">
        <is>
          <t/>
        </is>
      </c>
      <c r="F183" s="14" t="n">
        <v>116.0</v>
      </c>
      <c r="G183" s="15" t="n">
        <v>23590.0</v>
      </c>
      <c r="H183" s="16" t="n">
        <v>14776.0</v>
      </c>
      <c r="I183" s="17" t="inlineStr">
        <is>
          <t/>
        </is>
      </c>
      <c r="J183" s="18" t="n">
        <v>0.49</v>
      </c>
      <c r="K183" s="19" t="inlineStr">
        <is>
          <t>Other Healthcare</t>
        </is>
      </c>
      <c r="L183" s="20" t="inlineStr">
        <is>
          <t>Provider of an online cannabis ordering platform. The company offers an online platform that allows users to order cannabis and marijuana from local dispensaries.</t>
        </is>
      </c>
      <c r="M183" s="21" t="inlineStr">
        <is>
          <t>Alan Zheng</t>
        </is>
      </c>
      <c r="N183" s="22" t="inlineStr">
        <is>
          <t>Angel-Backed</t>
        </is>
      </c>
      <c r="O183" s="23" t="inlineStr">
        <is>
          <t>Privately Held (backing)</t>
        </is>
      </c>
      <c r="P183" s="24" t="inlineStr">
        <is>
          <t>Santa Monica, CA</t>
        </is>
      </c>
      <c r="Q183" s="25" t="inlineStr">
        <is>
          <t>www.woahstork.com</t>
        </is>
      </c>
      <c r="R183" s="113">
        <f>HYPERLINK("https://my.pitchbook.com?c=145501-21", "View company online")</f>
      </c>
    </row>
    <row r="184">
      <c r="A184" s="27" t="inlineStr">
        <is>
          <t>173905-48</t>
        </is>
      </c>
      <c r="B184" s="28" t="inlineStr">
        <is>
          <t>Wizion.com</t>
        </is>
      </c>
      <c r="C184" s="86">
        <f>HYPERLINK("https://my.pitchbook.com?rrp=173905-48&amp;type=c", "This Company's information is not available to download. Need this Company? Request availability")</f>
      </c>
      <c r="D184" s="30" t="inlineStr">
        <is>
          <t/>
        </is>
      </c>
      <c r="E184" s="31" t="inlineStr">
        <is>
          <t/>
        </is>
      </c>
      <c r="F184" s="32" t="inlineStr">
        <is>
          <t/>
        </is>
      </c>
      <c r="G184" s="33" t="inlineStr">
        <is>
          <t/>
        </is>
      </c>
      <c r="H184" s="34" t="inlineStr">
        <is>
          <t/>
        </is>
      </c>
      <c r="I184" s="35" t="inlineStr">
        <is>
          <t/>
        </is>
      </c>
      <c r="J184" s="36" t="inlineStr">
        <is>
          <t/>
        </is>
      </c>
      <c r="K184" s="37" t="inlineStr">
        <is>
          <t/>
        </is>
      </c>
      <c r="L184" s="38" t="inlineStr">
        <is>
          <t/>
        </is>
      </c>
      <c r="M184" s="39" t="inlineStr">
        <is>
          <t/>
        </is>
      </c>
      <c r="N184" s="40" t="inlineStr">
        <is>
          <t/>
        </is>
      </c>
      <c r="O184" s="41" t="inlineStr">
        <is>
          <t/>
        </is>
      </c>
      <c r="P184" s="42" t="inlineStr">
        <is>
          <t/>
        </is>
      </c>
      <c r="Q184" s="43" t="inlineStr">
        <is>
          <t/>
        </is>
      </c>
      <c r="R184" s="44" t="inlineStr">
        <is>
          <t/>
        </is>
      </c>
    </row>
    <row r="185">
      <c r="A185" s="9" t="inlineStr">
        <is>
          <t>177703-03</t>
        </is>
      </c>
      <c r="B185" s="10" t="inlineStr">
        <is>
          <t>Wizar</t>
        </is>
      </c>
      <c r="C185" s="85">
        <f>HYPERLINK("https://my.pitchbook.com?rrp=177703-03&amp;type=c", "This Company's information is not available to download. Need this Company? Request availability")</f>
      </c>
      <c r="D185" s="12" t="inlineStr">
        <is>
          <t/>
        </is>
      </c>
      <c r="E185" s="13" t="inlineStr">
        <is>
          <t/>
        </is>
      </c>
      <c r="F185" s="14" t="inlineStr">
        <is>
          <t/>
        </is>
      </c>
      <c r="G185" s="15" t="inlineStr">
        <is>
          <t/>
        </is>
      </c>
      <c r="H185" s="16" t="inlineStr">
        <is>
          <t/>
        </is>
      </c>
      <c r="I185" s="17" t="inlineStr">
        <is>
          <t/>
        </is>
      </c>
      <c r="J185" s="18" t="inlineStr">
        <is>
          <t/>
        </is>
      </c>
      <c r="K185" s="19" t="inlineStr">
        <is>
          <t/>
        </is>
      </c>
      <c r="L185" s="20" t="inlineStr">
        <is>
          <t/>
        </is>
      </c>
      <c r="M185" s="21" t="inlineStr">
        <is>
          <t/>
        </is>
      </c>
      <c r="N185" s="22" t="inlineStr">
        <is>
          <t/>
        </is>
      </c>
      <c r="O185" s="23" t="inlineStr">
        <is>
          <t/>
        </is>
      </c>
      <c r="P185" s="24" t="inlineStr">
        <is>
          <t/>
        </is>
      </c>
      <c r="Q185" s="25" t="inlineStr">
        <is>
          <t/>
        </is>
      </c>
      <c r="R185" s="26" t="inlineStr">
        <is>
          <t/>
        </is>
      </c>
    </row>
    <row r="186">
      <c r="A186" s="27" t="inlineStr">
        <is>
          <t>103630-15</t>
        </is>
      </c>
      <c r="B186" s="28" t="inlineStr">
        <is>
          <t>Wiz Maps</t>
        </is>
      </c>
      <c r="C186" s="29" t="n">
        <v>0.0</v>
      </c>
      <c r="D186" s="30" t="n">
        <v>1.4594594594594594</v>
      </c>
      <c r="E186" s="31" t="inlineStr">
        <is>
          <t/>
        </is>
      </c>
      <c r="F186" s="32" t="n">
        <v>54.0</v>
      </c>
      <c r="G186" s="33" t="inlineStr">
        <is>
          <t/>
        </is>
      </c>
      <c r="H186" s="34" t="n">
        <v>40.0</v>
      </c>
      <c r="I186" s="35" t="n">
        <v>4.0</v>
      </c>
      <c r="J186" s="36" t="n">
        <v>0.65</v>
      </c>
      <c r="K186" s="37" t="inlineStr">
        <is>
          <t>Real Estate Services (B2C)</t>
        </is>
      </c>
      <c r="L186" s="38" t="inlineStr">
        <is>
          <t>Provider of models forecasting and mobile data mapping platform. The company develops forecasting models and mobile data mapping technology that fixes the disconnect and risk between a property and the surrounding environment, which helps real estate professionals and businesses, with local intelligence and frequently updated growth patterns of critical data like population and income growth.</t>
        </is>
      </c>
      <c r="M186" s="39" t="inlineStr">
        <is>
          <t>Individual Investor</t>
        </is>
      </c>
      <c r="N186" s="40" t="inlineStr">
        <is>
          <t>Angel-Backed</t>
        </is>
      </c>
      <c r="O186" s="41" t="inlineStr">
        <is>
          <t>Privately Held (backing)</t>
        </is>
      </c>
      <c r="P186" s="42" t="inlineStr">
        <is>
          <t>Cupertino, CA</t>
        </is>
      </c>
      <c r="Q186" s="43" t="inlineStr">
        <is>
          <t>www.wizmaps.com</t>
        </is>
      </c>
      <c r="R186" s="114">
        <f>HYPERLINK("https://my.pitchbook.com?c=103630-15", "View company online")</f>
      </c>
    </row>
    <row r="187">
      <c r="A187" s="9" t="inlineStr">
        <is>
          <t>159203-98</t>
        </is>
      </c>
      <c r="B187" s="10" t="inlineStr">
        <is>
          <t>Wivity</t>
        </is>
      </c>
      <c r="C187" s="11" t="n">
        <v>0.0</v>
      </c>
      <c r="D187" s="12" t="n">
        <v>0.1403919710846756</v>
      </c>
      <c r="E187" s="13" t="inlineStr">
        <is>
          <t/>
        </is>
      </c>
      <c r="F187" s="14" t="inlineStr">
        <is>
          <t/>
        </is>
      </c>
      <c r="G187" s="15" t="n">
        <v>10.0</v>
      </c>
      <c r="H187" s="16" t="n">
        <v>95.0</v>
      </c>
      <c r="I187" s="17" t="inlineStr">
        <is>
          <t/>
        </is>
      </c>
      <c r="J187" s="18" t="n">
        <v>0.13</v>
      </c>
      <c r="K187" s="19" t="inlineStr">
        <is>
          <t>Electronics (B2C)</t>
        </is>
      </c>
      <c r="L187" s="20" t="inlineStr">
        <is>
          <t>Developer of wireless modems. The company develops wireless modems and software tools to connect Internet of Things devices to wireless networks.</t>
        </is>
      </c>
      <c r="M187" s="21" t="inlineStr">
        <is>
          <t>500 Startups, Startup Next</t>
        </is>
      </c>
      <c r="N187" s="22" t="inlineStr">
        <is>
          <t>Accelerator/Incubator Backed</t>
        </is>
      </c>
      <c r="O187" s="23" t="inlineStr">
        <is>
          <t>Privately Held (backing)</t>
        </is>
      </c>
      <c r="P187" s="24" t="inlineStr">
        <is>
          <t>San Francisco, CA</t>
        </is>
      </c>
      <c r="Q187" s="25" t="inlineStr">
        <is>
          <t>www.wivity.com</t>
        </is>
      </c>
      <c r="R187" s="113">
        <f>HYPERLINK("https://my.pitchbook.com?c=159203-98", "View company online")</f>
      </c>
    </row>
    <row r="188">
      <c r="A188" s="27" t="inlineStr">
        <is>
          <t>172228-87</t>
        </is>
      </c>
      <c r="B188" s="28" t="inlineStr">
        <is>
          <t>Witlee</t>
        </is>
      </c>
      <c r="C188" s="86">
        <f>HYPERLINK("https://my.pitchbook.com?rrp=172228-87&amp;type=c", "This Company's information is not available to download. Need this Company? Request availability")</f>
      </c>
      <c r="D188" s="30" t="inlineStr">
        <is>
          <t/>
        </is>
      </c>
      <c r="E188" s="31" t="inlineStr">
        <is>
          <t/>
        </is>
      </c>
      <c r="F188" s="32" t="inlineStr">
        <is>
          <t/>
        </is>
      </c>
      <c r="G188" s="33" t="inlineStr">
        <is>
          <t/>
        </is>
      </c>
      <c r="H188" s="34" t="inlineStr">
        <is>
          <t/>
        </is>
      </c>
      <c r="I188" s="35" t="inlineStr">
        <is>
          <t/>
        </is>
      </c>
      <c r="J188" s="36" t="inlineStr">
        <is>
          <t/>
        </is>
      </c>
      <c r="K188" s="37" t="inlineStr">
        <is>
          <t/>
        </is>
      </c>
      <c r="L188" s="38" t="inlineStr">
        <is>
          <t/>
        </is>
      </c>
      <c r="M188" s="39" t="inlineStr">
        <is>
          <t/>
        </is>
      </c>
      <c r="N188" s="40" t="inlineStr">
        <is>
          <t/>
        </is>
      </c>
      <c r="O188" s="41" t="inlineStr">
        <is>
          <t/>
        </is>
      </c>
      <c r="P188" s="42" t="inlineStr">
        <is>
          <t/>
        </is>
      </c>
      <c r="Q188" s="43" t="inlineStr">
        <is>
          <t/>
        </is>
      </c>
      <c r="R188" s="44" t="inlineStr">
        <is>
          <t/>
        </is>
      </c>
    </row>
    <row r="189">
      <c r="A189" s="9" t="inlineStr">
        <is>
          <t>113732-20</t>
        </is>
      </c>
      <c r="B189" s="10" t="inlineStr">
        <is>
          <t>WITHIN</t>
        </is>
      </c>
      <c r="C189" s="85">
        <f>HYPERLINK("https://my.pitchbook.com?rrp=113732-20&amp;type=c", "This Company's information is not available to download. Need this Company? Request availability")</f>
      </c>
      <c r="D189" s="12" t="inlineStr">
        <is>
          <t/>
        </is>
      </c>
      <c r="E189" s="13" t="inlineStr">
        <is>
          <t/>
        </is>
      </c>
      <c r="F189" s="14" t="inlineStr">
        <is>
          <t/>
        </is>
      </c>
      <c r="G189" s="15" t="inlineStr">
        <is>
          <t/>
        </is>
      </c>
      <c r="H189" s="16" t="inlineStr">
        <is>
          <t/>
        </is>
      </c>
      <c r="I189" s="17" t="inlineStr">
        <is>
          <t/>
        </is>
      </c>
      <c r="J189" s="18" t="inlineStr">
        <is>
          <t/>
        </is>
      </c>
      <c r="K189" s="19" t="inlineStr">
        <is>
          <t/>
        </is>
      </c>
      <c r="L189" s="20" t="inlineStr">
        <is>
          <t/>
        </is>
      </c>
      <c r="M189" s="21" t="inlineStr">
        <is>
          <t/>
        </is>
      </c>
      <c r="N189" s="22" t="inlineStr">
        <is>
          <t/>
        </is>
      </c>
      <c r="O189" s="23" t="inlineStr">
        <is>
          <t/>
        </is>
      </c>
      <c r="P189" s="24" t="inlineStr">
        <is>
          <t/>
        </is>
      </c>
      <c r="Q189" s="25" t="inlineStr">
        <is>
          <t/>
        </is>
      </c>
      <c r="R189" s="26" t="inlineStr">
        <is>
          <t/>
        </is>
      </c>
    </row>
    <row r="190">
      <c r="A190" s="27" t="inlineStr">
        <is>
          <t>103620-70</t>
        </is>
      </c>
      <c r="B190" s="28" t="inlineStr">
        <is>
          <t>WiTech (Wireless Technologies)</t>
        </is>
      </c>
      <c r="C190" s="29" t="n">
        <v>0.0</v>
      </c>
      <c r="D190" s="30" t="n">
        <v>0.972032902467685</v>
      </c>
      <c r="E190" s="31" t="inlineStr">
        <is>
          <t/>
        </is>
      </c>
      <c r="F190" s="32" t="n">
        <v>70.0</v>
      </c>
      <c r="G190" s="33" t="n">
        <v>42.0</v>
      </c>
      <c r="H190" s="34" t="inlineStr">
        <is>
          <t/>
        </is>
      </c>
      <c r="I190" s="35" t="n">
        <v>11.0</v>
      </c>
      <c r="J190" s="36" t="n">
        <v>1.51</v>
      </c>
      <c r="K190" s="37" t="inlineStr">
        <is>
          <t>Telecommunications Service Providers</t>
        </is>
      </c>
      <c r="L190" s="38" t="inlineStr">
        <is>
          <t>Provider of wireless cloud solutions. The company provides consulting and engineering solutions in fields of wireless technology field.</t>
        </is>
      </c>
      <c r="M190" s="39" t="inlineStr">
        <is>
          <t/>
        </is>
      </c>
      <c r="N190" s="40" t="inlineStr">
        <is>
          <t>Angel-Backed</t>
        </is>
      </c>
      <c r="O190" s="41" t="inlineStr">
        <is>
          <t>Privately Held (backing)</t>
        </is>
      </c>
      <c r="P190" s="42" t="inlineStr">
        <is>
          <t>Pisa, Italy</t>
        </is>
      </c>
      <c r="Q190" s="43" t="inlineStr">
        <is>
          <t>witech.it</t>
        </is>
      </c>
      <c r="R190" s="114">
        <f>HYPERLINK("https://my.pitchbook.com?c=103620-70", "View company online")</f>
      </c>
    </row>
    <row r="191">
      <c r="A191" s="9" t="inlineStr">
        <is>
          <t>147426-40</t>
        </is>
      </c>
      <c r="B191" s="10" t="inlineStr">
        <is>
          <t>Wisran</t>
        </is>
      </c>
      <c r="C191" s="11" t="n">
        <v>0.0</v>
      </c>
      <c r="D191" s="12" t="n">
        <v>0.09785126741648481</v>
      </c>
      <c r="E191" s="13" t="inlineStr">
        <is>
          <t/>
        </is>
      </c>
      <c r="F191" s="14" t="n">
        <v>6.0</v>
      </c>
      <c r="G191" s="15" t="n">
        <v>27.0</v>
      </c>
      <c r="H191" s="16" t="inlineStr">
        <is>
          <t/>
        </is>
      </c>
      <c r="I191" s="17" t="inlineStr">
        <is>
          <t/>
        </is>
      </c>
      <c r="J191" s="18" t="inlineStr">
        <is>
          <t/>
        </is>
      </c>
      <c r="K191" s="19" t="inlineStr">
        <is>
          <t>Water Utilities</t>
        </is>
      </c>
      <c r="L191" s="20" t="inlineStr">
        <is>
          <t>Developer of SaaS-based agtech platform designed to increase agricultural operation efficiency. The company's agtech platform provides a tablet equipped with an accelerometer and a GPS to be placed in each piece of agricultural equipment to source telematics data, enabling farmers to improve worker productivity and agricultural machinery logistics.</t>
        </is>
      </c>
      <c r="M191" s="21" t="inlineStr">
        <is>
          <t>MIT Global Startup Labs, Plug and Play Tech Center, The Water Council</t>
        </is>
      </c>
      <c r="N191" s="22" t="inlineStr">
        <is>
          <t>Accelerator/Incubator Backed</t>
        </is>
      </c>
      <c r="O191" s="23" t="inlineStr">
        <is>
          <t>Privately Held (backing)</t>
        </is>
      </c>
      <c r="P191" s="24" t="inlineStr">
        <is>
          <t>Milpitas, CA</t>
        </is>
      </c>
      <c r="Q191" s="25" t="inlineStr">
        <is>
          <t>www.wisran.com</t>
        </is>
      </c>
      <c r="R191" s="113">
        <f>HYPERLINK("https://my.pitchbook.com?c=147426-40", "View company online")</f>
      </c>
    </row>
    <row r="192">
      <c r="A192" s="27" t="inlineStr">
        <is>
          <t>180305-65</t>
        </is>
      </c>
      <c r="B192" s="28" t="inlineStr">
        <is>
          <t>WISP</t>
        </is>
      </c>
      <c r="C192" s="86">
        <f>HYPERLINK("https://my.pitchbook.com?rrp=180305-65&amp;type=c", "This Company's information is not available to download. Need this Company? Request availability")</f>
      </c>
      <c r="D192" s="30" t="inlineStr">
        <is>
          <t/>
        </is>
      </c>
      <c r="E192" s="31" t="inlineStr">
        <is>
          <t/>
        </is>
      </c>
      <c r="F192" s="32" t="inlineStr">
        <is>
          <t/>
        </is>
      </c>
      <c r="G192" s="33" t="inlineStr">
        <is>
          <t/>
        </is>
      </c>
      <c r="H192" s="34" t="inlineStr">
        <is>
          <t/>
        </is>
      </c>
      <c r="I192" s="35" t="inlineStr">
        <is>
          <t/>
        </is>
      </c>
      <c r="J192" s="36" t="inlineStr">
        <is>
          <t/>
        </is>
      </c>
      <c r="K192" s="37" t="inlineStr">
        <is>
          <t/>
        </is>
      </c>
      <c r="L192" s="38" t="inlineStr">
        <is>
          <t/>
        </is>
      </c>
      <c r="M192" s="39" t="inlineStr">
        <is>
          <t/>
        </is>
      </c>
      <c r="N192" s="40" t="inlineStr">
        <is>
          <t/>
        </is>
      </c>
      <c r="O192" s="41" t="inlineStr">
        <is>
          <t/>
        </is>
      </c>
      <c r="P192" s="42" t="inlineStr">
        <is>
          <t/>
        </is>
      </c>
      <c r="Q192" s="43" t="inlineStr">
        <is>
          <t/>
        </is>
      </c>
      <c r="R192" s="44" t="inlineStr">
        <is>
          <t/>
        </is>
      </c>
    </row>
    <row r="193">
      <c r="A193" s="9" t="inlineStr">
        <is>
          <t>119297-98</t>
        </is>
      </c>
      <c r="B193" s="10" t="inlineStr">
        <is>
          <t>Wishorb</t>
        </is>
      </c>
      <c r="C193" s="11" t="n">
        <v>0.0</v>
      </c>
      <c r="D193" s="12" t="n">
        <v>0.02702702702702703</v>
      </c>
      <c r="E193" s="13" t="inlineStr">
        <is>
          <t/>
        </is>
      </c>
      <c r="F193" s="14" t="n">
        <v>1.0</v>
      </c>
      <c r="G193" s="15" t="inlineStr">
        <is>
          <t/>
        </is>
      </c>
      <c r="H193" s="16" t="inlineStr">
        <is>
          <t/>
        </is>
      </c>
      <c r="I193" s="17" t="inlineStr">
        <is>
          <t/>
        </is>
      </c>
      <c r="J193" s="18" t="inlineStr">
        <is>
          <t/>
        </is>
      </c>
      <c r="K193" s="19" t="inlineStr">
        <is>
          <t>Social/Platform Software</t>
        </is>
      </c>
      <c r="L193" s="20" t="inlineStr">
        <is>
          <t>Developer of an online platform for gifts. The company provides social wish list platform that will change the understanding of the gift and will help the users to get just the gifts they want in special days using social platforms.</t>
        </is>
      </c>
      <c r="M193" s="21" t="inlineStr">
        <is>
          <t>Etohum</t>
        </is>
      </c>
      <c r="N193" s="22" t="inlineStr">
        <is>
          <t>Accelerator/Incubator Backed</t>
        </is>
      </c>
      <c r="O193" s="23" t="inlineStr">
        <is>
          <t>Privately Held (backing)</t>
        </is>
      </c>
      <c r="P193" s="24" t="inlineStr">
        <is>
          <t>Brea, CA</t>
        </is>
      </c>
      <c r="Q193" s="25" t="inlineStr">
        <is>
          <t>www.wishorb.com</t>
        </is>
      </c>
      <c r="R193" s="113">
        <f>HYPERLINK("https://my.pitchbook.com?c=119297-98", "View company online")</f>
      </c>
    </row>
    <row r="194">
      <c r="A194" s="27" t="inlineStr">
        <is>
          <t>103620-34</t>
        </is>
      </c>
      <c r="B194" s="28" t="inlineStr">
        <is>
          <t>Wishbone.org</t>
        </is>
      </c>
      <c r="C194" s="29" t="n">
        <v>0.9135162939753487</v>
      </c>
      <c r="D194" s="30" t="n">
        <v>4.485267984586334</v>
      </c>
      <c r="E194" s="31" t="inlineStr">
        <is>
          <t/>
        </is>
      </c>
      <c r="F194" s="32" t="n">
        <v>229.0</v>
      </c>
      <c r="G194" s="33" t="n">
        <v>1858.0</v>
      </c>
      <c r="H194" s="34" t="n">
        <v>1132.0</v>
      </c>
      <c r="I194" s="35" t="n">
        <v>16.0</v>
      </c>
      <c r="J194" s="36" t="inlineStr">
        <is>
          <t/>
        </is>
      </c>
      <c r="K194" s="37" t="inlineStr">
        <is>
          <t>Other Commercial Services</t>
        </is>
      </c>
      <c r="L194" s="38" t="inlineStr">
        <is>
          <t>Provider of humanity services for school kids. The company offers services for low-income students to discover, access and afford after-school and summer programs.</t>
        </is>
      </c>
      <c r="M194" s="39" t="inlineStr">
        <is>
          <t>Ewing Marion Kauffman Foundation, Matthew Klein, Ronald Conway</t>
        </is>
      </c>
      <c r="N194" s="40" t="inlineStr">
        <is>
          <t>Angel-Backed</t>
        </is>
      </c>
      <c r="O194" s="41" t="inlineStr">
        <is>
          <t>Privately Held (backing)</t>
        </is>
      </c>
      <c r="P194" s="42" t="inlineStr">
        <is>
          <t>San Francisco, CA</t>
        </is>
      </c>
      <c r="Q194" s="43" t="inlineStr">
        <is>
          <t>www.wishbone.org</t>
        </is>
      </c>
      <c r="R194" s="114">
        <f>HYPERLINK("https://my.pitchbook.com?c=103620-34", "View company online")</f>
      </c>
    </row>
    <row r="195">
      <c r="A195" s="9" t="inlineStr">
        <is>
          <t>60266-44</t>
        </is>
      </c>
      <c r="B195" s="10" t="inlineStr">
        <is>
          <t>Wisemuv</t>
        </is>
      </c>
      <c r="C195" s="11" t="n">
        <v>-0.023085351916597153</v>
      </c>
      <c r="D195" s="12" t="n">
        <v>0.597572148419606</v>
      </c>
      <c r="E195" s="13" t="inlineStr">
        <is>
          <t/>
        </is>
      </c>
      <c r="F195" s="14" t="n">
        <v>16.0</v>
      </c>
      <c r="G195" s="15" t="inlineStr">
        <is>
          <t/>
        </is>
      </c>
      <c r="H195" s="16" t="n">
        <v>270.0</v>
      </c>
      <c r="I195" s="17" t="n">
        <v>11.0</v>
      </c>
      <c r="J195" s="18" t="inlineStr">
        <is>
          <t/>
        </is>
      </c>
      <c r="K195" s="19" t="inlineStr">
        <is>
          <t>Other Insurance</t>
        </is>
      </c>
      <c r="L195" s="20" t="inlineStr">
        <is>
          <t>Developer of a technology for buying insurance online. The company specializes in web or mobile-based insurance sales optimization for carriers, agencies and partners.</t>
        </is>
      </c>
      <c r="M195" s="21" t="inlineStr">
        <is>
          <t>Founder Institute, Kaz Bro, Michael Liou</t>
        </is>
      </c>
      <c r="N195" s="22" t="inlineStr">
        <is>
          <t>Accelerator/Incubator Backed</t>
        </is>
      </c>
      <c r="O195" s="23" t="inlineStr">
        <is>
          <t>Privately Held (backing)</t>
        </is>
      </c>
      <c r="P195" s="24" t="inlineStr">
        <is>
          <t>Seattle, WA</t>
        </is>
      </c>
      <c r="Q195" s="25" t="inlineStr">
        <is>
          <t>www.wisemuv.com</t>
        </is>
      </c>
      <c r="R195" s="113">
        <f>HYPERLINK("https://my.pitchbook.com?c=60266-44", "View company online")</f>
      </c>
    </row>
    <row r="196">
      <c r="A196" s="27" t="inlineStr">
        <is>
          <t>126146-44</t>
        </is>
      </c>
      <c r="B196" s="28" t="inlineStr">
        <is>
          <t>Wise King Media</t>
        </is>
      </c>
      <c r="C196" s="29" t="n">
        <v>0.4663823581340451</v>
      </c>
      <c r="D196" s="30" t="n">
        <v>12.810794023837502</v>
      </c>
      <c r="E196" s="31" t="inlineStr">
        <is>
          <t/>
        </is>
      </c>
      <c r="F196" s="32" t="n">
        <v>167.0</v>
      </c>
      <c r="G196" s="33" t="n">
        <v>16857.0</v>
      </c>
      <c r="H196" s="34" t="inlineStr">
        <is>
          <t/>
        </is>
      </c>
      <c r="I196" s="35" t="inlineStr">
        <is>
          <t/>
        </is>
      </c>
      <c r="J196" s="36" t="n">
        <v>0.1</v>
      </c>
      <c r="K196" s="37" t="inlineStr">
        <is>
          <t>Social Content</t>
        </is>
      </c>
      <c r="L196" s="38" t="inlineStr">
        <is>
          <t>Provider of audio-based biblical stories for children. The company offers audio content for children and millennials with biblical truth and the gospels of Jesus Christ.</t>
        </is>
      </c>
      <c r="M196" s="39" t="inlineStr">
        <is>
          <t/>
        </is>
      </c>
      <c r="N196" s="40" t="inlineStr">
        <is>
          <t>Angel-Backed</t>
        </is>
      </c>
      <c r="O196" s="41" t="inlineStr">
        <is>
          <t>Privately Held (backing)</t>
        </is>
      </c>
      <c r="P196" s="42" t="inlineStr">
        <is>
          <t>El Cajon, CA</t>
        </is>
      </c>
      <c r="Q196" s="43" t="inlineStr">
        <is>
          <t>www.jonathanpark.com</t>
        </is>
      </c>
      <c r="R196" s="114">
        <f>HYPERLINK("https://my.pitchbook.com?c=126146-44", "View company online")</f>
      </c>
    </row>
    <row r="197">
      <c r="A197" s="9" t="inlineStr">
        <is>
          <t>99692-38</t>
        </is>
      </c>
      <c r="B197" s="10" t="inlineStr">
        <is>
          <t>Wireless Diagnostic Systems</t>
        </is>
      </c>
      <c r="C197" s="11" t="inlineStr">
        <is>
          <t/>
        </is>
      </c>
      <c r="D197" s="12" t="inlineStr">
        <is>
          <t/>
        </is>
      </c>
      <c r="E197" s="13" t="inlineStr">
        <is>
          <t/>
        </is>
      </c>
      <c r="F197" s="14" t="inlineStr">
        <is>
          <t/>
        </is>
      </c>
      <c r="G197" s="15" t="inlineStr">
        <is>
          <t/>
        </is>
      </c>
      <c r="H197" s="16" t="inlineStr">
        <is>
          <t/>
        </is>
      </c>
      <c r="I197" s="17" t="inlineStr">
        <is>
          <t/>
        </is>
      </c>
      <c r="J197" s="18" t="n">
        <v>1.21</v>
      </c>
      <c r="K197" s="19" t="inlineStr">
        <is>
          <t>Monitoring Equipment</t>
        </is>
      </c>
      <c r="L197" s="20" t="inlineStr">
        <is>
          <t>Developer of patient monitoring devices. The company specializes in developing patient monitoring devices by using nanosensor technology.</t>
        </is>
      </c>
      <c r="M197" s="21" t="inlineStr">
        <is>
          <t/>
        </is>
      </c>
      <c r="N197" s="22" t="inlineStr">
        <is>
          <t>Angel-Backed</t>
        </is>
      </c>
      <c r="O197" s="23" t="inlineStr">
        <is>
          <t>Privately Held (backing)</t>
        </is>
      </c>
      <c r="P197" s="24" t="inlineStr">
        <is>
          <t>San Diego, CA</t>
        </is>
      </c>
      <c r="Q197" s="25" t="inlineStr">
        <is>
          <t/>
        </is>
      </c>
      <c r="R197" s="113">
        <f>HYPERLINK("https://my.pitchbook.com?c=99692-38", "View company online")</f>
      </c>
    </row>
    <row r="198">
      <c r="A198" s="27" t="inlineStr">
        <is>
          <t>169895-08</t>
        </is>
      </c>
      <c r="B198" s="28" t="inlineStr">
        <is>
          <t>WireFlare</t>
        </is>
      </c>
      <c r="C198" s="29" t="n">
        <v>-0.013603901714738792</v>
      </c>
      <c r="D198" s="30" t="n">
        <v>2.6370791520017756</v>
      </c>
      <c r="E198" s="31" t="inlineStr">
        <is>
          <t/>
        </is>
      </c>
      <c r="F198" s="32" t="n">
        <v>1.0</v>
      </c>
      <c r="G198" s="33" t="n">
        <v>930.0</v>
      </c>
      <c r="H198" s="34" t="n">
        <v>3304.0</v>
      </c>
      <c r="I198" s="35" t="inlineStr">
        <is>
          <t/>
        </is>
      </c>
      <c r="J198" s="36" t="n">
        <v>0.3</v>
      </c>
      <c r="K198" s="37" t="inlineStr">
        <is>
          <t>Business/Productivity Software</t>
        </is>
      </c>
      <c r="L198" s="38" t="inlineStr">
        <is>
          <t>Provider of software solutions for construction technology sector. The company develops software that meets the project management demands of the construction industry.</t>
        </is>
      </c>
      <c r="M198" s="39" t="inlineStr">
        <is>
          <t/>
        </is>
      </c>
      <c r="N198" s="40" t="inlineStr">
        <is>
          <t>Angel-Backed</t>
        </is>
      </c>
      <c r="O198" s="41" t="inlineStr">
        <is>
          <t>Privately Held (backing)</t>
        </is>
      </c>
      <c r="P198" s="42" t="inlineStr">
        <is>
          <t>Rancho Cordova, CA</t>
        </is>
      </c>
      <c r="Q198" s="43" t="inlineStr">
        <is>
          <t>www.wireflare.com</t>
        </is>
      </c>
      <c r="R198" s="114">
        <f>HYPERLINK("https://my.pitchbook.com?c=169895-08", "View company online")</f>
      </c>
    </row>
    <row r="199">
      <c r="A199" s="9" t="inlineStr">
        <is>
          <t>64942-84</t>
        </is>
      </c>
      <c r="B199" s="10" t="inlineStr">
        <is>
          <t>Wiper</t>
        </is>
      </c>
      <c r="C199" s="11" t="n">
        <v>-0.021340499651967004</v>
      </c>
      <c r="D199" s="12" t="n">
        <v>16.196110045723163</v>
      </c>
      <c r="E199" s="13" t="inlineStr">
        <is>
          <t/>
        </is>
      </c>
      <c r="F199" s="14" t="n">
        <v>42.0</v>
      </c>
      <c r="G199" s="15" t="n">
        <v>2675.0</v>
      </c>
      <c r="H199" s="16" t="n">
        <v>20958.0</v>
      </c>
      <c r="I199" s="17" t="n">
        <v>11.0</v>
      </c>
      <c r="J199" s="18" t="n">
        <v>4.5</v>
      </c>
      <c r="K199" s="19" t="inlineStr">
        <is>
          <t>Application Software</t>
        </is>
      </c>
      <c r="L199" s="20" t="inlineStr">
        <is>
          <t>Developer of mobile application that allows users to chat, make free calls, transfer money, files and videos worldwide. The company allows users to erase a conversation including messages, call logs, photos and videos from phones and Wiper servers.</t>
        </is>
      </c>
      <c r="M199" s="21" t="inlineStr">
        <is>
          <t>Individual Investor, Michael Choupak</t>
        </is>
      </c>
      <c r="N199" s="22" t="inlineStr">
        <is>
          <t>Angel-Backed</t>
        </is>
      </c>
      <c r="O199" s="23" t="inlineStr">
        <is>
          <t>Privately Held (backing)</t>
        </is>
      </c>
      <c r="P199" s="24" t="inlineStr">
        <is>
          <t>San Jose, CA</t>
        </is>
      </c>
      <c r="Q199" s="25" t="inlineStr">
        <is>
          <t/>
        </is>
      </c>
      <c r="R199" s="113">
        <f>HYPERLINK("https://my.pitchbook.com?c=64942-84", "View company online")</f>
      </c>
    </row>
    <row r="200">
      <c r="A200" s="27" t="inlineStr">
        <is>
          <t>121356-73</t>
        </is>
      </c>
      <c r="B200" s="28" t="inlineStr">
        <is>
          <t>Winz</t>
        </is>
      </c>
      <c r="C200" s="29" t="n">
        <v>-0.03729496257291917</v>
      </c>
      <c r="D200" s="30" t="n">
        <v>0.6052438426425162</v>
      </c>
      <c r="E200" s="31" t="inlineStr">
        <is>
          <t/>
        </is>
      </c>
      <c r="F200" s="32" t="n">
        <v>3.0</v>
      </c>
      <c r="G200" s="33" t="n">
        <v>81.0</v>
      </c>
      <c r="H200" s="34" t="n">
        <v>764.0</v>
      </c>
      <c r="I200" s="35" t="inlineStr">
        <is>
          <t/>
        </is>
      </c>
      <c r="J200" s="36" t="inlineStr">
        <is>
          <t/>
        </is>
      </c>
      <c r="K200" s="37" t="inlineStr">
        <is>
          <t>Application Software</t>
        </is>
      </c>
      <c r="L200" s="38" t="inlineStr">
        <is>
          <t>Provider of a photography application. The company offers a sports photography application which allows users to add real-time scores and match data to pictures that they take using the application.</t>
        </is>
      </c>
      <c r="M200" s="39" t="inlineStr">
        <is>
          <t>Plug and Play Tech Center</t>
        </is>
      </c>
      <c r="N200" s="40" t="inlineStr">
        <is>
          <t>Accelerator/Incubator Backed</t>
        </is>
      </c>
      <c r="O200" s="41" t="inlineStr">
        <is>
          <t>Privately Held (backing)</t>
        </is>
      </c>
      <c r="P200" s="42" t="inlineStr">
        <is>
          <t>San Ramon, CA</t>
        </is>
      </c>
      <c r="Q200" s="43" t="inlineStr">
        <is>
          <t>www.mywinz.com</t>
        </is>
      </c>
      <c r="R200" s="114">
        <f>HYPERLINK("https://my.pitchbook.com?c=121356-73", "View company online")</f>
      </c>
    </row>
    <row r="201">
      <c r="A201" s="9" t="inlineStr">
        <is>
          <t>170397-37</t>
        </is>
      </c>
      <c r="B201" s="10" t="inlineStr">
        <is>
          <t>Win-Win</t>
        </is>
      </c>
      <c r="C201" s="11" t="n">
        <v>0.19300057157571654</v>
      </c>
      <c r="D201" s="12" t="n">
        <v>1.702730965516522</v>
      </c>
      <c r="E201" s="13" t="inlineStr">
        <is>
          <t/>
        </is>
      </c>
      <c r="F201" s="14" t="n">
        <v>81.0</v>
      </c>
      <c r="G201" s="15" t="n">
        <v>743.0</v>
      </c>
      <c r="H201" s="16" t="n">
        <v>400.0</v>
      </c>
      <c r="I201" s="17" t="inlineStr">
        <is>
          <t/>
        </is>
      </c>
      <c r="J201" s="18" t="n">
        <v>0.15</v>
      </c>
      <c r="K201" s="19" t="inlineStr">
        <is>
          <t>Entertainment Software</t>
        </is>
      </c>
      <c r="L201" s="20" t="inlineStr">
        <is>
          <t>Provider of a sports gaming platform designed to help raise funds for charitable trusts while supporting fantasy football tournaments. The company's sports gaming platform has a ticketing application for users to buy tickets for fantasy sports, raise funds, choose and pitch for their favorite athletes and football teams and watch NFL tournaments that are organized for charity, enabling sports lovers to support sports for social good.</t>
        </is>
      </c>
      <c r="M201" s="21" t="inlineStr">
        <is>
          <t>500 Startups, STRV</t>
        </is>
      </c>
      <c r="N201" s="22" t="inlineStr">
        <is>
          <t>Accelerator/Incubator Backed</t>
        </is>
      </c>
      <c r="O201" s="23" t="inlineStr">
        <is>
          <t>Privately Held (backing)</t>
        </is>
      </c>
      <c r="P201" s="24" t="inlineStr">
        <is>
          <t>Oakland, CA</t>
        </is>
      </c>
      <c r="Q201" s="25" t="inlineStr">
        <is>
          <t>www.trywinwin.com</t>
        </is>
      </c>
      <c r="R201" s="113">
        <f>HYPERLINK("https://my.pitchbook.com?c=170397-37", "View company online")</f>
      </c>
    </row>
    <row r="202">
      <c r="A202" s="27" t="inlineStr">
        <is>
          <t>148740-76</t>
        </is>
      </c>
      <c r="B202" s="28" t="inlineStr">
        <is>
          <t>Wink Health</t>
        </is>
      </c>
      <c r="C202" s="29" t="n">
        <v>-0.10351586297881994</v>
      </c>
      <c r="D202" s="30" t="n">
        <v>0.14906832298136646</v>
      </c>
      <c r="E202" s="31" t="inlineStr">
        <is>
          <t/>
        </is>
      </c>
      <c r="F202" s="32" t="inlineStr">
        <is>
          <t/>
        </is>
      </c>
      <c r="G202" s="33" t="n">
        <v>120.0</v>
      </c>
      <c r="H202" s="34" t="inlineStr">
        <is>
          <t/>
        </is>
      </c>
      <c r="I202" s="35" t="inlineStr">
        <is>
          <t/>
        </is>
      </c>
      <c r="J202" s="36" t="n">
        <v>0.25</v>
      </c>
      <c r="K202" s="37" t="inlineStr">
        <is>
          <t>Other Healthcare Technology Systems</t>
        </is>
      </c>
      <c r="L202" s="38" t="inlineStr">
        <is>
          <t>Provider of a mobile application for diagnosing sleep apnea. The company offers an application helping patients diagnose and treat sleep apnea from their homes through sleep doctors available on the application to review sleep studies, discuss the best treatments with patients and order prescriptions.</t>
        </is>
      </c>
      <c r="M202" s="39" t="inlineStr">
        <is>
          <t>Tyler Willis, Y Combinator</t>
        </is>
      </c>
      <c r="N202" s="40" t="inlineStr">
        <is>
          <t>Angel-Backed</t>
        </is>
      </c>
      <c r="O202" s="41" t="inlineStr">
        <is>
          <t>Privately Held (backing)</t>
        </is>
      </c>
      <c r="P202" s="42" t="inlineStr">
        <is>
          <t>San Francisco, CA</t>
        </is>
      </c>
      <c r="Q202" s="43" t="inlineStr">
        <is>
          <t>www.winkhealth.com</t>
        </is>
      </c>
      <c r="R202" s="114">
        <f>HYPERLINK("https://my.pitchbook.com?c=148740-76", "View company online")</f>
      </c>
    </row>
    <row r="203">
      <c r="A203" s="9" t="inlineStr">
        <is>
          <t>152409-25</t>
        </is>
      </c>
      <c r="B203" s="10" t="inlineStr">
        <is>
          <t>Wingo</t>
        </is>
      </c>
      <c r="C203" s="11" t="n">
        <v>-0.005550450738394977</v>
      </c>
      <c r="D203" s="12" t="n">
        <v>18.964273669395265</v>
      </c>
      <c r="E203" s="13" t="inlineStr">
        <is>
          <t/>
        </is>
      </c>
      <c r="F203" s="14" t="n">
        <v>8.0</v>
      </c>
      <c r="G203" s="15" t="n">
        <v>60501.0</v>
      </c>
      <c r="H203" s="16" t="n">
        <v>98.0</v>
      </c>
      <c r="I203" s="17" t="inlineStr">
        <is>
          <t/>
        </is>
      </c>
      <c r="J203" s="18" t="n">
        <v>0.21</v>
      </c>
      <c r="K203" s="19" t="inlineStr">
        <is>
          <t>Other Consumer Durables</t>
        </is>
      </c>
      <c r="L203" s="20" t="inlineStr">
        <is>
          <t>Manufacturer of mobile cover and accessories. The company offers to their customers handheld accessories such as cases for mobile devices, tablets, iPads and E-Readers.</t>
        </is>
      </c>
      <c r="M203" s="21" t="inlineStr">
        <is>
          <t/>
        </is>
      </c>
      <c r="N203" s="22" t="inlineStr">
        <is>
          <t>Angel-Backed</t>
        </is>
      </c>
      <c r="O203" s="23" t="inlineStr">
        <is>
          <t>Privately Held (backing)</t>
        </is>
      </c>
      <c r="P203" s="24" t="inlineStr">
        <is>
          <t>San Francisco, CA</t>
        </is>
      </c>
      <c r="Q203" s="25" t="inlineStr">
        <is>
          <t>www.wingocase.com</t>
        </is>
      </c>
      <c r="R203" s="113">
        <f>HYPERLINK("https://my.pitchbook.com?c=152409-25", "View company online")</f>
      </c>
    </row>
    <row r="204">
      <c r="A204" s="27" t="inlineStr">
        <is>
          <t>109137-34</t>
        </is>
      </c>
      <c r="B204" s="28" t="inlineStr">
        <is>
          <t>Wi-Next</t>
        </is>
      </c>
      <c r="C204" s="29" t="n">
        <v>6.279432927641208E-4</v>
      </c>
      <c r="D204" s="30" t="n">
        <v>4.651981858687828</v>
      </c>
      <c r="E204" s="31" t="inlineStr">
        <is>
          <t/>
        </is>
      </c>
      <c r="F204" s="32" t="n">
        <v>106.0</v>
      </c>
      <c r="G204" s="33" t="n">
        <v>475.0</v>
      </c>
      <c r="H204" s="34" t="n">
        <v>4351.0</v>
      </c>
      <c r="I204" s="35" t="inlineStr">
        <is>
          <t/>
        </is>
      </c>
      <c r="J204" s="36" t="inlineStr">
        <is>
          <t/>
        </is>
      </c>
      <c r="K204" s="37" t="inlineStr">
        <is>
          <t>Other Commercial Products</t>
        </is>
      </c>
      <c r="L204" s="38" t="inlineStr">
        <is>
          <t>Provider of Industrial Internet of Things solutions designed to improve process efficiency and quality control. The company collect data from machines and sensors, and use analytics and machine learning to identify inefficiencies and offer operational actions, enabling manufacturers to make their machines smarter and increase return on investment.</t>
        </is>
      </c>
      <c r="M204" s="39" t="inlineStr">
        <is>
          <t>Momenta Partners</t>
        </is>
      </c>
      <c r="N204" s="40" t="inlineStr">
        <is>
          <t>Accelerator/Incubator Backed</t>
        </is>
      </c>
      <c r="O204" s="41" t="inlineStr">
        <is>
          <t>Privately Held (backing)</t>
        </is>
      </c>
      <c r="P204" s="42" t="inlineStr">
        <is>
          <t>Palo Alto, CA</t>
        </is>
      </c>
      <c r="Q204" s="43" t="inlineStr">
        <is>
          <t>www.winext.eu</t>
        </is>
      </c>
      <c r="R204" s="114">
        <f>HYPERLINK("https://my.pitchbook.com?c=109137-34", "View company online")</f>
      </c>
    </row>
    <row r="205">
      <c r="A205" s="9" t="inlineStr">
        <is>
          <t>121182-40</t>
        </is>
      </c>
      <c r="B205" s="10" t="inlineStr">
        <is>
          <t>WineSeq</t>
        </is>
      </c>
      <c r="C205" s="11" t="n">
        <v>4.7474166697695495</v>
      </c>
      <c r="D205" s="12" t="n">
        <v>0.63803361472853</v>
      </c>
      <c r="E205" s="13" t="inlineStr">
        <is>
          <t/>
        </is>
      </c>
      <c r="F205" s="14" t="n">
        <v>15.0</v>
      </c>
      <c r="G205" s="15" t="n">
        <v>670.0</v>
      </c>
      <c r="H205" s="16" t="n">
        <v>308.0</v>
      </c>
      <c r="I205" s="17" t="n">
        <v>16.0</v>
      </c>
      <c r="J205" s="18" t="n">
        <v>5.2</v>
      </c>
      <c r="K205" s="19" t="inlineStr">
        <is>
          <t>Beverages</t>
        </is>
      </c>
      <c r="L205" s="20" t="inlineStr">
        <is>
          <t>Owner and operator of a company which uses meta genomics for producing wine. The company uses genomics in the wine sector for the process of vinification, and their methodology is known as WineSeq, which is used for wine differentiation.</t>
        </is>
      </c>
      <c r="M205" s="21" t="inlineStr">
        <is>
          <t>Illumina Accelerator, Viking Global Investors</t>
        </is>
      </c>
      <c r="N205" s="22" t="inlineStr">
        <is>
          <t>Accelerator/Incubator Backed</t>
        </is>
      </c>
      <c r="O205" s="23" t="inlineStr">
        <is>
          <t>Privately Held (backing)</t>
        </is>
      </c>
      <c r="P205" s="24" t="inlineStr">
        <is>
          <t>San Francisco, CA</t>
        </is>
      </c>
      <c r="Q205" s="25" t="inlineStr">
        <is>
          <t>www.thewineguys.es</t>
        </is>
      </c>
      <c r="R205" s="113">
        <f>HYPERLINK("https://my.pitchbook.com?c=121182-40", "View company online")</f>
      </c>
    </row>
    <row r="206">
      <c r="A206" s="27" t="inlineStr">
        <is>
          <t>103778-29</t>
        </is>
      </c>
      <c r="B206" s="28" t="inlineStr">
        <is>
          <t>WineMaps</t>
        </is>
      </c>
      <c r="C206" s="29" t="n">
        <v>-0.17881480797522883</v>
      </c>
      <c r="D206" s="30" t="n">
        <v>57.99927469842724</v>
      </c>
      <c r="E206" s="31" t="inlineStr">
        <is>
          <t/>
        </is>
      </c>
      <c r="F206" s="32" t="n">
        <v>131.0</v>
      </c>
      <c r="G206" s="33" t="inlineStr">
        <is>
          <t/>
        </is>
      </c>
      <c r="H206" s="34" t="n">
        <v>39779.0</v>
      </c>
      <c r="I206" s="35" t="n">
        <v>1.0</v>
      </c>
      <c r="J206" s="36" t="n">
        <v>0.01</v>
      </c>
      <c r="K206" s="37" t="inlineStr">
        <is>
          <t>Social/Platform Software</t>
        </is>
      </c>
      <c r="L206" s="38" t="inlineStr">
        <is>
          <t>Developer of an interactive travel map for wine consumers. The company develops an interactive travel map that allows consumers to discover, learn and interact with wineries, vineyards, wine bars and events around the world.</t>
        </is>
      </c>
      <c r="M206" s="39" t="inlineStr">
        <is>
          <t/>
        </is>
      </c>
      <c r="N206" s="40" t="inlineStr">
        <is>
          <t>Angel-Backed</t>
        </is>
      </c>
      <c r="O206" s="41" t="inlineStr">
        <is>
          <t>Privately Held (backing)</t>
        </is>
      </c>
      <c r="P206" s="42" t="inlineStr">
        <is>
          <t>San Francisco, CA</t>
        </is>
      </c>
      <c r="Q206" s="43" t="inlineStr">
        <is>
          <t>www.winemaps.com</t>
        </is>
      </c>
      <c r="R206" s="114">
        <f>HYPERLINK("https://my.pitchbook.com?c=103778-29", "View company online")</f>
      </c>
    </row>
    <row r="207">
      <c r="A207" s="9" t="inlineStr">
        <is>
          <t>172668-79</t>
        </is>
      </c>
      <c r="B207" s="10" t="inlineStr">
        <is>
          <t>Winecrasher.com</t>
        </is>
      </c>
      <c r="C207" s="85">
        <f>HYPERLINK("https://my.pitchbook.com?rrp=172668-79&amp;type=c", "This Company's information is not available to download. Need this Company? Request availability")</f>
      </c>
      <c r="D207" s="12" t="inlineStr">
        <is>
          <t/>
        </is>
      </c>
      <c r="E207" s="13" t="inlineStr">
        <is>
          <t/>
        </is>
      </c>
      <c r="F207" s="14" t="inlineStr">
        <is>
          <t/>
        </is>
      </c>
      <c r="G207" s="15" t="inlineStr">
        <is>
          <t/>
        </is>
      </c>
      <c r="H207" s="16" t="inlineStr">
        <is>
          <t/>
        </is>
      </c>
      <c r="I207" s="17" t="inlineStr">
        <is>
          <t/>
        </is>
      </c>
      <c r="J207" s="18" t="inlineStr">
        <is>
          <t/>
        </is>
      </c>
      <c r="K207" s="19" t="inlineStr">
        <is>
          <t/>
        </is>
      </c>
      <c r="L207" s="20" t="inlineStr">
        <is>
          <t/>
        </is>
      </c>
      <c r="M207" s="21" t="inlineStr">
        <is>
          <t/>
        </is>
      </c>
      <c r="N207" s="22" t="inlineStr">
        <is>
          <t/>
        </is>
      </c>
      <c r="O207" s="23" t="inlineStr">
        <is>
          <t/>
        </is>
      </c>
      <c r="P207" s="24" t="inlineStr">
        <is>
          <t/>
        </is>
      </c>
      <c r="Q207" s="25" t="inlineStr">
        <is>
          <t/>
        </is>
      </c>
      <c r="R207" s="26" t="inlineStr">
        <is>
          <t/>
        </is>
      </c>
    </row>
    <row r="208">
      <c r="A208" s="27" t="inlineStr">
        <is>
          <t>111398-41</t>
        </is>
      </c>
      <c r="B208" s="28" t="inlineStr">
        <is>
          <t>Wine Hooligans</t>
        </is>
      </c>
      <c r="C208" s="29" t="n">
        <v>0.0</v>
      </c>
      <c r="D208" s="30" t="n">
        <v>0.33928844098335625</v>
      </c>
      <c r="E208" s="31" t="inlineStr">
        <is>
          <t/>
        </is>
      </c>
      <c r="F208" s="32" t="n">
        <v>18.0</v>
      </c>
      <c r="G208" s="33" t="inlineStr">
        <is>
          <t/>
        </is>
      </c>
      <c r="H208" s="34" t="n">
        <v>68.0</v>
      </c>
      <c r="I208" s="35" t="inlineStr">
        <is>
          <t/>
        </is>
      </c>
      <c r="J208" s="36" t="n">
        <v>1.15</v>
      </c>
      <c r="K208" s="37" t="inlineStr">
        <is>
          <t>Beverages</t>
        </is>
      </c>
      <c r="L208" s="38" t="inlineStr">
        <is>
          <t>Producer of wines. The company offers wines in different brands such as broadside, cycles gladiator, goyette, 3 ball, stephen vincent and sea monster.</t>
        </is>
      </c>
      <c r="M208" s="39" t="inlineStr">
        <is>
          <t/>
        </is>
      </c>
      <c r="N208" s="40" t="inlineStr">
        <is>
          <t>Angel-Backed</t>
        </is>
      </c>
      <c r="O208" s="41" t="inlineStr">
        <is>
          <t>Privately Held (backing)</t>
        </is>
      </c>
      <c r="P208" s="42" t="inlineStr">
        <is>
          <t>Santa Rosa, CA</t>
        </is>
      </c>
      <c r="Q208" s="43" t="inlineStr">
        <is>
          <t>www.winehooligans.com</t>
        </is>
      </c>
      <c r="R208" s="114">
        <f>HYPERLINK("https://my.pitchbook.com?c=111398-41", "View company online")</f>
      </c>
    </row>
    <row r="209">
      <c r="A209" s="9" t="inlineStr">
        <is>
          <t>124573-24</t>
        </is>
      </c>
      <c r="B209" s="10" t="inlineStr">
        <is>
          <t>Window Street Financial</t>
        </is>
      </c>
      <c r="C209" s="11" t="n">
        <v>0.0</v>
      </c>
      <c r="D209" s="12" t="n">
        <v>0.1271186440677966</v>
      </c>
      <c r="E209" s="13" t="inlineStr">
        <is>
          <t/>
        </is>
      </c>
      <c r="F209" s="14" t="inlineStr">
        <is>
          <t/>
        </is>
      </c>
      <c r="G209" s="15" t="inlineStr">
        <is>
          <t/>
        </is>
      </c>
      <c r="H209" s="16" t="n">
        <v>45.0</v>
      </c>
      <c r="I209" s="17" t="inlineStr">
        <is>
          <t/>
        </is>
      </c>
      <c r="J209" s="18" t="inlineStr">
        <is>
          <t/>
        </is>
      </c>
      <c r="K209" s="19" t="inlineStr">
        <is>
          <t>Consumer Finance</t>
        </is>
      </c>
      <c r="L209" s="20" t="inlineStr">
        <is>
          <t>Owner and operator of a company providing solar loans to homeowners. The company provides solar financing by allowing the homeowners to take out loans made up of capital from the endowments of universities, foundations and nonprofit organizations.</t>
        </is>
      </c>
      <c r="M209" s="21" t="inlineStr">
        <is>
          <t>Powerhouse (Accelerator), U.S. Department of Energy</t>
        </is>
      </c>
      <c r="N209" s="22" t="inlineStr">
        <is>
          <t>Accelerator/Incubator Backed</t>
        </is>
      </c>
      <c r="O209" s="23" t="inlineStr">
        <is>
          <t>Privately Held (backing)</t>
        </is>
      </c>
      <c r="P209" s="24" t="inlineStr">
        <is>
          <t>San Francisco, CA</t>
        </is>
      </c>
      <c r="Q209" s="25" t="inlineStr">
        <is>
          <t>www.sundowment.com</t>
        </is>
      </c>
      <c r="R209" s="113">
        <f>HYPERLINK("https://my.pitchbook.com?c=124573-24", "View company online")</f>
      </c>
    </row>
    <row r="210">
      <c r="A210" s="27" t="inlineStr">
        <is>
          <t>171363-07</t>
        </is>
      </c>
      <c r="B210" s="28" t="inlineStr">
        <is>
          <t>Windfall Data</t>
        </is>
      </c>
      <c r="C210" s="86">
        <f>HYPERLINK("https://my.pitchbook.com?rrp=171363-07&amp;type=c", "This Company's information is not available to download. Need this Company? Request availability")</f>
      </c>
      <c r="D210" s="30" t="inlineStr">
        <is>
          <t/>
        </is>
      </c>
      <c r="E210" s="31" t="inlineStr">
        <is>
          <t/>
        </is>
      </c>
      <c r="F210" s="32" t="inlineStr">
        <is>
          <t/>
        </is>
      </c>
      <c r="G210" s="33" t="inlineStr">
        <is>
          <t/>
        </is>
      </c>
      <c r="H210" s="34" t="inlineStr">
        <is>
          <t/>
        </is>
      </c>
      <c r="I210" s="35" t="inlineStr">
        <is>
          <t/>
        </is>
      </c>
      <c r="J210" s="36" t="inlineStr">
        <is>
          <t/>
        </is>
      </c>
      <c r="K210" s="37" t="inlineStr">
        <is>
          <t/>
        </is>
      </c>
      <c r="L210" s="38" t="inlineStr">
        <is>
          <t/>
        </is>
      </c>
      <c r="M210" s="39" t="inlineStr">
        <is>
          <t/>
        </is>
      </c>
      <c r="N210" s="40" t="inlineStr">
        <is>
          <t/>
        </is>
      </c>
      <c r="O210" s="41" t="inlineStr">
        <is>
          <t/>
        </is>
      </c>
      <c r="P210" s="42" t="inlineStr">
        <is>
          <t/>
        </is>
      </c>
      <c r="Q210" s="43" t="inlineStr">
        <is>
          <t/>
        </is>
      </c>
      <c r="R210" s="44" t="inlineStr">
        <is>
          <t/>
        </is>
      </c>
    </row>
    <row r="211">
      <c r="A211" s="9" t="inlineStr">
        <is>
          <t>181820-80</t>
        </is>
      </c>
      <c r="B211" s="10" t="inlineStr">
        <is>
          <t>Windchime Health</t>
        </is>
      </c>
      <c r="C211" s="11" t="inlineStr">
        <is>
          <t/>
        </is>
      </c>
      <c r="D211" s="12" t="inlineStr">
        <is>
          <t/>
        </is>
      </c>
      <c r="E211" s="13" t="inlineStr">
        <is>
          <t/>
        </is>
      </c>
      <c r="F211" s="14" t="inlineStr">
        <is>
          <t/>
        </is>
      </c>
      <c r="G211" s="15" t="inlineStr">
        <is>
          <t/>
        </is>
      </c>
      <c r="H211" s="16" t="inlineStr">
        <is>
          <t/>
        </is>
      </c>
      <c r="I211" s="17" t="inlineStr">
        <is>
          <t/>
        </is>
      </c>
      <c r="J211" s="18" t="inlineStr">
        <is>
          <t/>
        </is>
      </c>
      <c r="K211" s="19" t="inlineStr">
        <is>
          <t>Other Healthcare</t>
        </is>
      </c>
      <c r="L211" s="20" t="inlineStr">
        <is>
          <t>Provider of a dental practice platform intended to revolutionize the way dentists and patients find each other. The company's platform connects patients with dentists , helping them attract new patients, replace cancelled appointments and fill bookings, enabling dentist to increase their income.</t>
        </is>
      </c>
      <c r="M211" s="21" t="inlineStr">
        <is>
          <t/>
        </is>
      </c>
      <c r="N211" s="22" t="inlineStr">
        <is>
          <t>Angel-Backed</t>
        </is>
      </c>
      <c r="O211" s="23" t="inlineStr">
        <is>
          <t>Privately Held (backing)</t>
        </is>
      </c>
      <c r="P211" s="24" t="inlineStr">
        <is>
          <t>Alamo, CA</t>
        </is>
      </c>
      <c r="Q211" s="25" t="inlineStr">
        <is>
          <t>www.windchimehealth.com</t>
        </is>
      </c>
      <c r="R211" s="113">
        <f>HYPERLINK("https://my.pitchbook.com?c=181820-80", "View company online")</f>
      </c>
    </row>
    <row r="212">
      <c r="A212" s="27" t="inlineStr">
        <is>
          <t>103043-17</t>
        </is>
      </c>
      <c r="B212" s="28" t="inlineStr">
        <is>
          <t>Windation Energy Systems</t>
        </is>
      </c>
      <c r="C212" s="29" t="n">
        <v>0.0</v>
      </c>
      <c r="D212" s="30" t="n">
        <v>0.5405405405405406</v>
      </c>
      <c r="E212" s="31" t="inlineStr">
        <is>
          <t/>
        </is>
      </c>
      <c r="F212" s="32" t="n">
        <v>20.0</v>
      </c>
      <c r="G212" s="33" t="inlineStr">
        <is>
          <t/>
        </is>
      </c>
      <c r="H212" s="34" t="inlineStr">
        <is>
          <t/>
        </is>
      </c>
      <c r="I212" s="35" t="inlineStr">
        <is>
          <t/>
        </is>
      </c>
      <c r="J212" s="36" t="n">
        <v>0.08</v>
      </c>
      <c r="K212" s="37" t="inlineStr">
        <is>
          <t>Other Commercial Services</t>
        </is>
      </c>
      <c r="L212" s="38" t="inlineStr">
        <is>
          <t>Producer of wind turbines for urban buildings. The company manufactures and installs wind electricity generating systems for urban areas.</t>
        </is>
      </c>
      <c r="M212" s="39" t="inlineStr">
        <is>
          <t/>
        </is>
      </c>
      <c r="N212" s="40" t="inlineStr">
        <is>
          <t>Angel-Backed</t>
        </is>
      </c>
      <c r="O212" s="41" t="inlineStr">
        <is>
          <t>Privately Held (backing)</t>
        </is>
      </c>
      <c r="P212" s="42" t="inlineStr">
        <is>
          <t>Menlo Park, CA</t>
        </is>
      </c>
      <c r="Q212" s="43" t="inlineStr">
        <is>
          <t>www.windation.com</t>
        </is>
      </c>
      <c r="R212" s="114">
        <f>HYPERLINK("https://my.pitchbook.com?c=103043-17", "View company online")</f>
      </c>
    </row>
    <row r="213">
      <c r="A213" s="9" t="inlineStr">
        <is>
          <t>109789-39</t>
        </is>
      </c>
      <c r="B213" s="10" t="inlineStr">
        <is>
          <t>Windameer</t>
        </is>
      </c>
      <c r="C213" s="11" t="n">
        <v>0.0</v>
      </c>
      <c r="D213" s="12" t="n">
        <v>0.05405405405405406</v>
      </c>
      <c r="E213" s="13" t="inlineStr">
        <is>
          <t/>
        </is>
      </c>
      <c r="F213" s="14" t="n">
        <v>2.0</v>
      </c>
      <c r="G213" s="15" t="inlineStr">
        <is>
          <t/>
        </is>
      </c>
      <c r="H213" s="16" t="inlineStr">
        <is>
          <t/>
        </is>
      </c>
      <c r="I213" s="17" t="inlineStr">
        <is>
          <t/>
        </is>
      </c>
      <c r="J213" s="18" t="inlineStr">
        <is>
          <t/>
        </is>
      </c>
      <c r="K213" s="19" t="inlineStr">
        <is>
          <t>Application Software</t>
        </is>
      </c>
      <c r="L213" s="20" t="inlineStr">
        <is>
          <t>Provider of an application for college students to manage the daily tasks and activities specific to their Greek membership and social circle. The application includes an admin panel for content management and is used by new members, active members, executive council officers and alumni as a private chapter management and social connectivity tool.</t>
        </is>
      </c>
      <c r="M213" s="21" t="inlineStr">
        <is>
          <t>Thunderbolt Studios</t>
        </is>
      </c>
      <c r="N213" s="22" t="inlineStr">
        <is>
          <t>Accelerator/Incubator Backed</t>
        </is>
      </c>
      <c r="O213" s="23" t="inlineStr">
        <is>
          <t>Privately Held (backing)</t>
        </is>
      </c>
      <c r="P213" s="24" t="inlineStr">
        <is>
          <t>Los Angeles, CA</t>
        </is>
      </c>
      <c r="Q213" s="25" t="inlineStr">
        <is>
          <t>www.ourhouse.us</t>
        </is>
      </c>
      <c r="R213" s="113">
        <f>HYPERLINK("https://my.pitchbook.com?c=109789-39", "View company online")</f>
      </c>
    </row>
    <row r="214">
      <c r="A214" s="27" t="inlineStr">
        <is>
          <t>174219-31</t>
        </is>
      </c>
      <c r="B214" s="28" t="inlineStr">
        <is>
          <t>WinApp</t>
        </is>
      </c>
      <c r="C214" s="86">
        <f>HYPERLINK("https://my.pitchbook.com?rrp=174219-31&amp;type=c", "This Company's information is not available to download. Need this Company? Request availability")</f>
      </c>
      <c r="D214" s="30" t="inlineStr">
        <is>
          <t/>
        </is>
      </c>
      <c r="E214" s="31" t="inlineStr">
        <is>
          <t/>
        </is>
      </c>
      <c r="F214" s="32" t="inlineStr">
        <is>
          <t/>
        </is>
      </c>
      <c r="G214" s="33" t="inlineStr">
        <is>
          <t/>
        </is>
      </c>
      <c r="H214" s="34" t="inlineStr">
        <is>
          <t/>
        </is>
      </c>
      <c r="I214" s="35" t="inlineStr">
        <is>
          <t/>
        </is>
      </c>
      <c r="J214" s="36" t="inlineStr">
        <is>
          <t/>
        </is>
      </c>
      <c r="K214" s="37" t="inlineStr">
        <is>
          <t/>
        </is>
      </c>
      <c r="L214" s="38" t="inlineStr">
        <is>
          <t/>
        </is>
      </c>
      <c r="M214" s="39" t="inlineStr">
        <is>
          <t/>
        </is>
      </c>
      <c r="N214" s="40" t="inlineStr">
        <is>
          <t/>
        </is>
      </c>
      <c r="O214" s="41" t="inlineStr">
        <is>
          <t/>
        </is>
      </c>
      <c r="P214" s="42" t="inlineStr">
        <is>
          <t/>
        </is>
      </c>
      <c r="Q214" s="43" t="inlineStr">
        <is>
          <t/>
        </is>
      </c>
      <c r="R214" s="44" t="inlineStr">
        <is>
          <t/>
        </is>
      </c>
    </row>
    <row r="215">
      <c r="A215" s="9" t="inlineStr">
        <is>
          <t>179853-40</t>
        </is>
      </c>
      <c r="B215" s="10" t="inlineStr">
        <is>
          <t>Willow Neuroscience</t>
        </is>
      </c>
      <c r="C215" s="11" t="inlineStr">
        <is>
          <t/>
        </is>
      </c>
      <c r="D215" s="12" t="inlineStr">
        <is>
          <t/>
        </is>
      </c>
      <c r="E215" s="13" t="inlineStr">
        <is>
          <t/>
        </is>
      </c>
      <c r="F215" s="14" t="inlineStr">
        <is>
          <t/>
        </is>
      </c>
      <c r="G215" s="15" t="inlineStr">
        <is>
          <t/>
        </is>
      </c>
      <c r="H215" s="16" t="inlineStr">
        <is>
          <t/>
        </is>
      </c>
      <c r="I215" s="17" t="inlineStr">
        <is>
          <t/>
        </is>
      </c>
      <c r="J215" s="18" t="n">
        <v>0.01</v>
      </c>
      <c r="K215" s="19" t="inlineStr">
        <is>
          <t>Other Business Products and Services</t>
        </is>
      </c>
      <c r="L215" s="20" t="inlineStr">
        <is>
          <t>The company is currently operating in Stealth mode.</t>
        </is>
      </c>
      <c r="M215" s="21" t="inlineStr">
        <is>
          <t/>
        </is>
      </c>
      <c r="N215" s="22" t="inlineStr">
        <is>
          <t>Angel-Backed</t>
        </is>
      </c>
      <c r="O215" s="23" t="inlineStr">
        <is>
          <t>Privately Held (backing)</t>
        </is>
      </c>
      <c r="P215" s="24" t="inlineStr">
        <is>
          <t>Emeryville, CA</t>
        </is>
      </c>
      <c r="Q215" s="25" t="inlineStr">
        <is>
          <t/>
        </is>
      </c>
      <c r="R215" s="113">
        <f>HYPERLINK("https://my.pitchbook.com?c=179853-40", "View company online")</f>
      </c>
    </row>
    <row r="216">
      <c r="A216" s="27" t="inlineStr">
        <is>
          <t>156617-83</t>
        </is>
      </c>
      <c r="B216" s="28" t="inlineStr">
        <is>
          <t>Willow Cup</t>
        </is>
      </c>
      <c r="C216" s="29" t="n">
        <v>0.3538010008016753</v>
      </c>
      <c r="D216" s="30" t="n">
        <v>0.7824858757062146</v>
      </c>
      <c r="E216" s="31" t="inlineStr">
        <is>
          <t/>
        </is>
      </c>
      <c r="F216" s="32" t="inlineStr">
        <is>
          <t/>
        </is>
      </c>
      <c r="G216" s="33" t="inlineStr">
        <is>
          <t/>
        </is>
      </c>
      <c r="H216" s="34" t="n">
        <v>277.0</v>
      </c>
      <c r="I216" s="35" t="inlineStr">
        <is>
          <t/>
        </is>
      </c>
      <c r="J216" s="36" t="n">
        <v>0.22</v>
      </c>
      <c r="K216" s="37" t="inlineStr">
        <is>
          <t>Biotechnology</t>
        </is>
      </c>
      <c r="L216" s="38" t="inlineStr">
        <is>
          <t>Producer of dairy products from plant-based ingredients intended to offer nutritious protein food as a replacement of milk. The company's dairy products extracts proteins from almonds, cashews, potatoes, chickpeas and other plants and processes them to express a rich and creamy texture, uses technology that breaks down healthy fats in a way that produces a similar molecular structure and consistency to that of cow's milk, enabling individuals to experience animal-free and plant based protein which replace milk.</t>
        </is>
      </c>
      <c r="M216" s="39" t="inlineStr">
        <is>
          <t>Communitech (Waterloo), SOSV</t>
        </is>
      </c>
      <c r="N216" s="40" t="inlineStr">
        <is>
          <t>Accelerator/Incubator Backed</t>
        </is>
      </c>
      <c r="O216" s="41" t="inlineStr">
        <is>
          <t>Privately Held (backing)</t>
        </is>
      </c>
      <c r="P216" s="42" t="inlineStr">
        <is>
          <t>San Francisco, CA</t>
        </is>
      </c>
      <c r="Q216" s="43" t="inlineStr">
        <is>
          <t>www.willowcup.com</t>
        </is>
      </c>
      <c r="R216" s="114">
        <f>HYPERLINK("https://my.pitchbook.com?c=156617-83", "View company online")</f>
      </c>
    </row>
    <row r="217">
      <c r="A217" s="9" t="inlineStr">
        <is>
          <t>169425-10</t>
        </is>
      </c>
      <c r="B217" s="10" t="inlineStr">
        <is>
          <t>Wild Daisy</t>
        </is>
      </c>
      <c r="C217" s="11" t="n">
        <v>3.6932190753617005</v>
      </c>
      <c r="D217" s="12" t="n">
        <v>7.4197652384461525</v>
      </c>
      <c r="E217" s="13" t="inlineStr">
        <is>
          <t/>
        </is>
      </c>
      <c r="F217" s="14" t="n">
        <v>169.0</v>
      </c>
      <c r="G217" s="15" t="n">
        <v>6172.0</v>
      </c>
      <c r="H217" s="16" t="n">
        <v>4254.0</v>
      </c>
      <c r="I217" s="17" t="inlineStr">
        <is>
          <t/>
        </is>
      </c>
      <c r="J217" s="18" t="inlineStr">
        <is>
          <t/>
        </is>
      </c>
      <c r="K217" s="19" t="inlineStr">
        <is>
          <t>Internet Retail</t>
        </is>
      </c>
      <c r="L217" s="20" t="inlineStr">
        <is>
          <t>Provider of an online shopping platform for clothes, footwear and accessories. The company provides online retailing of different items such as as clothing, accessories, shoes and an exclusive line of natural body care and soap products.</t>
        </is>
      </c>
      <c r="M217" s="21" t="inlineStr">
        <is>
          <t>Catapult Ideas</t>
        </is>
      </c>
      <c r="N217" s="22" t="inlineStr">
        <is>
          <t>Accelerator/Incubator Backed</t>
        </is>
      </c>
      <c r="O217" s="23" t="inlineStr">
        <is>
          <t>Privately Held (backing)</t>
        </is>
      </c>
      <c r="P217" s="24" t="inlineStr">
        <is>
          <t>San Diego, CA</t>
        </is>
      </c>
      <c r="Q217" s="25" t="inlineStr">
        <is>
          <t>www.wilddaisy.com</t>
        </is>
      </c>
      <c r="R217" s="113">
        <f>HYPERLINK("https://my.pitchbook.com?c=169425-10", "View company online")</f>
      </c>
    </row>
    <row r="218">
      <c r="A218" s="27" t="inlineStr">
        <is>
          <t>104278-78</t>
        </is>
      </c>
      <c r="B218" s="28" t="inlineStr">
        <is>
          <t>WikiRealty</t>
        </is>
      </c>
      <c r="C218" s="29" t="n">
        <v>0.07825658317735323</v>
      </c>
      <c r="D218" s="30" t="n">
        <v>4.230976470733287</v>
      </c>
      <c r="E218" s="31" t="inlineStr">
        <is>
          <t/>
        </is>
      </c>
      <c r="F218" s="32" t="n">
        <v>21.0</v>
      </c>
      <c r="G218" s="33" t="n">
        <v>1342.0</v>
      </c>
      <c r="H218" s="34" t="n">
        <v>4996.0</v>
      </c>
      <c r="I218" s="35" t="n">
        <v>10.0</v>
      </c>
      <c r="J218" s="36" t="n">
        <v>1.9</v>
      </c>
      <c r="K218" s="37" t="inlineStr">
        <is>
          <t>Social/Platform Software</t>
        </is>
      </c>
      <c r="L218" s="38" t="inlineStr">
        <is>
          <t>Provider of a knowledge sharing platform about residential and commercial real estate. The company provides an online platform where people gather to share local knowledge about both residential and commercial real estate opportunities.</t>
        </is>
      </c>
      <c r="M218" s="39" t="inlineStr">
        <is>
          <t>Albert Moscato, Andy Safron, Bill Earls, Bret Waters, Cheryl Deering, Matthew Grabinski, Mike Fardy, Scott Welsh, Steve Watt, Todd Kendall, William Wicka</t>
        </is>
      </c>
      <c r="N218" s="40" t="inlineStr">
        <is>
          <t>Angel-Backed</t>
        </is>
      </c>
      <c r="O218" s="41" t="inlineStr">
        <is>
          <t>Privately Held (backing)</t>
        </is>
      </c>
      <c r="P218" s="42" t="inlineStr">
        <is>
          <t>Santa Monica, CA</t>
        </is>
      </c>
      <c r="Q218" s="43" t="inlineStr">
        <is>
          <t>www.wikirealty.com</t>
        </is>
      </c>
      <c r="R218" s="114">
        <f>HYPERLINK("https://my.pitchbook.com?c=104278-78", "View company online")</f>
      </c>
    </row>
    <row r="219">
      <c r="A219" s="9" t="inlineStr">
        <is>
          <t>60290-29</t>
        </is>
      </c>
      <c r="B219" s="10" t="inlineStr">
        <is>
          <t>WiFi Rail</t>
        </is>
      </c>
      <c r="C219" s="11" t="n">
        <v>0.0</v>
      </c>
      <c r="D219" s="12" t="n">
        <v>0.6585865368474064</v>
      </c>
      <c r="E219" s="13" t="inlineStr">
        <is>
          <t/>
        </is>
      </c>
      <c r="F219" s="14" t="n">
        <v>48.0</v>
      </c>
      <c r="G219" s="15" t="n">
        <v>16.0</v>
      </c>
      <c r="H219" s="16" t="inlineStr">
        <is>
          <t/>
        </is>
      </c>
      <c r="I219" s="17" t="n">
        <v>11.0</v>
      </c>
      <c r="J219" s="18" t="n">
        <v>5.11</v>
      </c>
      <c r="K219" s="19" t="inlineStr">
        <is>
          <t>Wireless Service Providers</t>
        </is>
      </c>
      <c r="L219" s="20" t="inlineStr">
        <is>
          <t>Provider of wireless communications services for transit environments. The company provides high-speed broadband wireless services with a specific focus on commuter rail lines and WiFi on trains.</t>
        </is>
      </c>
      <c r="M219" s="21" t="inlineStr">
        <is>
          <t>Individual Investor</t>
        </is>
      </c>
      <c r="N219" s="22" t="inlineStr">
        <is>
          <t>Angel-Backed</t>
        </is>
      </c>
      <c r="O219" s="23" t="inlineStr">
        <is>
          <t>Privately Held (backing)</t>
        </is>
      </c>
      <c r="P219" s="24" t="inlineStr">
        <is>
          <t>Oakland, CA</t>
        </is>
      </c>
      <c r="Q219" s="25" t="inlineStr">
        <is>
          <t>www.wifirail.net</t>
        </is>
      </c>
      <c r="R219" s="113">
        <f>HYPERLINK("https://my.pitchbook.com?c=60290-29", "View company online")</f>
      </c>
    </row>
    <row r="220">
      <c r="A220" s="27" t="inlineStr">
        <is>
          <t>99065-71</t>
        </is>
      </c>
      <c r="B220" s="28" t="inlineStr">
        <is>
          <t>Wicked Loot</t>
        </is>
      </c>
      <c r="C220" s="29" t="n">
        <v>-0.010595962925657332</v>
      </c>
      <c r="D220" s="30" t="n">
        <v>1.7730994680331453</v>
      </c>
      <c r="E220" s="31" t="inlineStr">
        <is>
          <t/>
        </is>
      </c>
      <c r="F220" s="32" t="n">
        <v>48.0</v>
      </c>
      <c r="G220" s="33" t="n">
        <v>3292.0</v>
      </c>
      <c r="H220" s="34" t="n">
        <v>144.0</v>
      </c>
      <c r="I220" s="35" t="n">
        <v>4.0</v>
      </c>
      <c r="J220" s="36" t="n">
        <v>0.07</v>
      </c>
      <c r="K220" s="37" t="inlineStr">
        <is>
          <t>Application Software</t>
        </is>
      </c>
      <c r="L220" s="38" t="inlineStr">
        <is>
          <t>Owner and operator of a game development studio. The company designs and develops mobile gaming applications and digital downloadable gaming software for their customers.</t>
        </is>
      </c>
      <c r="M220" s="39" t="inlineStr">
        <is>
          <t>Blue Startups</t>
        </is>
      </c>
      <c r="N220" s="40" t="inlineStr">
        <is>
          <t>Accelerator/Incubator Backed</t>
        </is>
      </c>
      <c r="O220" s="41" t="inlineStr">
        <is>
          <t>Privately Held (backing)</t>
        </is>
      </c>
      <c r="P220" s="42" t="inlineStr">
        <is>
          <t>Redwood City, CA</t>
        </is>
      </c>
      <c r="Q220" s="43" t="inlineStr">
        <is>
          <t>www.wickedloot.com</t>
        </is>
      </c>
      <c r="R220" s="114">
        <f>HYPERLINK("https://my.pitchbook.com?c=99065-71", "View company online")</f>
      </c>
    </row>
    <row r="221">
      <c r="A221" s="9" t="inlineStr">
        <is>
          <t>172653-22</t>
        </is>
      </c>
      <c r="B221" s="10" t="inlineStr">
        <is>
          <t>Whooos Reading</t>
        </is>
      </c>
      <c r="C221" s="85">
        <f>HYPERLINK("https://my.pitchbook.com?rrp=172653-22&amp;type=c", "This Company's information is not available to download. Need this Company? Request availability")</f>
      </c>
      <c r="D221" s="12" t="inlineStr">
        <is>
          <t/>
        </is>
      </c>
      <c r="E221" s="13" t="inlineStr">
        <is>
          <t/>
        </is>
      </c>
      <c r="F221" s="14" t="inlineStr">
        <is>
          <t/>
        </is>
      </c>
      <c r="G221" s="15" t="inlineStr">
        <is>
          <t/>
        </is>
      </c>
      <c r="H221" s="16" t="inlineStr">
        <is>
          <t/>
        </is>
      </c>
      <c r="I221" s="17" t="inlineStr">
        <is>
          <t/>
        </is>
      </c>
      <c r="J221" s="18" t="inlineStr">
        <is>
          <t/>
        </is>
      </c>
      <c r="K221" s="19" t="inlineStr">
        <is>
          <t/>
        </is>
      </c>
      <c r="L221" s="20" t="inlineStr">
        <is>
          <t/>
        </is>
      </c>
      <c r="M221" s="21" t="inlineStr">
        <is>
          <t/>
        </is>
      </c>
      <c r="N221" s="22" t="inlineStr">
        <is>
          <t/>
        </is>
      </c>
      <c r="O221" s="23" t="inlineStr">
        <is>
          <t/>
        </is>
      </c>
      <c r="P221" s="24" t="inlineStr">
        <is>
          <t/>
        </is>
      </c>
      <c r="Q221" s="25" t="inlineStr">
        <is>
          <t/>
        </is>
      </c>
      <c r="R221" s="26" t="inlineStr">
        <is>
          <t/>
        </is>
      </c>
    </row>
    <row r="222">
      <c r="A222" s="27" t="inlineStr">
        <is>
          <t>152942-32</t>
        </is>
      </c>
      <c r="B222" s="28" t="inlineStr">
        <is>
          <t>Wholemeaning Technologies</t>
        </is>
      </c>
      <c r="C222" s="29" t="n">
        <v>0.0</v>
      </c>
      <c r="D222" s="30" t="n">
        <v>0.1535221583305592</v>
      </c>
      <c r="E222" s="31" t="inlineStr">
        <is>
          <t/>
        </is>
      </c>
      <c r="F222" s="32" t="n">
        <v>10.0</v>
      </c>
      <c r="G222" s="33" t="n">
        <v>16.0</v>
      </c>
      <c r="H222" s="34" t="n">
        <v>19.0</v>
      </c>
      <c r="I222" s="35" t="inlineStr">
        <is>
          <t/>
        </is>
      </c>
      <c r="J222" s="36" t="n">
        <v>3.3</v>
      </c>
      <c r="K222" s="37" t="inlineStr">
        <is>
          <t>Business/Productivity Software</t>
        </is>
      </c>
      <c r="L222" s="38" t="inlineStr">
        <is>
          <t>Provider of an online feedback analytics platform. The company offers a Web-based platform that enables business to filters out all the irrelevant data and make well informed decisions.</t>
        </is>
      </c>
      <c r="M222" s="39" t="inlineStr">
        <is>
          <t>Alchemist Accelerator</t>
        </is>
      </c>
      <c r="N222" s="40" t="inlineStr">
        <is>
          <t>Accelerator/Incubator Backed</t>
        </is>
      </c>
      <c r="O222" s="41" t="inlineStr">
        <is>
          <t>Privately Held (backing)</t>
        </is>
      </c>
      <c r="P222" s="42" t="inlineStr">
        <is>
          <t>San Mateo, CA</t>
        </is>
      </c>
      <c r="Q222" s="43" t="inlineStr">
        <is>
          <t>www.wholemeaning.com</t>
        </is>
      </c>
      <c r="R222" s="114">
        <f>HYPERLINK("https://my.pitchbook.com?c=152942-32", "View company online")</f>
      </c>
    </row>
    <row r="223">
      <c r="A223" s="9" t="inlineStr">
        <is>
          <t>61007-41</t>
        </is>
      </c>
      <c r="B223" s="10" t="inlineStr">
        <is>
          <t>WhoAPI</t>
        </is>
      </c>
      <c r="C223" s="11" t="n">
        <v>0.003099971462736536</v>
      </c>
      <c r="D223" s="12" t="n">
        <v>0.9800080662829372</v>
      </c>
      <c r="E223" s="13" t="inlineStr">
        <is>
          <t/>
        </is>
      </c>
      <c r="F223" s="14" t="n">
        <v>25.0</v>
      </c>
      <c r="G223" s="15" t="n">
        <v>833.0</v>
      </c>
      <c r="H223" s="16" t="n">
        <v>543.0</v>
      </c>
      <c r="I223" s="17" t="n">
        <v>16.0</v>
      </c>
      <c r="J223" s="18" t="n">
        <v>1.4</v>
      </c>
      <c r="K223" s="19" t="inlineStr">
        <is>
          <t>Software Development Applications</t>
        </is>
      </c>
      <c r="L223" s="20" t="inlineStr">
        <is>
          <t>Provider of domain data via the API. The company provides domain availability and advanced WHOIS data output.</t>
        </is>
      </c>
      <c r="M223" s="21" t="inlineStr">
        <is>
          <t>500 Startups, Ben Bolen, Bicro, Franko Rados, Isaac Saldana, StartLabs (San Francisco), Voja Lalich</t>
        </is>
      </c>
      <c r="N223" s="22" t="inlineStr">
        <is>
          <t>Accelerator/Incubator Backed</t>
        </is>
      </c>
      <c r="O223" s="23" t="inlineStr">
        <is>
          <t>Privately Held (backing)</t>
        </is>
      </c>
      <c r="P223" s="24" t="inlineStr">
        <is>
          <t>Mountain View, CA</t>
        </is>
      </c>
      <c r="Q223" s="25" t="inlineStr">
        <is>
          <t>www.whoapi.com</t>
        </is>
      </c>
      <c r="R223" s="113">
        <f>HYPERLINK("https://my.pitchbook.com?c=61007-41", "View company online")</f>
      </c>
    </row>
    <row r="224">
      <c r="A224" s="27" t="inlineStr">
        <is>
          <t>121653-46</t>
        </is>
      </c>
      <c r="B224" s="28" t="inlineStr">
        <is>
          <t>Whizz Systems</t>
        </is>
      </c>
      <c r="C224" s="86">
        <f>HYPERLINK("https://my.pitchbook.com?rrp=121653-46&amp;type=c", "This Company's information is not available to download. Need this Company? Request availability")</f>
      </c>
      <c r="D224" s="30" t="inlineStr">
        <is>
          <t/>
        </is>
      </c>
      <c r="E224" s="31" t="inlineStr">
        <is>
          <t/>
        </is>
      </c>
      <c r="F224" s="32" t="inlineStr">
        <is>
          <t/>
        </is>
      </c>
      <c r="G224" s="33" t="inlineStr">
        <is>
          <t/>
        </is>
      </c>
      <c r="H224" s="34" t="inlineStr">
        <is>
          <t/>
        </is>
      </c>
      <c r="I224" s="35" t="inlineStr">
        <is>
          <t/>
        </is>
      </c>
      <c r="J224" s="36" t="inlineStr">
        <is>
          <t/>
        </is>
      </c>
      <c r="K224" s="37" t="inlineStr">
        <is>
          <t/>
        </is>
      </c>
      <c r="L224" s="38" t="inlineStr">
        <is>
          <t/>
        </is>
      </c>
      <c r="M224" s="39" t="inlineStr">
        <is>
          <t/>
        </is>
      </c>
      <c r="N224" s="40" t="inlineStr">
        <is>
          <t/>
        </is>
      </c>
      <c r="O224" s="41" t="inlineStr">
        <is>
          <t/>
        </is>
      </c>
      <c r="P224" s="42" t="inlineStr">
        <is>
          <t/>
        </is>
      </c>
      <c r="Q224" s="43" t="inlineStr">
        <is>
          <t/>
        </is>
      </c>
      <c r="R224" s="44" t="inlineStr">
        <is>
          <t/>
        </is>
      </c>
    </row>
    <row r="225">
      <c r="A225" s="9" t="inlineStr">
        <is>
          <t>171219-70</t>
        </is>
      </c>
      <c r="B225" s="10" t="inlineStr">
        <is>
          <t>Whiz Tutor</t>
        </is>
      </c>
      <c r="C225" s="85">
        <f>HYPERLINK("https://my.pitchbook.com?rrp=171219-70&amp;type=c", "This Company's information is not available to download. Need this Company? Request availability")</f>
      </c>
      <c r="D225" s="12" t="inlineStr">
        <is>
          <t/>
        </is>
      </c>
      <c r="E225" s="13" t="inlineStr">
        <is>
          <t/>
        </is>
      </c>
      <c r="F225" s="14" t="inlineStr">
        <is>
          <t/>
        </is>
      </c>
      <c r="G225" s="15" t="inlineStr">
        <is>
          <t/>
        </is>
      </c>
      <c r="H225" s="16" t="inlineStr">
        <is>
          <t/>
        </is>
      </c>
      <c r="I225" s="17" t="inlineStr">
        <is>
          <t/>
        </is>
      </c>
      <c r="J225" s="18" t="inlineStr">
        <is>
          <t/>
        </is>
      </c>
      <c r="K225" s="19" t="inlineStr">
        <is>
          <t/>
        </is>
      </c>
      <c r="L225" s="20" t="inlineStr">
        <is>
          <t/>
        </is>
      </c>
      <c r="M225" s="21" t="inlineStr">
        <is>
          <t/>
        </is>
      </c>
      <c r="N225" s="22" t="inlineStr">
        <is>
          <t/>
        </is>
      </c>
      <c r="O225" s="23" t="inlineStr">
        <is>
          <t/>
        </is>
      </c>
      <c r="P225" s="24" t="inlineStr">
        <is>
          <t/>
        </is>
      </c>
      <c r="Q225" s="25" t="inlineStr">
        <is>
          <t/>
        </is>
      </c>
      <c r="R225" s="26" t="inlineStr">
        <is>
          <t/>
        </is>
      </c>
    </row>
    <row r="226">
      <c r="A226" s="27" t="inlineStr">
        <is>
          <t>151568-47</t>
        </is>
      </c>
      <c r="B226" s="28" t="inlineStr">
        <is>
          <t>WhiteCoat</t>
        </is>
      </c>
      <c r="C226" s="29" t="n">
        <v>0.14219422157535253</v>
      </c>
      <c r="D226" s="30" t="n">
        <v>0.31330014349542723</v>
      </c>
      <c r="E226" s="31" t="inlineStr">
        <is>
          <t/>
        </is>
      </c>
      <c r="F226" s="32" t="n">
        <v>2.0</v>
      </c>
      <c r="G226" s="33" t="n">
        <v>633.0</v>
      </c>
      <c r="H226" s="34" t="n">
        <v>126.0</v>
      </c>
      <c r="I226" s="35" t="inlineStr">
        <is>
          <t/>
        </is>
      </c>
      <c r="J226" s="36" t="n">
        <v>0.68</v>
      </c>
      <c r="K226" s="37" t="inlineStr">
        <is>
          <t>Other Healthcare Services</t>
        </is>
      </c>
      <c r="L226" s="38" t="inlineStr">
        <is>
          <t>Provider of an online doctors appointment booking platform. The company offers a Web-based platform that enables users to request and schedule an appointment with a Nurse Practitioner or any healthcare professional online.</t>
        </is>
      </c>
      <c r="M226" s="39" t="inlineStr">
        <is>
          <t>Doug Duckjun Lee, Idealab</t>
        </is>
      </c>
      <c r="N226" s="40" t="inlineStr">
        <is>
          <t>Angel-Backed</t>
        </is>
      </c>
      <c r="O226" s="41" t="inlineStr">
        <is>
          <t>Privately Held (backing)</t>
        </is>
      </c>
      <c r="P226" s="42" t="inlineStr">
        <is>
          <t>Pasadena, CA</t>
        </is>
      </c>
      <c r="Q226" s="43" t="inlineStr">
        <is>
          <t/>
        </is>
      </c>
      <c r="R226" s="114">
        <f>HYPERLINK("https://my.pitchbook.com?c=151568-47", "View company online")</f>
      </c>
    </row>
    <row r="227">
      <c r="A227" s="9" t="inlineStr">
        <is>
          <t>124234-03</t>
        </is>
      </c>
      <c r="B227" s="10" t="inlineStr">
        <is>
          <t>White Tie Fantasy</t>
        </is>
      </c>
      <c r="C227" s="11" t="n">
        <v>-0.09148838062065011</v>
      </c>
      <c r="D227" s="12" t="n">
        <v>2.860119296578398</v>
      </c>
      <c r="E227" s="13" t="inlineStr">
        <is>
          <t/>
        </is>
      </c>
      <c r="F227" s="14" t="n">
        <v>1.0</v>
      </c>
      <c r="G227" s="15" t="n">
        <v>186.0</v>
      </c>
      <c r="H227" s="16" t="n">
        <v>3949.0</v>
      </c>
      <c r="I227" s="17" t="n">
        <v>5.0</v>
      </c>
      <c r="J227" s="18" t="inlineStr">
        <is>
          <t/>
        </is>
      </c>
      <c r="K227" s="19" t="inlineStr">
        <is>
          <t>Entertainment Software</t>
        </is>
      </c>
      <c r="L227" s="20" t="inlineStr">
        <is>
          <t>Developer of an online sports fantasy game. The company develops a fantasy game which allows users to compete and win cash as prizes.</t>
        </is>
      </c>
      <c r="M227" s="21" t="inlineStr">
        <is>
          <t>Chicostart</t>
        </is>
      </c>
      <c r="N227" s="22" t="inlineStr">
        <is>
          <t>Accelerator/Incubator Backed</t>
        </is>
      </c>
      <c r="O227" s="23" t="inlineStr">
        <is>
          <t>Privately Held (backing)</t>
        </is>
      </c>
      <c r="P227" s="24" t="inlineStr">
        <is>
          <t>Chico, CA</t>
        </is>
      </c>
      <c r="Q227" s="25" t="inlineStr">
        <is>
          <t>www.whitetiefantasy.com</t>
        </is>
      </c>
      <c r="R227" s="113">
        <f>HYPERLINK("https://my.pitchbook.com?c=124234-03", "View company online")</f>
      </c>
    </row>
    <row r="228">
      <c r="A228" s="27" t="inlineStr">
        <is>
          <t>156737-71</t>
        </is>
      </c>
      <c r="B228" s="28" t="inlineStr">
        <is>
          <t>White Goods Technologies</t>
        </is>
      </c>
      <c r="C228" s="29" t="inlineStr">
        <is>
          <t/>
        </is>
      </c>
      <c r="D228" s="30" t="inlineStr">
        <is>
          <t/>
        </is>
      </c>
      <c r="E228" s="31" t="inlineStr">
        <is>
          <t/>
        </is>
      </c>
      <c r="F228" s="32" t="inlineStr">
        <is>
          <t/>
        </is>
      </c>
      <c r="G228" s="33" t="inlineStr">
        <is>
          <t/>
        </is>
      </c>
      <c r="H228" s="34" t="inlineStr">
        <is>
          <t/>
        </is>
      </c>
      <c r="I228" s="35" t="inlineStr">
        <is>
          <t/>
        </is>
      </c>
      <c r="J228" s="36" t="n">
        <v>0.26</v>
      </c>
      <c r="K228" s="37" t="inlineStr">
        <is>
          <t>Other Commercial Services</t>
        </is>
      </c>
      <c r="L228" s="38" t="inlineStr">
        <is>
          <t>Developer of technology for consumer appliance industry. The company's technology offers industry leaders to meet consumers needs for validated, high quality products and delivered through known market channels.</t>
        </is>
      </c>
      <c r="M228" s="39" t="inlineStr">
        <is>
          <t/>
        </is>
      </c>
      <c r="N228" s="40" t="inlineStr">
        <is>
          <t>Angel-Backed</t>
        </is>
      </c>
      <c r="O228" s="41" t="inlineStr">
        <is>
          <t>Privately Held (backing)</t>
        </is>
      </c>
      <c r="P228" s="42" t="inlineStr">
        <is>
          <t>Fremont, CA</t>
        </is>
      </c>
      <c r="Q228" s="43" t="inlineStr">
        <is>
          <t>www.wgotech.com</t>
        </is>
      </c>
      <c r="R228" s="114">
        <f>HYPERLINK("https://my.pitchbook.com?c=156737-71", "View company online")</f>
      </c>
    </row>
    <row r="229">
      <c r="A229" s="9" t="inlineStr">
        <is>
          <t>167441-59</t>
        </is>
      </c>
      <c r="B229" s="10" t="inlineStr">
        <is>
          <t>Whistle (Telecommunications)</t>
        </is>
      </c>
      <c r="C229" s="11" t="n">
        <v>0.13600798360718255</v>
      </c>
      <c r="D229" s="12" t="n">
        <v>0.3909267594787123</v>
      </c>
      <c r="E229" s="13" t="inlineStr">
        <is>
          <t/>
        </is>
      </c>
      <c r="F229" s="14" t="n">
        <v>25.0</v>
      </c>
      <c r="G229" s="15" t="n">
        <v>104.0</v>
      </c>
      <c r="H229" s="16" t="n">
        <v>28.0</v>
      </c>
      <c r="I229" s="17" t="inlineStr">
        <is>
          <t/>
        </is>
      </c>
      <c r="J229" s="18" t="inlineStr">
        <is>
          <t/>
        </is>
      </c>
      <c r="K229" s="19" t="inlineStr">
        <is>
          <t>Application Software</t>
        </is>
      </c>
      <c r="L229" s="20" t="inlineStr">
        <is>
          <t>Developer of a mobile application that connects customers and businesses. The company specializes in developing a mobile based application that enables hotels to communicate with guests and other business associates through mobile messaging apps and SMS.</t>
        </is>
      </c>
      <c r="M229" s="21" t="inlineStr">
        <is>
          <t>LH Ventures, Tech Coast Angels</t>
        </is>
      </c>
      <c r="N229" s="22" t="inlineStr">
        <is>
          <t>Angel-Backed</t>
        </is>
      </c>
      <c r="O229" s="23" t="inlineStr">
        <is>
          <t>Privately Held (backing)</t>
        </is>
      </c>
      <c r="P229" s="24" t="inlineStr">
        <is>
          <t>Los Angeles, CA</t>
        </is>
      </c>
      <c r="Q229" s="25" t="inlineStr">
        <is>
          <t>www.trywhistle.com</t>
        </is>
      </c>
      <c r="R229" s="113">
        <f>HYPERLINK("https://my.pitchbook.com?c=167441-59", "View company online")</f>
      </c>
    </row>
    <row r="230">
      <c r="A230" s="27" t="inlineStr">
        <is>
          <t>118050-49</t>
        </is>
      </c>
      <c r="B230" s="28" t="inlineStr">
        <is>
          <t>Whil</t>
        </is>
      </c>
      <c r="C230" s="29" t="n">
        <v>0.3966104008194158</v>
      </c>
      <c r="D230" s="30" t="n">
        <v>13.516254911612318</v>
      </c>
      <c r="E230" s="31" t="inlineStr">
        <is>
          <t/>
        </is>
      </c>
      <c r="F230" s="32" t="n">
        <v>255.0</v>
      </c>
      <c r="G230" s="33" t="n">
        <v>28887.0</v>
      </c>
      <c r="H230" s="34" t="n">
        <v>1535.0</v>
      </c>
      <c r="I230" s="35" t="inlineStr">
        <is>
          <t/>
        </is>
      </c>
      <c r="J230" s="36" t="n">
        <v>15.0</v>
      </c>
      <c r="K230" s="37" t="inlineStr">
        <is>
          <t>Education and Training Services (B2B)</t>
        </is>
      </c>
      <c r="L230" s="38" t="inlineStr">
        <is>
          <t>Developer of digital training platform designed to help employees reduce stress, increase resiliency and improve performance. The company's digital training platform provides wellness, health and mindfulness training programs to help employees accomplish their most important health, performance, relationship and sleep goals, enabling companies reduce employee stress and improve business outcomes.</t>
        </is>
      </c>
      <c r="M230" s="39" t="inlineStr">
        <is>
          <t>Plug and Play Tech Center</t>
        </is>
      </c>
      <c r="N230" s="40" t="inlineStr">
        <is>
          <t>Accelerator/Incubator Backed</t>
        </is>
      </c>
      <c r="O230" s="41" t="inlineStr">
        <is>
          <t>Privately Held (backing)</t>
        </is>
      </c>
      <c r="P230" s="42" t="inlineStr">
        <is>
          <t>San Francisco, CA</t>
        </is>
      </c>
      <c r="Q230" s="43" t="inlineStr">
        <is>
          <t>www.whil.com</t>
        </is>
      </c>
      <c r="R230" s="114">
        <f>HYPERLINK("https://my.pitchbook.com?c=118050-49", "View company online")</f>
      </c>
    </row>
    <row r="231">
      <c r="A231" s="9" t="inlineStr">
        <is>
          <t>122411-17</t>
        </is>
      </c>
      <c r="B231" s="10" t="inlineStr">
        <is>
          <t>WhereWithWho</t>
        </is>
      </c>
      <c r="C231" s="11" t="n">
        <v>-0.059663209546113524</v>
      </c>
      <c r="D231" s="12" t="n">
        <v>0.17391968239425867</v>
      </c>
      <c r="E231" s="13" t="inlineStr">
        <is>
          <t/>
        </is>
      </c>
      <c r="F231" s="14" t="n">
        <v>2.0</v>
      </c>
      <c r="G231" s="15" t="inlineStr">
        <is>
          <t/>
        </is>
      </c>
      <c r="H231" s="16" t="n">
        <v>104.0</v>
      </c>
      <c r="I231" s="17" t="inlineStr">
        <is>
          <t/>
        </is>
      </c>
      <c r="J231" s="18" t="inlineStr">
        <is>
          <t/>
        </is>
      </c>
      <c r="K231" s="19" t="inlineStr">
        <is>
          <t>Application Software</t>
        </is>
      </c>
      <c r="L231" s="20" t="inlineStr">
        <is>
          <t>Developer of a social polling application. The company engages in polling between friends as to the place they prefer to visit and also the company.</t>
        </is>
      </c>
      <c r="M231" s="21" t="inlineStr">
        <is>
          <t>Howard Marks</t>
        </is>
      </c>
      <c r="N231" s="22" t="inlineStr">
        <is>
          <t>Angel-Backed</t>
        </is>
      </c>
      <c r="O231" s="23" t="inlineStr">
        <is>
          <t>Privately Held (backing)</t>
        </is>
      </c>
      <c r="P231" s="24" t="inlineStr">
        <is>
          <t>Santa Monica, CA</t>
        </is>
      </c>
      <c r="Q231" s="25" t="inlineStr">
        <is>
          <t>www.wherewithwhoapp.com</t>
        </is>
      </c>
      <c r="R231" s="113">
        <f>HYPERLINK("https://my.pitchbook.com?c=122411-17", "View company online")</f>
      </c>
    </row>
    <row r="232">
      <c r="A232" s="27" t="inlineStr">
        <is>
          <t>104797-63</t>
        </is>
      </c>
      <c r="B232" s="28" t="inlineStr">
        <is>
          <t>When You Wish</t>
        </is>
      </c>
      <c r="C232" s="29" t="n">
        <v>0.22510845876190588</v>
      </c>
      <c r="D232" s="30" t="n">
        <v>2.7140021377309513</v>
      </c>
      <c r="E232" s="31" t="inlineStr">
        <is>
          <t/>
        </is>
      </c>
      <c r="F232" s="32" t="n">
        <v>163.0</v>
      </c>
      <c r="G232" s="33" t="inlineStr">
        <is>
          <t/>
        </is>
      </c>
      <c r="H232" s="34" t="n">
        <v>361.0</v>
      </c>
      <c r="I232" s="35" t="inlineStr">
        <is>
          <t/>
        </is>
      </c>
      <c r="J232" s="36" t="n">
        <v>1.5</v>
      </c>
      <c r="K232" s="37" t="inlineStr">
        <is>
          <t>Social/Platform Software</t>
        </is>
      </c>
      <c r="L232" s="38" t="inlineStr">
        <is>
          <t>Provider of online fund raising platform. The company provides a platform to raise donation where the customers run a campaign drive for their cause.</t>
        </is>
      </c>
      <c r="M232" s="39" t="inlineStr">
        <is>
          <t>John Mackey, Zelda Marzec</t>
        </is>
      </c>
      <c r="N232" s="40" t="inlineStr">
        <is>
          <t>Angel-Backed</t>
        </is>
      </c>
      <c r="O232" s="41" t="inlineStr">
        <is>
          <t>Privately Held (backing)</t>
        </is>
      </c>
      <c r="P232" s="42" t="inlineStr">
        <is>
          <t>Marina del Rey, CA</t>
        </is>
      </c>
      <c r="Q232" s="43" t="inlineStr">
        <is>
          <t>www.whenyouwish.com</t>
        </is>
      </c>
      <c r="R232" s="114">
        <f>HYPERLINK("https://my.pitchbook.com?c=104797-63", "View company online")</f>
      </c>
    </row>
    <row r="233">
      <c r="A233" s="9" t="inlineStr">
        <is>
          <t>104274-73</t>
        </is>
      </c>
      <c r="B233" s="10" t="inlineStr">
        <is>
          <t>WhatsOpen</t>
        </is>
      </c>
      <c r="C233" s="11" t="n">
        <v>0.0</v>
      </c>
      <c r="D233" s="12" t="n">
        <v>0.8918918918918919</v>
      </c>
      <c r="E233" s="13" t="inlineStr">
        <is>
          <t/>
        </is>
      </c>
      <c r="F233" s="14" t="n">
        <v>33.0</v>
      </c>
      <c r="G233" s="15" t="inlineStr">
        <is>
          <t/>
        </is>
      </c>
      <c r="H233" s="16" t="inlineStr">
        <is>
          <t/>
        </is>
      </c>
      <c r="I233" s="17" t="inlineStr">
        <is>
          <t/>
        </is>
      </c>
      <c r="J233" s="18" t="n">
        <v>0.1</v>
      </c>
      <c r="K233" s="19" t="inlineStr">
        <is>
          <t>Information Services (B2C)</t>
        </is>
      </c>
      <c r="L233" s="20" t="inlineStr">
        <is>
          <t>Developer of a search engine platform. The company's software enables users and individuals to look up what, when which stores are open.</t>
        </is>
      </c>
      <c r="M233" s="21" t="inlineStr">
        <is>
          <t>Ambistia Ventures</t>
        </is>
      </c>
      <c r="N233" s="22" t="inlineStr">
        <is>
          <t>Accelerator/Incubator Backed</t>
        </is>
      </c>
      <c r="O233" s="23" t="inlineStr">
        <is>
          <t>Privately Held (backing)</t>
        </is>
      </c>
      <c r="P233" s="24" t="inlineStr">
        <is>
          <t>Lucerne Valley, CA</t>
        </is>
      </c>
      <c r="Q233" s="25" t="inlineStr">
        <is>
          <t>www.whatsopen.com</t>
        </is>
      </c>
      <c r="R233" s="113">
        <f>HYPERLINK("https://my.pitchbook.com?c=104274-73", "View company online")</f>
      </c>
    </row>
    <row r="234">
      <c r="A234" s="27" t="inlineStr">
        <is>
          <t>173981-26</t>
        </is>
      </c>
      <c r="B234" s="28" t="inlineStr">
        <is>
          <t>WhatsCrackin</t>
        </is>
      </c>
      <c r="C234" s="86">
        <f>HYPERLINK("https://my.pitchbook.com?rrp=173981-26&amp;type=c", "This Company's information is not available to download. Need this Company? Request availability")</f>
      </c>
      <c r="D234" s="30" t="inlineStr">
        <is>
          <t/>
        </is>
      </c>
      <c r="E234" s="31" t="inlineStr">
        <is>
          <t/>
        </is>
      </c>
      <c r="F234" s="32" t="inlineStr">
        <is>
          <t/>
        </is>
      </c>
      <c r="G234" s="33" t="inlineStr">
        <is>
          <t/>
        </is>
      </c>
      <c r="H234" s="34" t="inlineStr">
        <is>
          <t/>
        </is>
      </c>
      <c r="I234" s="35" t="inlineStr">
        <is>
          <t/>
        </is>
      </c>
      <c r="J234" s="36" t="inlineStr">
        <is>
          <t/>
        </is>
      </c>
      <c r="K234" s="37" t="inlineStr">
        <is>
          <t/>
        </is>
      </c>
      <c r="L234" s="38" t="inlineStr">
        <is>
          <t/>
        </is>
      </c>
      <c r="M234" s="39" t="inlineStr">
        <is>
          <t/>
        </is>
      </c>
      <c r="N234" s="40" t="inlineStr">
        <is>
          <t/>
        </is>
      </c>
      <c r="O234" s="41" t="inlineStr">
        <is>
          <t/>
        </is>
      </c>
      <c r="P234" s="42" t="inlineStr">
        <is>
          <t/>
        </is>
      </c>
      <c r="Q234" s="43" t="inlineStr">
        <is>
          <t/>
        </is>
      </c>
      <c r="R234" s="44" t="inlineStr">
        <is>
          <t/>
        </is>
      </c>
    </row>
    <row r="235">
      <c r="A235" s="9" t="inlineStr">
        <is>
          <t>111300-22</t>
        </is>
      </c>
      <c r="B235" s="10" t="inlineStr">
        <is>
          <t>What's Up Moms</t>
        </is>
      </c>
      <c r="C235" s="11" t="n">
        <v>5.431757595822763</v>
      </c>
      <c r="D235" s="12" t="n">
        <v>151.5947831160985</v>
      </c>
      <c r="E235" s="13" t="inlineStr">
        <is>
          <t/>
        </is>
      </c>
      <c r="F235" s="14" t="n">
        <v>519.0</v>
      </c>
      <c r="G235" s="15" t="n">
        <v>423957.0</v>
      </c>
      <c r="H235" s="16" t="n">
        <v>14884.0</v>
      </c>
      <c r="I235" s="17" t="inlineStr">
        <is>
          <t/>
        </is>
      </c>
      <c r="J235" s="18" t="n">
        <v>0.6</v>
      </c>
      <c r="K235" s="19" t="inlineStr">
        <is>
          <t>Information Services (B2C)</t>
        </is>
      </c>
      <c r="L235" s="20" t="inlineStr">
        <is>
          <t>Operator of an online platform which provides videos on parenting tips. The company provides videos that inspire parenting as well as gives valuable tips for babies, toddlers and kids.</t>
        </is>
      </c>
      <c r="M235" s="21" t="inlineStr">
        <is>
          <t/>
        </is>
      </c>
      <c r="N235" s="22" t="inlineStr">
        <is>
          <t>Angel-Backed</t>
        </is>
      </c>
      <c r="O235" s="23" t="inlineStr">
        <is>
          <t>Privately Held (backing)</t>
        </is>
      </c>
      <c r="P235" s="24" t="inlineStr">
        <is>
          <t>Los Angeles, CA</t>
        </is>
      </c>
      <c r="Q235" s="25" t="inlineStr">
        <is>
          <t>www.whatsupmoms.com</t>
        </is>
      </c>
      <c r="R235" s="113">
        <f>HYPERLINK("https://my.pitchbook.com?c=111300-22", "View company online")</f>
      </c>
    </row>
    <row r="236">
      <c r="A236" s="27" t="inlineStr">
        <is>
          <t>99749-62</t>
        </is>
      </c>
      <c r="B236" s="28" t="inlineStr">
        <is>
          <t>What Say You</t>
        </is>
      </c>
      <c r="C236" s="29" t="n">
        <v>0.0</v>
      </c>
      <c r="D236" s="30" t="n">
        <v>0.05405405405405406</v>
      </c>
      <c r="E236" s="31" t="inlineStr">
        <is>
          <t/>
        </is>
      </c>
      <c r="F236" s="32" t="n">
        <v>2.0</v>
      </c>
      <c r="G236" s="33" t="inlineStr">
        <is>
          <t/>
        </is>
      </c>
      <c r="H236" s="34" t="inlineStr">
        <is>
          <t/>
        </is>
      </c>
      <c r="I236" s="35" t="inlineStr">
        <is>
          <t/>
        </is>
      </c>
      <c r="J236" s="36" t="inlineStr">
        <is>
          <t/>
        </is>
      </c>
      <c r="K236" s="37" t="inlineStr">
        <is>
          <t>Social/Platform Software</t>
        </is>
      </c>
      <c r="L236" s="38" t="inlineStr">
        <is>
          <t>Provider of a social communication platform. The company provides a web-based platform for social communication that enables the users to ask questions and receive answers from the online community.</t>
        </is>
      </c>
      <c r="M236" s="39" t="inlineStr">
        <is>
          <t>EvoNexus</t>
        </is>
      </c>
      <c r="N236" s="40" t="inlineStr">
        <is>
          <t>Accelerator/Incubator Backed</t>
        </is>
      </c>
      <c r="O236" s="41" t="inlineStr">
        <is>
          <t>Privately Held (backing)</t>
        </is>
      </c>
      <c r="P236" s="42" t="inlineStr">
        <is>
          <t>San Diego, CA</t>
        </is>
      </c>
      <c r="Q236" s="43" t="inlineStr">
        <is>
          <t>www.whatsayyou.com</t>
        </is>
      </c>
      <c r="R236" s="114">
        <f>HYPERLINK("https://my.pitchbook.com?c=99749-62", "View company online")</f>
      </c>
    </row>
    <row r="237">
      <c r="A237" s="9" t="inlineStr">
        <is>
          <t>113823-01</t>
        </is>
      </c>
      <c r="B237" s="10" t="inlineStr">
        <is>
          <t>WhaleAlerts</t>
        </is>
      </c>
      <c r="C237" s="85">
        <f>HYPERLINK("https://my.pitchbook.com?rrp=113823-01&amp;type=c", "This Company's information is not available to download. Need this Company? Request availability")</f>
      </c>
      <c r="D237" s="12" t="inlineStr">
        <is>
          <t/>
        </is>
      </c>
      <c r="E237" s="13" t="inlineStr">
        <is>
          <t/>
        </is>
      </c>
      <c r="F237" s="14" t="inlineStr">
        <is>
          <t/>
        </is>
      </c>
      <c r="G237" s="15" t="inlineStr">
        <is>
          <t/>
        </is>
      </c>
      <c r="H237" s="16" t="inlineStr">
        <is>
          <t/>
        </is>
      </c>
      <c r="I237" s="17" t="inlineStr">
        <is>
          <t/>
        </is>
      </c>
      <c r="J237" s="18" t="inlineStr">
        <is>
          <t/>
        </is>
      </c>
      <c r="K237" s="19" t="inlineStr">
        <is>
          <t/>
        </is>
      </c>
      <c r="L237" s="20" t="inlineStr">
        <is>
          <t/>
        </is>
      </c>
      <c r="M237" s="21" t="inlineStr">
        <is>
          <t/>
        </is>
      </c>
      <c r="N237" s="22" t="inlineStr">
        <is>
          <t/>
        </is>
      </c>
      <c r="O237" s="23" t="inlineStr">
        <is>
          <t/>
        </is>
      </c>
      <c r="P237" s="24" t="inlineStr">
        <is>
          <t/>
        </is>
      </c>
      <c r="Q237" s="25" t="inlineStr">
        <is>
          <t/>
        </is>
      </c>
      <c r="R237" s="26" t="inlineStr">
        <is>
          <t/>
        </is>
      </c>
    </row>
    <row r="238">
      <c r="A238" s="27" t="inlineStr">
        <is>
          <t>172949-23</t>
        </is>
      </c>
      <c r="B238" s="28" t="inlineStr">
        <is>
          <t>WeTrust</t>
        </is>
      </c>
      <c r="C238" s="29" t="n">
        <v>4.0138811338897815</v>
      </c>
      <c r="D238" s="30" t="n">
        <v>6.119293235229123</v>
      </c>
      <c r="E238" s="31" t="inlineStr">
        <is>
          <t/>
        </is>
      </c>
      <c r="F238" s="32" t="n">
        <v>161.0</v>
      </c>
      <c r="G238" s="33" t="n">
        <v>1975.0</v>
      </c>
      <c r="H238" s="34" t="n">
        <v>4609.0</v>
      </c>
      <c r="I238" s="35" t="inlineStr">
        <is>
          <t/>
        </is>
      </c>
      <c r="J238" s="36" t="inlineStr">
        <is>
          <t/>
        </is>
      </c>
      <c r="K238" s="37" t="inlineStr">
        <is>
          <t>Financial Software</t>
        </is>
      </c>
      <c r="L238" s="38" t="inlineStr">
        <is>
          <t>Provider of lending and insurance platform intended to improve access to market priced capital. The company's platform ROSCA uses blockchain technology that permits users to save and issue credit as a group, at self-determined and fair interest rates, enabling them to get access to market capital and help them in financial inclusion.</t>
        </is>
      </c>
      <c r="M238" s="39" t="inlineStr">
        <is>
          <t/>
        </is>
      </c>
      <c r="N238" s="40" t="inlineStr">
        <is>
          <t>Angel-Backed</t>
        </is>
      </c>
      <c r="O238" s="41" t="inlineStr">
        <is>
          <t>Privately Held (backing)</t>
        </is>
      </c>
      <c r="P238" s="42" t="inlineStr">
        <is>
          <t>Fremont, CA</t>
        </is>
      </c>
      <c r="Q238" s="43" t="inlineStr">
        <is>
          <t>www.wetrust.io</t>
        </is>
      </c>
      <c r="R238" s="114">
        <f>HYPERLINK("https://my.pitchbook.com?c=172949-23", "View company online")</f>
      </c>
    </row>
    <row r="239">
      <c r="A239" s="9" t="inlineStr">
        <is>
          <t>61381-27</t>
        </is>
      </c>
      <c r="B239" s="10" t="inlineStr">
        <is>
          <t>Westward Leaning</t>
        </is>
      </c>
      <c r="C239" s="11" t="n">
        <v>-0.0019474498555692374</v>
      </c>
      <c r="D239" s="12" t="n">
        <v>11.580950650092138</v>
      </c>
      <c r="E239" s="13" t="inlineStr">
        <is>
          <t/>
        </is>
      </c>
      <c r="F239" s="14" t="n">
        <v>171.0</v>
      </c>
      <c r="G239" s="15" t="n">
        <v>25766.0</v>
      </c>
      <c r="H239" s="16" t="n">
        <v>1794.0</v>
      </c>
      <c r="I239" s="17" t="n">
        <v>15.0</v>
      </c>
      <c r="J239" s="18" t="n">
        <v>5.14</v>
      </c>
      <c r="K239" s="19" t="inlineStr">
        <is>
          <t>Internet Retail</t>
        </is>
      </c>
      <c r="L239" s="20" t="inlineStr">
        <is>
          <t>Provider of an online platform for sunglasses. The company provides sunglasses that celebrate human achievement by integrating materials specific to a past or present human triumph.</t>
        </is>
      </c>
      <c r="M239" s="21" t="inlineStr">
        <is>
          <t>Finn Capital Partners, Ivan Brockman, Michael Tedesco, Patrick Finn</t>
        </is>
      </c>
      <c r="N239" s="22" t="inlineStr">
        <is>
          <t>Angel-Backed</t>
        </is>
      </c>
      <c r="O239" s="23" t="inlineStr">
        <is>
          <t>Privately Held (backing)</t>
        </is>
      </c>
      <c r="P239" s="24" t="inlineStr">
        <is>
          <t>San Francisco, CA</t>
        </is>
      </c>
      <c r="Q239" s="25" t="inlineStr">
        <is>
          <t>www.westwardleaning.com</t>
        </is>
      </c>
      <c r="R239" s="113">
        <f>HYPERLINK("https://my.pitchbook.com?c=61381-27", "View company online")</f>
      </c>
    </row>
    <row r="240">
      <c r="A240" s="27" t="inlineStr">
        <is>
          <t>92407-51</t>
        </is>
      </c>
      <c r="B240" s="28" t="inlineStr">
        <is>
          <t>West Shore Technologies</t>
        </is>
      </c>
      <c r="C240" s="29" t="n">
        <v>0.014015018624848398</v>
      </c>
      <c r="D240" s="30" t="n">
        <v>3.6666021032085885</v>
      </c>
      <c r="E240" s="31" t="inlineStr">
        <is>
          <t/>
        </is>
      </c>
      <c r="F240" s="32" t="n">
        <v>49.0</v>
      </c>
      <c r="G240" s="33" t="n">
        <v>1099.0</v>
      </c>
      <c r="H240" s="34" t="n">
        <v>3768.0</v>
      </c>
      <c r="I240" s="35" t="n">
        <v>22.0</v>
      </c>
      <c r="J240" s="36" t="n">
        <v>2.35</v>
      </c>
      <c r="K240" s="37" t="inlineStr">
        <is>
          <t>Information Services (B2C)</t>
        </is>
      </c>
      <c r="L240" s="38" t="inlineStr">
        <is>
          <t>Developer and provider of mobile application for coaching data and player assessment. The comapny develops an application which allows the coaches to perform player assessments as well as gather and distribute information on their players and recruits across coaching and scouting activities.</t>
        </is>
      </c>
      <c r="M240" s="39" t="inlineStr">
        <is>
          <t>Mac Hofeditz</t>
        </is>
      </c>
      <c r="N240" s="40" t="inlineStr">
        <is>
          <t>Angel-Backed</t>
        </is>
      </c>
      <c r="O240" s="41" t="inlineStr">
        <is>
          <t>Privately Held (backing)</t>
        </is>
      </c>
      <c r="P240" s="42" t="inlineStr">
        <is>
          <t>Sausalito, CA</t>
        </is>
      </c>
      <c r="Q240" s="43" t="inlineStr">
        <is>
          <t>www.sportsboard-win.com</t>
        </is>
      </c>
      <c r="R240" s="114">
        <f>HYPERLINK("https://my.pitchbook.com?c=92407-51", "View company online")</f>
      </c>
    </row>
    <row r="241">
      <c r="A241" s="9" t="inlineStr">
        <is>
          <t>172569-61</t>
        </is>
      </c>
      <c r="B241" s="10" t="inlineStr">
        <is>
          <t>West Bio Services</t>
        </is>
      </c>
      <c r="C241" s="85">
        <f>HYPERLINK("https://my.pitchbook.com?rrp=172569-61&amp;type=c", "This Company's information is not available to download. Need this Company? Request availability")</f>
      </c>
      <c r="D241" s="12" t="inlineStr">
        <is>
          <t/>
        </is>
      </c>
      <c r="E241" s="13" t="inlineStr">
        <is>
          <t/>
        </is>
      </c>
      <c r="F241" s="14" t="inlineStr">
        <is>
          <t/>
        </is>
      </c>
      <c r="G241" s="15" t="inlineStr">
        <is>
          <t/>
        </is>
      </c>
      <c r="H241" s="16" t="inlineStr">
        <is>
          <t/>
        </is>
      </c>
      <c r="I241" s="17" t="inlineStr">
        <is>
          <t/>
        </is>
      </c>
      <c r="J241" s="18" t="inlineStr">
        <is>
          <t/>
        </is>
      </c>
      <c r="K241" s="19" t="inlineStr">
        <is>
          <t/>
        </is>
      </c>
      <c r="L241" s="20" t="inlineStr">
        <is>
          <t/>
        </is>
      </c>
      <c r="M241" s="21" t="inlineStr">
        <is>
          <t/>
        </is>
      </c>
      <c r="N241" s="22" t="inlineStr">
        <is>
          <t/>
        </is>
      </c>
      <c r="O241" s="23" t="inlineStr">
        <is>
          <t/>
        </is>
      </c>
      <c r="P241" s="24" t="inlineStr">
        <is>
          <t/>
        </is>
      </c>
      <c r="Q241" s="25" t="inlineStr">
        <is>
          <t/>
        </is>
      </c>
      <c r="R241" s="26" t="inlineStr">
        <is>
          <t/>
        </is>
      </c>
    </row>
    <row r="242">
      <c r="A242" s="27" t="inlineStr">
        <is>
          <t>178703-56</t>
        </is>
      </c>
      <c r="B242" s="28" t="inlineStr">
        <is>
          <t>WeRecover</t>
        </is>
      </c>
      <c r="C242" s="86">
        <f>HYPERLINK("https://my.pitchbook.com?rrp=178703-56&amp;type=c", "This Company's information is not available to download. Need this Company? Request availability")</f>
      </c>
      <c r="D242" s="30" t="inlineStr">
        <is>
          <t/>
        </is>
      </c>
      <c r="E242" s="31" t="inlineStr">
        <is>
          <t/>
        </is>
      </c>
      <c r="F242" s="32" t="inlineStr">
        <is>
          <t/>
        </is>
      </c>
      <c r="G242" s="33" t="inlineStr">
        <is>
          <t/>
        </is>
      </c>
      <c r="H242" s="34" t="inlineStr">
        <is>
          <t/>
        </is>
      </c>
      <c r="I242" s="35" t="inlineStr">
        <is>
          <t/>
        </is>
      </c>
      <c r="J242" s="36" t="inlineStr">
        <is>
          <t/>
        </is>
      </c>
      <c r="K242" s="37" t="inlineStr">
        <is>
          <t/>
        </is>
      </c>
      <c r="L242" s="38" t="inlineStr">
        <is>
          <t/>
        </is>
      </c>
      <c r="M242" s="39" t="inlineStr">
        <is>
          <t/>
        </is>
      </c>
      <c r="N242" s="40" t="inlineStr">
        <is>
          <t/>
        </is>
      </c>
      <c r="O242" s="41" t="inlineStr">
        <is>
          <t/>
        </is>
      </c>
      <c r="P242" s="42" t="inlineStr">
        <is>
          <t/>
        </is>
      </c>
      <c r="Q242" s="43" t="inlineStr">
        <is>
          <t/>
        </is>
      </c>
      <c r="R242" s="44" t="inlineStr">
        <is>
          <t/>
        </is>
      </c>
    </row>
    <row r="243">
      <c r="A243" s="9" t="inlineStr">
        <is>
          <t>103536-91</t>
        </is>
      </c>
      <c r="B243" s="10" t="inlineStr">
        <is>
          <t>Wepower Eco</t>
        </is>
      </c>
      <c r="C243" s="11" t="n">
        <v>0.0</v>
      </c>
      <c r="D243" s="12" t="n">
        <v>0.2972972972972973</v>
      </c>
      <c r="E243" s="13" t="inlineStr">
        <is>
          <t/>
        </is>
      </c>
      <c r="F243" s="14" t="n">
        <v>11.0</v>
      </c>
      <c r="G243" s="15" t="inlineStr">
        <is>
          <t/>
        </is>
      </c>
      <c r="H243" s="16" t="inlineStr">
        <is>
          <t/>
        </is>
      </c>
      <c r="I243" s="17" t="n">
        <v>11.0</v>
      </c>
      <c r="J243" s="18" t="n">
        <v>0.2</v>
      </c>
      <c r="K243" s="19" t="inlineStr">
        <is>
          <t>Alternative Energy Equipment</t>
        </is>
      </c>
      <c r="L243" s="20" t="inlineStr">
        <is>
          <t>Developer of renewable energy systems. The company specializes in developing markets vertical axis wind turbines and solar thermal water heating systems.</t>
        </is>
      </c>
      <c r="M243" s="21" t="inlineStr">
        <is>
          <t/>
        </is>
      </c>
      <c r="N243" s="22" t="inlineStr">
        <is>
          <t>Angel-Backed</t>
        </is>
      </c>
      <c r="O243" s="23" t="inlineStr">
        <is>
          <t>Privately Held (backing)</t>
        </is>
      </c>
      <c r="P243" s="24" t="inlineStr">
        <is>
          <t>Aliso Viejo, CA</t>
        </is>
      </c>
      <c r="Q243" s="25" t="inlineStr">
        <is>
          <t>www.wepowereco.com</t>
        </is>
      </c>
      <c r="R243" s="113">
        <f>HYPERLINK("https://my.pitchbook.com?c=103536-91", "View company online")</f>
      </c>
    </row>
    <row r="244">
      <c r="A244" s="27" t="inlineStr">
        <is>
          <t>172318-60</t>
        </is>
      </c>
      <c r="B244" s="28" t="inlineStr">
        <is>
          <t>Wemersive</t>
        </is>
      </c>
      <c r="C244" s="86">
        <f>HYPERLINK("https://my.pitchbook.com?rrp=172318-60&amp;type=c", "This Company's information is not available to download. Need this Company? Request availability")</f>
      </c>
      <c r="D244" s="30" t="inlineStr">
        <is>
          <t/>
        </is>
      </c>
      <c r="E244" s="31" t="inlineStr">
        <is>
          <t/>
        </is>
      </c>
      <c r="F244" s="32" t="inlineStr">
        <is>
          <t/>
        </is>
      </c>
      <c r="G244" s="33" t="inlineStr">
        <is>
          <t/>
        </is>
      </c>
      <c r="H244" s="34" t="inlineStr">
        <is>
          <t/>
        </is>
      </c>
      <c r="I244" s="35" t="inlineStr">
        <is>
          <t/>
        </is>
      </c>
      <c r="J244" s="36" t="inlineStr">
        <is>
          <t/>
        </is>
      </c>
      <c r="K244" s="37" t="inlineStr">
        <is>
          <t/>
        </is>
      </c>
      <c r="L244" s="38" t="inlineStr">
        <is>
          <t/>
        </is>
      </c>
      <c r="M244" s="39" t="inlineStr">
        <is>
          <t/>
        </is>
      </c>
      <c r="N244" s="40" t="inlineStr">
        <is>
          <t/>
        </is>
      </c>
      <c r="O244" s="41" t="inlineStr">
        <is>
          <t/>
        </is>
      </c>
      <c r="P244" s="42" t="inlineStr">
        <is>
          <t/>
        </is>
      </c>
      <c r="Q244" s="43" t="inlineStr">
        <is>
          <t/>
        </is>
      </c>
      <c r="R244" s="44" t="inlineStr">
        <is>
          <t/>
        </is>
      </c>
    </row>
    <row r="245">
      <c r="A245" s="9" t="inlineStr">
        <is>
          <t>103649-05</t>
        </is>
      </c>
      <c r="B245" s="10" t="inlineStr">
        <is>
          <t>Wembli</t>
        </is>
      </c>
      <c r="C245" s="11" t="n">
        <v>-0.023010842351093554</v>
      </c>
      <c r="D245" s="12" t="n">
        <v>2.8955947472896626</v>
      </c>
      <c r="E245" s="13" t="inlineStr">
        <is>
          <t/>
        </is>
      </c>
      <c r="F245" s="14" t="n">
        <v>16.0</v>
      </c>
      <c r="G245" s="15" t="inlineStr">
        <is>
          <t/>
        </is>
      </c>
      <c r="H245" s="16" t="n">
        <v>1897.0</v>
      </c>
      <c r="I245" s="17" t="n">
        <v>2.0</v>
      </c>
      <c r="J245" s="18" t="inlineStr">
        <is>
          <t/>
        </is>
      </c>
      <c r="K245" s="19" t="inlineStr">
        <is>
          <t>Social/Platform Software</t>
        </is>
      </c>
      <c r="L245" s="20" t="inlineStr">
        <is>
          <t>Developer of a mobile and web platform for planning out outing to concerts, theater and sporting events. The company's platform enables nabbing tickets, parking, restaurants &amp; hotels in one move.</t>
        </is>
      </c>
      <c r="M245" s="21" t="inlineStr">
        <is>
          <t>Founder Institute</t>
        </is>
      </c>
      <c r="N245" s="22" t="inlineStr">
        <is>
          <t>Accelerator/Incubator Backed</t>
        </is>
      </c>
      <c r="O245" s="23" t="inlineStr">
        <is>
          <t>Privately Held (backing)</t>
        </is>
      </c>
      <c r="P245" s="24" t="inlineStr">
        <is>
          <t>San Diego, CA</t>
        </is>
      </c>
      <c r="Q245" s="25" t="inlineStr">
        <is>
          <t>www.wembli.com</t>
        </is>
      </c>
      <c r="R245" s="113">
        <f>HYPERLINK("https://my.pitchbook.com?c=103649-05", "View company online")</f>
      </c>
    </row>
    <row r="246">
      <c r="A246" s="27" t="inlineStr">
        <is>
          <t>110558-35</t>
        </is>
      </c>
      <c r="B246" s="28" t="inlineStr">
        <is>
          <t>Wellspring Biosciences</t>
        </is>
      </c>
      <c r="C246" s="29" t="n">
        <v>0.0</v>
      </c>
      <c r="D246" s="30" t="n">
        <v>0.7297297297297297</v>
      </c>
      <c r="E246" s="31" t="inlineStr">
        <is>
          <t/>
        </is>
      </c>
      <c r="F246" s="32" t="n">
        <v>27.0</v>
      </c>
      <c r="G246" s="33" t="inlineStr">
        <is>
          <t/>
        </is>
      </c>
      <c r="H246" s="34" t="inlineStr">
        <is>
          <t/>
        </is>
      </c>
      <c r="I246" s="35" t="n">
        <v>5.0</v>
      </c>
      <c r="J246" s="36" t="inlineStr">
        <is>
          <t/>
        </is>
      </c>
      <c r="K246" s="37" t="inlineStr">
        <is>
          <t>Drug Discovery</t>
        </is>
      </c>
      <c r="L246" s="38" t="inlineStr">
        <is>
          <t>Provider of a platform designed for the treatment of cancer and other diseases. The company's platform focuses on the discovery and development of small molecule drugs that target signal transduction networks for the treatment of cancer and other diseases.</t>
        </is>
      </c>
      <c r="M246" s="39" t="inlineStr">
        <is>
          <t>JLabs, Karl Handelsman, U.S. Department of Health and Human Services, UCSF Medical Center</t>
        </is>
      </c>
      <c r="N246" s="40" t="inlineStr">
        <is>
          <t>Accelerator/Incubator Backed</t>
        </is>
      </c>
      <c r="O246" s="41" t="inlineStr">
        <is>
          <t>Privately Held (backing)</t>
        </is>
      </c>
      <c r="P246" s="42" t="inlineStr">
        <is>
          <t>San Diego, CA</t>
        </is>
      </c>
      <c r="Q246" s="43" t="inlineStr">
        <is>
          <t>www.wellspringbiosciences.com</t>
        </is>
      </c>
      <c r="R246" s="114">
        <f>HYPERLINK("https://my.pitchbook.com?c=110558-35", "View company online")</f>
      </c>
    </row>
    <row r="247">
      <c r="A247" s="9" t="inlineStr">
        <is>
          <t>54834-58</t>
        </is>
      </c>
      <c r="B247" s="10" t="inlineStr">
        <is>
          <t>WellFX</t>
        </is>
      </c>
      <c r="C247" s="11" t="n">
        <v>-0.013656999328777255</v>
      </c>
      <c r="D247" s="12" t="n">
        <v>0.8388303557795083</v>
      </c>
      <c r="E247" s="13" t="inlineStr">
        <is>
          <t/>
        </is>
      </c>
      <c r="F247" s="14" t="n">
        <v>28.0</v>
      </c>
      <c r="G247" s="15" t="inlineStr">
        <is>
          <t/>
        </is>
      </c>
      <c r="H247" s="16" t="n">
        <v>326.0</v>
      </c>
      <c r="I247" s="17" t="n">
        <v>6.0</v>
      </c>
      <c r="J247" s="18" t="n">
        <v>5.0</v>
      </c>
      <c r="K247" s="19" t="inlineStr">
        <is>
          <t>Other Healthcare Technology Systems</t>
        </is>
      </c>
      <c r="L247" s="20" t="inlineStr">
        <is>
          <t>Provider of a platform which helps the providers to engage patients in their own care. The company offers a platform which enables the providers to provide the patients with information and educational materials and also helps in the creation of patient-to-patient support communities to engage patients in their own care.</t>
        </is>
      </c>
      <c r="M247" s="21" t="inlineStr">
        <is>
          <t>CMT Associates</t>
        </is>
      </c>
      <c r="N247" s="22" t="inlineStr">
        <is>
          <t>Angel-Backed</t>
        </is>
      </c>
      <c r="O247" s="23" t="inlineStr">
        <is>
          <t>Privately Held (backing)</t>
        </is>
      </c>
      <c r="P247" s="24" t="inlineStr">
        <is>
          <t>Petaluma, CA</t>
        </is>
      </c>
      <c r="Q247" s="25" t="inlineStr">
        <is>
          <t>www.well-fx.com</t>
        </is>
      </c>
      <c r="R247" s="113">
        <f>HYPERLINK("https://my.pitchbook.com?c=54834-58", "View company online")</f>
      </c>
    </row>
    <row r="248">
      <c r="A248" s="27" t="inlineStr">
        <is>
          <t>122206-51</t>
        </is>
      </c>
      <c r="B248" s="28" t="inlineStr">
        <is>
          <t>Wellcare Partners</t>
        </is>
      </c>
      <c r="C248" s="29" t="inlineStr">
        <is>
          <t/>
        </is>
      </c>
      <c r="D248" s="30" t="inlineStr">
        <is>
          <t/>
        </is>
      </c>
      <c r="E248" s="31" t="inlineStr">
        <is>
          <t/>
        </is>
      </c>
      <c r="F248" s="32" t="inlineStr">
        <is>
          <t/>
        </is>
      </c>
      <c r="G248" s="33" t="inlineStr">
        <is>
          <t/>
        </is>
      </c>
      <c r="H248" s="34" t="inlineStr">
        <is>
          <t/>
        </is>
      </c>
      <c r="I248" s="35" t="inlineStr">
        <is>
          <t/>
        </is>
      </c>
      <c r="J248" s="36" t="n">
        <v>0.18</v>
      </c>
      <c r="K248" s="37" t="inlineStr">
        <is>
          <t>Other Business Products and Services</t>
        </is>
      </c>
      <c r="L248" s="38" t="inlineStr">
        <is>
          <t>The company is currently operating in Stealth mode.</t>
        </is>
      </c>
      <c r="M248" s="39" t="inlineStr">
        <is>
          <t/>
        </is>
      </c>
      <c r="N248" s="40" t="inlineStr">
        <is>
          <t>Angel-Backed</t>
        </is>
      </c>
      <c r="O248" s="41" t="inlineStr">
        <is>
          <t>Privately Held (backing)</t>
        </is>
      </c>
      <c r="P248" s="42" t="inlineStr">
        <is>
          <t>Manhattan Beach, CA</t>
        </is>
      </c>
      <c r="Q248" s="43" t="inlineStr">
        <is>
          <t/>
        </is>
      </c>
      <c r="R248" s="114">
        <f>HYPERLINK("https://my.pitchbook.com?c=122206-51", "View company online")</f>
      </c>
    </row>
    <row r="249">
      <c r="A249" s="9" t="inlineStr">
        <is>
          <t>154969-66</t>
        </is>
      </c>
      <c r="B249" s="10" t="inlineStr">
        <is>
          <t>WellBrain</t>
        </is>
      </c>
      <c r="C249" s="11" t="n">
        <v>0.0</v>
      </c>
      <c r="D249" s="12" t="n">
        <v>0.030333017510615155</v>
      </c>
      <c r="E249" s="13" t="inlineStr">
        <is>
          <t/>
        </is>
      </c>
      <c r="F249" s="14" t="inlineStr">
        <is>
          <t/>
        </is>
      </c>
      <c r="G249" s="15" t="n">
        <v>17.0</v>
      </c>
      <c r="H249" s="16" t="n">
        <v>14.0</v>
      </c>
      <c r="I249" s="17" t="inlineStr">
        <is>
          <t/>
        </is>
      </c>
      <c r="J249" s="18" t="n">
        <v>1.15</v>
      </c>
      <c r="K249" s="19" t="inlineStr">
        <is>
          <t>Other Healthcare Technology Systems</t>
        </is>
      </c>
      <c r="L249" s="20" t="inlineStr">
        <is>
          <t>Provider of real-time assessment and treatment tool. The company offers evidence-based treatment to patients with chronic pain, depression, anxiety, substance abuse, and other mental health disorders.</t>
        </is>
      </c>
      <c r="M249" s="21" t="inlineStr">
        <is>
          <t>Launchpad Digital Health</t>
        </is>
      </c>
      <c r="N249" s="22" t="inlineStr">
        <is>
          <t>Accelerator/Incubator Backed</t>
        </is>
      </c>
      <c r="O249" s="23" t="inlineStr">
        <is>
          <t>Privately Held (backing)</t>
        </is>
      </c>
      <c r="P249" s="24" t="inlineStr">
        <is>
          <t>Pleasant Hill, CA</t>
        </is>
      </c>
      <c r="Q249" s="25" t="inlineStr">
        <is>
          <t>www.wellbrain.io</t>
        </is>
      </c>
      <c r="R249" s="113">
        <f>HYPERLINK("https://my.pitchbook.com?c=154969-66", "View company online")</f>
      </c>
    </row>
    <row r="250">
      <c r="A250" s="27" t="inlineStr">
        <is>
          <t>54892-54</t>
        </is>
      </c>
      <c r="B250" s="28" t="inlineStr">
        <is>
          <t>WeLink</t>
        </is>
      </c>
      <c r="C250" s="29" t="n">
        <v>0.032722843830863844</v>
      </c>
      <c r="D250" s="30" t="n">
        <v>0.743194992550188</v>
      </c>
      <c r="E250" s="31" t="inlineStr">
        <is>
          <t/>
        </is>
      </c>
      <c r="F250" s="32" t="n">
        <v>18.0</v>
      </c>
      <c r="G250" s="33" t="n">
        <v>274.0</v>
      </c>
      <c r="H250" s="34" t="n">
        <v>587.0</v>
      </c>
      <c r="I250" s="35" t="n">
        <v>11.0</v>
      </c>
      <c r="J250" s="36" t="n">
        <v>0.05</v>
      </c>
      <c r="K250" s="37" t="inlineStr">
        <is>
          <t>Application Software</t>
        </is>
      </c>
      <c r="L250" s="38" t="inlineStr">
        <is>
          <t>Provider of a location tracking platform. The company offers geographical location based platform which helps users to track and monitor their location.</t>
        </is>
      </c>
      <c r="M250" s="39" t="inlineStr">
        <is>
          <t>Alchemist Accelerator, Rising Tide Fund, StartEngine.com</t>
        </is>
      </c>
      <c r="N250" s="40" t="inlineStr">
        <is>
          <t>Accelerator/Incubator Backed</t>
        </is>
      </c>
      <c r="O250" s="41" t="inlineStr">
        <is>
          <t>Privately Held (backing)</t>
        </is>
      </c>
      <c r="P250" s="42" t="inlineStr">
        <is>
          <t>San Jose, CA</t>
        </is>
      </c>
      <c r="Q250" s="43" t="inlineStr">
        <is>
          <t>www.welink.com</t>
        </is>
      </c>
      <c r="R250" s="114">
        <f>HYPERLINK("https://my.pitchbook.com?c=54892-54", "View company online")</f>
      </c>
    </row>
    <row r="251">
      <c r="A251" s="9" t="inlineStr">
        <is>
          <t>166962-61</t>
        </is>
      </c>
      <c r="B251" s="10" t="inlineStr">
        <is>
          <t>WeFuel</t>
        </is>
      </c>
      <c r="C251" s="11" t="n">
        <v>0.0718678423371904</v>
      </c>
      <c r="D251" s="12" t="n">
        <v>1.335648275920936</v>
      </c>
      <c r="E251" s="13" t="inlineStr">
        <is>
          <t/>
        </is>
      </c>
      <c r="F251" s="14" t="n">
        <v>88.0</v>
      </c>
      <c r="G251" s="15" t="n">
        <v>278.0</v>
      </c>
      <c r="H251" s="16" t="n">
        <v>66.0</v>
      </c>
      <c r="I251" s="17" t="inlineStr">
        <is>
          <t/>
        </is>
      </c>
      <c r="J251" s="18" t="inlineStr">
        <is>
          <t/>
        </is>
      </c>
      <c r="K251" s="19" t="inlineStr">
        <is>
          <t>Other Services (B2C Non-Financial)</t>
        </is>
      </c>
      <c r="L251" s="20" t="inlineStr">
        <is>
          <t>Provider of an application for on-demand fuel delivery. The company develops a mobile application for on-demand gasoline service and also helps users to re-fuel gas into their vehicles anywhere and anytime.</t>
        </is>
      </c>
      <c r="M251" s="21" t="inlineStr">
        <is>
          <t>StartX</t>
        </is>
      </c>
      <c r="N251" s="22" t="inlineStr">
        <is>
          <t>Accelerator/Incubator Backed</t>
        </is>
      </c>
      <c r="O251" s="23" t="inlineStr">
        <is>
          <t>Privately Held (backing)</t>
        </is>
      </c>
      <c r="P251" s="24" t="inlineStr">
        <is>
          <t>San Jose, CA</t>
        </is>
      </c>
      <c r="Q251" s="25" t="inlineStr">
        <is>
          <t>www.wefuel.com</t>
        </is>
      </c>
      <c r="R251" s="113">
        <f>HYPERLINK("https://my.pitchbook.com?c=166962-61", "View company online")</f>
      </c>
    </row>
    <row r="252">
      <c r="A252" s="27" t="inlineStr">
        <is>
          <t>102717-55</t>
        </is>
      </c>
      <c r="B252" s="28" t="inlineStr">
        <is>
          <t>weeSPIN</t>
        </is>
      </c>
      <c r="C252" s="29" t="n">
        <v>-0.04252917362996217</v>
      </c>
      <c r="D252" s="30" t="n">
        <v>2.4434171117111423</v>
      </c>
      <c r="E252" s="31" t="inlineStr">
        <is>
          <t/>
        </is>
      </c>
      <c r="F252" s="32" t="n">
        <v>31.0</v>
      </c>
      <c r="G252" s="33" t="n">
        <v>2860.0</v>
      </c>
      <c r="H252" s="34" t="n">
        <v>1610.0</v>
      </c>
      <c r="I252" s="35" t="n">
        <v>6.0</v>
      </c>
      <c r="J252" s="36" t="n">
        <v>0.2</v>
      </c>
      <c r="K252" s="37" t="inlineStr">
        <is>
          <t>Entertainment Software</t>
        </is>
      </c>
      <c r="L252" s="38" t="inlineStr">
        <is>
          <t>Developer of a musically driven social networking application designed to bridge the gap between Soundcloud, Spotify and social media to foster a community connected by music. The company's social networking application allows users to compile song playlists using Spotify or Soundcloud, add pictures, share them and meet people who are like minded, enabling artists and creators to broadcast live music content and engage with fans through real-time video and chat.</t>
        </is>
      </c>
      <c r="M252" s="39" t="inlineStr">
        <is>
          <t>Individual Investor, Lawrence Chu</t>
        </is>
      </c>
      <c r="N252" s="40" t="inlineStr">
        <is>
          <t>Angel-Backed</t>
        </is>
      </c>
      <c r="O252" s="41" t="inlineStr">
        <is>
          <t>Privately Held (backing)</t>
        </is>
      </c>
      <c r="P252" s="42" t="inlineStr">
        <is>
          <t>Santa Monica, CA</t>
        </is>
      </c>
      <c r="Q252" s="43" t="inlineStr">
        <is>
          <t>www.weespin.com</t>
        </is>
      </c>
      <c r="R252" s="114">
        <f>HYPERLINK("https://my.pitchbook.com?c=102717-55", "View company online")</f>
      </c>
    </row>
    <row r="253">
      <c r="A253" s="9" t="inlineStr">
        <is>
          <t>103720-96</t>
        </is>
      </c>
      <c r="B253" s="10" t="inlineStr">
        <is>
          <t>WeedWall</t>
        </is>
      </c>
      <c r="C253" s="11" t="n">
        <v>-0.0025973317054402666</v>
      </c>
      <c r="D253" s="12" t="n">
        <v>6.8306171394049064</v>
      </c>
      <c r="E253" s="13" t="inlineStr">
        <is>
          <t/>
        </is>
      </c>
      <c r="F253" s="14" t="n">
        <v>33.0</v>
      </c>
      <c r="G253" s="15" t="n">
        <v>15886.0</v>
      </c>
      <c r="H253" s="16" t="n">
        <v>2056.0</v>
      </c>
      <c r="I253" s="17" t="inlineStr">
        <is>
          <t/>
        </is>
      </c>
      <c r="J253" s="18" t="n">
        <v>0.03</v>
      </c>
      <c r="K253" s="19" t="inlineStr">
        <is>
          <t>Social/Platform Software</t>
        </is>
      </c>
      <c r="L253" s="20" t="inlineStr">
        <is>
          <t>Provider of a platform for the marijuana community to connect. The company provides a platform for patients and users to learn about medical marijuana strains, where to find a dispensary and how to obtain a doctor’s recommendation as well as deals on marijuana products.</t>
        </is>
      </c>
      <c r="M253" s="21" t="inlineStr">
        <is>
          <t/>
        </is>
      </c>
      <c r="N253" s="22" t="inlineStr">
        <is>
          <t>Angel-Backed</t>
        </is>
      </c>
      <c r="O253" s="23" t="inlineStr">
        <is>
          <t>Privately Held (backing)</t>
        </is>
      </c>
      <c r="P253" s="24" t="inlineStr">
        <is>
          <t>Beverly Hills, CA</t>
        </is>
      </c>
      <c r="Q253" s="25" t="inlineStr">
        <is>
          <t>www.weedwall.com</t>
        </is>
      </c>
      <c r="R253" s="113">
        <f>HYPERLINK("https://my.pitchbook.com?c=103720-96", "View company online")</f>
      </c>
    </row>
    <row r="254">
      <c r="A254" s="27" t="inlineStr">
        <is>
          <t>158853-34</t>
        </is>
      </c>
      <c r="B254" s="28" t="inlineStr">
        <is>
          <t>Weedeel</t>
        </is>
      </c>
      <c r="C254" s="29" t="inlineStr">
        <is>
          <t/>
        </is>
      </c>
      <c r="D254" s="30" t="inlineStr">
        <is>
          <t/>
        </is>
      </c>
      <c r="E254" s="31" t="inlineStr">
        <is>
          <t/>
        </is>
      </c>
      <c r="F254" s="32" t="inlineStr">
        <is>
          <t/>
        </is>
      </c>
      <c r="G254" s="33" t="inlineStr">
        <is>
          <t/>
        </is>
      </c>
      <c r="H254" s="34" t="inlineStr">
        <is>
          <t/>
        </is>
      </c>
      <c r="I254" s="35" t="inlineStr">
        <is>
          <t/>
        </is>
      </c>
      <c r="J254" s="36" t="inlineStr">
        <is>
          <t/>
        </is>
      </c>
      <c r="K254" s="37" t="inlineStr">
        <is>
          <t>Application Software</t>
        </is>
      </c>
      <c r="L254" s="38" t="inlineStr">
        <is>
          <t>Developer of a social business application. The company develops an application which serves as a distributed social business protocol and allows people to share and pay bounties.</t>
        </is>
      </c>
      <c r="M254" s="39" t="inlineStr">
        <is>
          <t>Orevon</t>
        </is>
      </c>
      <c r="N254" s="40" t="inlineStr">
        <is>
          <t>Accelerator/Incubator Backed</t>
        </is>
      </c>
      <c r="O254" s="41" t="inlineStr">
        <is>
          <t>Privately Held (backing)</t>
        </is>
      </c>
      <c r="P254" s="42" t="inlineStr">
        <is>
          <t>San Francisco, CA</t>
        </is>
      </c>
      <c r="Q254" s="43" t="inlineStr">
        <is>
          <t>www.weedeel.com</t>
        </is>
      </c>
      <c r="R254" s="114">
        <f>HYPERLINK("https://my.pitchbook.com?c=158853-34", "View company online")</f>
      </c>
    </row>
    <row r="255">
      <c r="A255" s="9" t="inlineStr">
        <is>
          <t>117272-17</t>
        </is>
      </c>
      <c r="B255" s="10" t="inlineStr">
        <is>
          <t>WeedClub</t>
        </is>
      </c>
      <c r="C255" s="11" t="n">
        <v>0.23255402588764099</v>
      </c>
      <c r="D255" s="12" t="n">
        <v>78.35535890928301</v>
      </c>
      <c r="E255" s="13" t="inlineStr">
        <is>
          <t/>
        </is>
      </c>
      <c r="F255" s="14" t="n">
        <v>30.0</v>
      </c>
      <c r="G255" s="15" t="n">
        <v>1391.0</v>
      </c>
      <c r="H255" s="16" t="n">
        <v>109665.0</v>
      </c>
      <c r="I255" s="17" t="inlineStr">
        <is>
          <t/>
        </is>
      </c>
      <c r="J255" s="18" t="inlineStr">
        <is>
          <t/>
        </is>
      </c>
      <c r="K255" s="19" t="inlineStr">
        <is>
          <t>Application Software</t>
        </is>
      </c>
      <c r="L255" s="20" t="inlineStr">
        <is>
          <t>Developer of a networking site for the cannabis industry. The company provides a website and mobile application for potreprenuars, dispensaries and patients to connect and communicate with others in the industry.</t>
        </is>
      </c>
      <c r="M255" s="21" t="inlineStr">
        <is>
          <t>Runway Incubator</t>
        </is>
      </c>
      <c r="N255" s="22" t="inlineStr">
        <is>
          <t>Accelerator/Incubator Backed</t>
        </is>
      </c>
      <c r="O255" s="23" t="inlineStr">
        <is>
          <t>Privately Held (backing)</t>
        </is>
      </c>
      <c r="P255" s="24" t="inlineStr">
        <is>
          <t>San Francisco, CA</t>
        </is>
      </c>
      <c r="Q255" s="25" t="inlineStr">
        <is>
          <t>www.weedclub.com</t>
        </is>
      </c>
      <c r="R255" s="113">
        <f>HYPERLINK("https://my.pitchbook.com?c=117272-17", "View company online")</f>
      </c>
    </row>
    <row r="256">
      <c r="A256" s="27" t="inlineStr">
        <is>
          <t>157904-74</t>
        </is>
      </c>
      <c r="B256" s="28" t="inlineStr">
        <is>
          <t>WeDo App</t>
        </is>
      </c>
      <c r="C256" s="29" t="n">
        <v>125.96127130283175</v>
      </c>
      <c r="D256" s="30" t="n">
        <v>58.90796304779355</v>
      </c>
      <c r="E256" s="31" t="inlineStr">
        <is>
          <t/>
        </is>
      </c>
      <c r="F256" s="32" t="n">
        <v>78.0</v>
      </c>
      <c r="G256" s="33" t="inlineStr">
        <is>
          <t/>
        </is>
      </c>
      <c r="H256" s="34" t="n">
        <v>40861.0</v>
      </c>
      <c r="I256" s="35" t="inlineStr">
        <is>
          <t/>
        </is>
      </c>
      <c r="J256" s="36" t="n">
        <v>1.0</v>
      </c>
      <c r="K256" s="37" t="inlineStr">
        <is>
          <t>Application Software</t>
        </is>
      </c>
      <c r="L256" s="38" t="inlineStr">
        <is>
          <t>Developer of a task management application. The company develops an application that enables user to add to-do lists and calendar meetings and also collaborate, comment and share it with other users.</t>
        </is>
      </c>
      <c r="M256" s="39" t="inlineStr">
        <is>
          <t>Amplify.LA, Double M Partners</t>
        </is>
      </c>
      <c r="N256" s="40" t="inlineStr">
        <is>
          <t>Angel-Backed</t>
        </is>
      </c>
      <c r="O256" s="41" t="inlineStr">
        <is>
          <t>Privately Held (backing)</t>
        </is>
      </c>
      <c r="P256" s="42" t="inlineStr">
        <is>
          <t>Los Angeles, CA</t>
        </is>
      </c>
      <c r="Q256" s="43" t="inlineStr">
        <is>
          <t>www.wedo.com</t>
        </is>
      </c>
      <c r="R256" s="114">
        <f>HYPERLINK("https://my.pitchbook.com?c=157904-74", "View company online")</f>
      </c>
    </row>
    <row r="257">
      <c r="A257" s="9" t="inlineStr">
        <is>
          <t>59090-68</t>
        </is>
      </c>
      <c r="B257" s="10" t="inlineStr">
        <is>
          <t>Wednesdays</t>
        </is>
      </c>
      <c r="C257" s="11" t="n">
        <v>-0.011629482486754574</v>
      </c>
      <c r="D257" s="12" t="n">
        <v>0.4162578279932738</v>
      </c>
      <c r="E257" s="13" t="inlineStr">
        <is>
          <t/>
        </is>
      </c>
      <c r="F257" s="14" t="n">
        <v>14.0</v>
      </c>
      <c r="G257" s="15" t="n">
        <v>124.0</v>
      </c>
      <c r="H257" s="16" t="n">
        <v>267.0</v>
      </c>
      <c r="I257" s="17" t="n">
        <v>3.0</v>
      </c>
      <c r="J257" s="18" t="n">
        <v>0.06</v>
      </c>
      <c r="K257" s="19" t="inlineStr">
        <is>
          <t>Application Software</t>
        </is>
      </c>
      <c r="L257" s="20" t="inlineStr">
        <is>
          <t>Provider of an online application that organizes lunch programs. The company helps friends, co-workers or classmates stay in touch with each other over a lunch on Wednesdays helping comapnies to foster engagement among employees as well as customers.</t>
        </is>
      </c>
      <c r="M257" s="21" t="inlineStr">
        <is>
          <t>500 Startups</t>
        </is>
      </c>
      <c r="N257" s="22" t="inlineStr">
        <is>
          <t>Accelerator/Incubator Backed</t>
        </is>
      </c>
      <c r="O257" s="23" t="inlineStr">
        <is>
          <t>Privately Held (backing)</t>
        </is>
      </c>
      <c r="P257" s="24" t="inlineStr">
        <is>
          <t>San Francisco, CA</t>
        </is>
      </c>
      <c r="Q257" s="25" t="inlineStr">
        <is>
          <t>www.wednesdays.com</t>
        </is>
      </c>
      <c r="R257" s="113">
        <f>HYPERLINK("https://my.pitchbook.com?c=59090-68", "View company online")</f>
      </c>
    </row>
    <row r="258">
      <c r="A258" s="27" t="inlineStr">
        <is>
          <t>54795-97</t>
        </is>
      </c>
      <c r="B258" s="28" t="inlineStr">
        <is>
          <t>WeddingLovely</t>
        </is>
      </c>
      <c r="C258" s="29" t="n">
        <v>1.6098486653971462</v>
      </c>
      <c r="D258" s="30" t="n">
        <v>9.196463568000045</v>
      </c>
      <c r="E258" s="31" t="inlineStr">
        <is>
          <t/>
        </is>
      </c>
      <c r="F258" s="32" t="n">
        <v>56.0</v>
      </c>
      <c r="G258" s="33" t="n">
        <v>4243.0</v>
      </c>
      <c r="H258" s="34" t="n">
        <v>10079.0</v>
      </c>
      <c r="I258" s="35" t="n">
        <v>1.0</v>
      </c>
      <c r="J258" s="36" t="n">
        <v>0.06</v>
      </c>
      <c r="K258" s="37" t="inlineStr">
        <is>
          <t>Other Services (B2C Non-Financial)</t>
        </is>
      </c>
      <c r="L258" s="38" t="inlineStr">
        <is>
          <t>Developer of an online wedding planning application. The company provides a platform for local and independent wedding vendors to come together and plan a wedding.</t>
        </is>
      </c>
      <c r="M258" s="39" t="inlineStr">
        <is>
          <t>500 Startups, Christine Tsai, David McClure, Designer Fund, Paul Singh</t>
        </is>
      </c>
      <c r="N258" s="40" t="inlineStr">
        <is>
          <t>Accelerator/Incubator Backed</t>
        </is>
      </c>
      <c r="O258" s="41" t="inlineStr">
        <is>
          <t>Privately Held (backing)</t>
        </is>
      </c>
      <c r="P258" s="42" t="inlineStr">
        <is>
          <t>San Francisco, CA</t>
        </is>
      </c>
      <c r="Q258" s="43" t="inlineStr">
        <is>
          <t>www.weddinglovely.com</t>
        </is>
      </c>
      <c r="R258" s="114">
        <f>HYPERLINK("https://my.pitchbook.com?c=54795-97", "View company online")</f>
      </c>
    </row>
    <row r="259">
      <c r="A259" s="9" t="inlineStr">
        <is>
          <t>171571-06</t>
        </is>
      </c>
      <c r="B259" s="10" t="inlineStr">
        <is>
          <t>WeBuyYourCar</t>
        </is>
      </c>
      <c r="C259" s="11" t="n">
        <v>0.0</v>
      </c>
      <c r="D259" s="12" t="n">
        <v>0.15299647473560518</v>
      </c>
      <c r="E259" s="13" t="inlineStr">
        <is>
          <t/>
        </is>
      </c>
      <c r="F259" s="14" t="n">
        <v>11.0</v>
      </c>
      <c r="G259" s="15" t="n">
        <v>7.0</v>
      </c>
      <c r="H259" s="16" t="inlineStr">
        <is>
          <t/>
        </is>
      </c>
      <c r="I259" s="17" t="inlineStr">
        <is>
          <t/>
        </is>
      </c>
      <c r="J259" s="18" t="inlineStr">
        <is>
          <t/>
        </is>
      </c>
      <c r="K259" s="19" t="inlineStr">
        <is>
          <t>Social/Platform Software</t>
        </is>
      </c>
      <c r="L259" s="20" t="inlineStr">
        <is>
          <t>Provider of an online car selling platform intended to improve car selling experience. The company's car selling platform permits evaluation of car price through a transparent process and offers a guaranteed purchase price, enabling car sellers to conveniently and automatically sell their cars and receive a better deal.</t>
        </is>
      </c>
      <c r="M259" s="21" t="inlineStr">
        <is>
          <t>German Accelerator</t>
        </is>
      </c>
      <c r="N259" s="22" t="inlineStr">
        <is>
          <t>Accelerator/Incubator Backed</t>
        </is>
      </c>
      <c r="O259" s="23" t="inlineStr">
        <is>
          <t>Privately Held (backing)</t>
        </is>
      </c>
      <c r="P259" s="24" t="inlineStr">
        <is>
          <t>Redwood City, CA</t>
        </is>
      </c>
      <c r="Q259" s="25" t="inlineStr">
        <is>
          <t>www.webuyyourcar.com</t>
        </is>
      </c>
      <c r="R259" s="113">
        <f>HYPERLINK("https://my.pitchbook.com?c=171571-06", "View company online")</f>
      </c>
    </row>
    <row r="260">
      <c r="A260" s="27" t="inlineStr">
        <is>
          <t>55853-83</t>
        </is>
      </c>
      <c r="B260" s="28" t="inlineStr">
        <is>
          <t>Webtalk</t>
        </is>
      </c>
      <c r="C260" s="29" t="n">
        <v>-0.01350310494700567</v>
      </c>
      <c r="D260" s="30" t="n">
        <v>12.624042502340219</v>
      </c>
      <c r="E260" s="31" t="inlineStr">
        <is>
          <t/>
        </is>
      </c>
      <c r="F260" s="32" t="n">
        <v>2.0</v>
      </c>
      <c r="G260" s="33" t="n">
        <v>8794.0</v>
      </c>
      <c r="H260" s="34" t="n">
        <v>13971.0</v>
      </c>
      <c r="I260" s="35" t="n">
        <v>50.0</v>
      </c>
      <c r="J260" s="36" t="n">
        <v>2.9</v>
      </c>
      <c r="K260" s="37" t="inlineStr">
        <is>
          <t>Social/Platform Software</t>
        </is>
      </c>
      <c r="L260" s="38" t="inlineStr">
        <is>
          <t>Provider of social and professional community platform created to help users with professional networking. The company's networking community platform provides an alternative to both Facebook and LinkedIn within a single community. It provides its users with small group based sharing and collaboration tools to local and internet businesses as an advertising model and real cash incentives to refer friends enabling users to grow their career while professional networking.</t>
        </is>
      </c>
      <c r="M260" s="39" t="inlineStr">
        <is>
          <t>Microsoft Accelerator</t>
        </is>
      </c>
      <c r="N260" s="40" t="inlineStr">
        <is>
          <t>Angel-Backed</t>
        </is>
      </c>
      <c r="O260" s="41" t="inlineStr">
        <is>
          <t>Privately Held (backing)</t>
        </is>
      </c>
      <c r="P260" s="42" t="inlineStr">
        <is>
          <t>Saint Petersburg, FL</t>
        </is>
      </c>
      <c r="Q260" s="43" t="inlineStr">
        <is>
          <t>www.webtalk.org</t>
        </is>
      </c>
      <c r="R260" s="114">
        <f>HYPERLINK("https://my.pitchbook.com?c=55853-83", "View company online")</f>
      </c>
    </row>
    <row r="261">
      <c r="A261" s="9" t="inlineStr">
        <is>
          <t>170840-62</t>
        </is>
      </c>
      <c r="B261" s="10" t="inlineStr">
        <is>
          <t>Webpeer</t>
        </is>
      </c>
      <c r="C261" s="11" t="n">
        <v>0.010416666666666963</v>
      </c>
      <c r="D261" s="12" t="n">
        <v>0.0762464327681719</v>
      </c>
      <c r="E261" s="13" t="inlineStr">
        <is>
          <t/>
        </is>
      </c>
      <c r="F261" s="14" t="n">
        <v>1.0</v>
      </c>
      <c r="G261" s="15" t="n">
        <v>99.0</v>
      </c>
      <c r="H261" s="16" t="inlineStr">
        <is>
          <t/>
        </is>
      </c>
      <c r="I261" s="17" t="inlineStr">
        <is>
          <t/>
        </is>
      </c>
      <c r="J261" s="18" t="n">
        <v>0.1</v>
      </c>
      <c r="K261" s="19" t="inlineStr">
        <is>
          <t>Communication Software</t>
        </is>
      </c>
      <c r="L261" s="20" t="inlineStr">
        <is>
          <t>Developer of WebRTC technology intended to integrate communication services. The company's communication platform is configured to directly link users, enabling them to start video conferences, send messages and share files instantly without having to sign in.</t>
        </is>
      </c>
      <c r="M261" s="21" t="inlineStr">
        <is>
          <t>KIC Europe</t>
        </is>
      </c>
      <c r="N261" s="22" t="inlineStr">
        <is>
          <t>Accelerator/Incubator Backed</t>
        </is>
      </c>
      <c r="O261" s="23" t="inlineStr">
        <is>
          <t>Privately Held (backing)</t>
        </is>
      </c>
      <c r="P261" s="24" t="inlineStr">
        <is>
          <t>San Jose, CA</t>
        </is>
      </c>
      <c r="Q261" s="25" t="inlineStr">
        <is>
          <t>www.webpeer.io</t>
        </is>
      </c>
      <c r="R261" s="113">
        <f>HYPERLINK("https://my.pitchbook.com?c=170840-62", "View company online")</f>
      </c>
    </row>
    <row r="262">
      <c r="A262" s="27" t="inlineStr">
        <is>
          <t>113872-51</t>
        </is>
      </c>
      <c r="B262" s="28" t="inlineStr">
        <is>
          <t>WeBounty</t>
        </is>
      </c>
      <c r="C262" s="86">
        <f>HYPERLINK("https://my.pitchbook.com?rrp=113872-51&amp;type=c", "This Company's information is not available to download. Need this Company? Request availability")</f>
      </c>
      <c r="D262" s="30" t="inlineStr">
        <is>
          <t/>
        </is>
      </c>
      <c r="E262" s="31" t="inlineStr">
        <is>
          <t/>
        </is>
      </c>
      <c r="F262" s="32" t="inlineStr">
        <is>
          <t/>
        </is>
      </c>
      <c r="G262" s="33" t="inlineStr">
        <is>
          <t/>
        </is>
      </c>
      <c r="H262" s="34" t="inlineStr">
        <is>
          <t/>
        </is>
      </c>
      <c r="I262" s="35" t="inlineStr">
        <is>
          <t/>
        </is>
      </c>
      <c r="J262" s="36" t="inlineStr">
        <is>
          <t/>
        </is>
      </c>
      <c r="K262" s="37" t="inlineStr">
        <is>
          <t/>
        </is>
      </c>
      <c r="L262" s="38" t="inlineStr">
        <is>
          <t/>
        </is>
      </c>
      <c r="M262" s="39" t="inlineStr">
        <is>
          <t/>
        </is>
      </c>
      <c r="N262" s="40" t="inlineStr">
        <is>
          <t/>
        </is>
      </c>
      <c r="O262" s="41" t="inlineStr">
        <is>
          <t/>
        </is>
      </c>
      <c r="P262" s="42" t="inlineStr">
        <is>
          <t/>
        </is>
      </c>
      <c r="Q262" s="43" t="inlineStr">
        <is>
          <t/>
        </is>
      </c>
      <c r="R262" s="44" t="inlineStr">
        <is>
          <t/>
        </is>
      </c>
    </row>
    <row r="263">
      <c r="A263" s="9" t="inlineStr">
        <is>
          <t>110416-24</t>
        </is>
      </c>
      <c r="B263" s="10" t="inlineStr">
        <is>
          <t>WebHostpro</t>
        </is>
      </c>
      <c r="C263" s="11" t="n">
        <v>0.18674341442159229</v>
      </c>
      <c r="D263" s="12" t="n">
        <v>12.592584947301233</v>
      </c>
      <c r="E263" s="13" t="inlineStr">
        <is>
          <t/>
        </is>
      </c>
      <c r="F263" s="14" t="n">
        <v>29.0</v>
      </c>
      <c r="G263" s="15" t="n">
        <v>22464.0</v>
      </c>
      <c r="H263" s="16" t="n">
        <v>7401.0</v>
      </c>
      <c r="I263" s="17" t="n">
        <v>11.0</v>
      </c>
      <c r="J263" s="18" t="inlineStr">
        <is>
          <t/>
        </is>
      </c>
      <c r="K263" s="19" t="inlineStr">
        <is>
          <t>Other Commercial Services</t>
        </is>
      </c>
      <c r="L263" s="20" t="inlineStr">
        <is>
          <t>Provider of website hosting services. The company provides domain and website hosting services to both individuals and enterprises.</t>
        </is>
      </c>
      <c r="M263" s="21" t="inlineStr">
        <is>
          <t/>
        </is>
      </c>
      <c r="N263" s="22" t="inlineStr">
        <is>
          <t>Angel-Backed</t>
        </is>
      </c>
      <c r="O263" s="23" t="inlineStr">
        <is>
          <t>Privately Held (backing)</t>
        </is>
      </c>
      <c r="P263" s="24" t="inlineStr">
        <is>
          <t>Burbank, CA</t>
        </is>
      </c>
      <c r="Q263" s="25" t="inlineStr">
        <is>
          <t>www.webhost.pro</t>
        </is>
      </c>
      <c r="R263" s="113">
        <f>HYPERLINK("https://my.pitchbook.com?c=110416-24", "View company online")</f>
      </c>
    </row>
    <row r="264">
      <c r="A264" s="27" t="inlineStr">
        <is>
          <t>169575-58</t>
        </is>
      </c>
      <c r="B264" s="28" t="inlineStr">
        <is>
          <t>WebCMSNow</t>
        </is>
      </c>
      <c r="C264" s="29" t="n">
        <v>0.0</v>
      </c>
      <c r="D264" s="30" t="n">
        <v>0.05047842873929831</v>
      </c>
      <c r="E264" s="31" t="inlineStr">
        <is>
          <t/>
        </is>
      </c>
      <c r="F264" s="32" t="n">
        <v>3.0</v>
      </c>
      <c r="G264" s="33" t="n">
        <v>16.0</v>
      </c>
      <c r="H264" s="34" t="inlineStr">
        <is>
          <t/>
        </is>
      </c>
      <c r="I264" s="35" t="inlineStr">
        <is>
          <t/>
        </is>
      </c>
      <c r="J264" s="36" t="inlineStr">
        <is>
          <t/>
        </is>
      </c>
      <c r="K264" s="37" t="inlineStr">
        <is>
          <t>Software Development Applications</t>
        </is>
      </c>
      <c r="L264" s="38" t="inlineStr">
        <is>
          <t>Provider of cloud platform for designing websites. The company specializes in corporate website designing, customized mobile application software development and search engine optimization to help enterprises in digital marketing.</t>
        </is>
      </c>
      <c r="M264" s="39" t="inlineStr">
        <is>
          <t>Chicostart</t>
        </is>
      </c>
      <c r="N264" s="40" t="inlineStr">
        <is>
          <t>Accelerator/Incubator Backed</t>
        </is>
      </c>
      <c r="O264" s="41" t="inlineStr">
        <is>
          <t>Privately Held (backing)</t>
        </is>
      </c>
      <c r="P264" s="42" t="inlineStr">
        <is>
          <t>Redding, CA</t>
        </is>
      </c>
      <c r="Q264" s="43" t="inlineStr">
        <is>
          <t>www.webcmsnow.com</t>
        </is>
      </c>
      <c r="R264" s="114">
        <f>HYPERLINK("https://my.pitchbook.com?c=169575-58", "View company online")</f>
      </c>
    </row>
    <row r="265">
      <c r="A265" s="9" t="inlineStr">
        <is>
          <t>104481-64</t>
        </is>
      </c>
      <c r="B265" s="10" t="inlineStr">
        <is>
          <t>WebChalet</t>
        </is>
      </c>
      <c r="C265" s="11" t="n">
        <v>0.1460230189727227</v>
      </c>
      <c r="D265" s="12" t="n">
        <v>2.807126639219491</v>
      </c>
      <c r="E265" s="13" t="inlineStr">
        <is>
          <t/>
        </is>
      </c>
      <c r="F265" s="14" t="n">
        <v>67.0</v>
      </c>
      <c r="G265" s="15" t="n">
        <v>4035.0</v>
      </c>
      <c r="H265" s="16" t="n">
        <v>916.0</v>
      </c>
      <c r="I265" s="17" t="n">
        <v>12.0</v>
      </c>
      <c r="J265" s="18" t="n">
        <v>1.23</v>
      </c>
      <c r="K265" s="19" t="inlineStr">
        <is>
          <t>Application Software</t>
        </is>
      </c>
      <c r="L265" s="20" t="inlineStr">
        <is>
          <t>Developer of a mobile travel assistant designed for booking vacation rentals. The company's cloud-based travel assistant platform for travelers offering text message based hotel booking by connecting the traveler to a travel expert who researches the best options from a network of trusted professionals and owners worldwide enabling travelers to expedite and personalize their travel booking process.</t>
        </is>
      </c>
      <c r="M265" s="21" t="inlineStr">
        <is>
          <t>AngelPad</t>
        </is>
      </c>
      <c r="N265" s="22" t="inlineStr">
        <is>
          <t>Angel-Backed</t>
        </is>
      </c>
      <c r="O265" s="23" t="inlineStr">
        <is>
          <t>Privately Held (backing)</t>
        </is>
      </c>
      <c r="P265" s="24" t="inlineStr">
        <is>
          <t>San Francisco, CA</t>
        </is>
      </c>
      <c r="Q265" s="25" t="inlineStr">
        <is>
          <t>www.webchalet.com</t>
        </is>
      </c>
      <c r="R265" s="113">
        <f>HYPERLINK("https://my.pitchbook.com?c=104481-64", "View company online")</f>
      </c>
    </row>
    <row r="266">
      <c r="A266" s="27" t="inlineStr">
        <is>
          <t>175642-21</t>
        </is>
      </c>
      <c r="B266" s="28" t="inlineStr">
        <is>
          <t>Wealthstake</t>
        </is>
      </c>
      <c r="C266" s="86">
        <f>HYPERLINK("https://my.pitchbook.com?rrp=175642-21&amp;type=c", "This Company's information is not available to download. Need this Company? Request availability")</f>
      </c>
      <c r="D266" s="30" t="inlineStr">
        <is>
          <t/>
        </is>
      </c>
      <c r="E266" s="31" t="inlineStr">
        <is>
          <t/>
        </is>
      </c>
      <c r="F266" s="32" t="inlineStr">
        <is>
          <t/>
        </is>
      </c>
      <c r="G266" s="33" t="inlineStr">
        <is>
          <t/>
        </is>
      </c>
      <c r="H266" s="34" t="inlineStr">
        <is>
          <t/>
        </is>
      </c>
      <c r="I266" s="35" t="inlineStr">
        <is>
          <t/>
        </is>
      </c>
      <c r="J266" s="36" t="inlineStr">
        <is>
          <t/>
        </is>
      </c>
      <c r="K266" s="37" t="inlineStr">
        <is>
          <t/>
        </is>
      </c>
      <c r="L266" s="38" t="inlineStr">
        <is>
          <t/>
        </is>
      </c>
      <c r="M266" s="39" t="inlineStr">
        <is>
          <t/>
        </is>
      </c>
      <c r="N266" s="40" t="inlineStr">
        <is>
          <t/>
        </is>
      </c>
      <c r="O266" s="41" t="inlineStr">
        <is>
          <t/>
        </is>
      </c>
      <c r="P266" s="42" t="inlineStr">
        <is>
          <t/>
        </is>
      </c>
      <c r="Q266" s="43" t="inlineStr">
        <is>
          <t/>
        </is>
      </c>
      <c r="R266" s="44" t="inlineStr">
        <is>
          <t/>
        </is>
      </c>
    </row>
    <row r="267">
      <c r="A267" s="9" t="inlineStr">
        <is>
          <t>169575-31</t>
        </is>
      </c>
      <c r="B267" s="10" t="inlineStr">
        <is>
          <t>We Rad Dads</t>
        </is>
      </c>
      <c r="C267" s="11" t="n">
        <v>0.05044796167375216</v>
      </c>
      <c r="D267" s="12" t="n">
        <v>0.4960104145623674</v>
      </c>
      <c r="E267" s="13" t="inlineStr">
        <is>
          <t/>
        </is>
      </c>
      <c r="F267" s="14" t="n">
        <v>3.0</v>
      </c>
      <c r="G267" s="15" t="n">
        <v>59.0</v>
      </c>
      <c r="H267" s="16" t="n">
        <v>619.0</v>
      </c>
      <c r="I267" s="17" t="inlineStr">
        <is>
          <t/>
        </is>
      </c>
      <c r="J267" s="18" t="inlineStr">
        <is>
          <t/>
        </is>
      </c>
      <c r="K267" s="19" t="inlineStr">
        <is>
          <t>Other Services (B2C Non-Financial)</t>
        </is>
      </c>
      <c r="L267" s="20" t="inlineStr">
        <is>
          <t>Provider of a podcast platform that offers paternity consultancy services. The company specializes in providing a web and podcast platform that offers paternity and childcare consulting services to single fathers.</t>
        </is>
      </c>
      <c r="M267" s="21" t="inlineStr">
        <is>
          <t>Chicostart</t>
        </is>
      </c>
      <c r="N267" s="22" t="inlineStr">
        <is>
          <t>Accelerator/Incubator Backed</t>
        </is>
      </c>
      <c r="O267" s="23" t="inlineStr">
        <is>
          <t>Privately Held (backing)</t>
        </is>
      </c>
      <c r="P267" s="24" t="inlineStr">
        <is>
          <t>Chico, CA</t>
        </is>
      </c>
      <c r="Q267" s="25" t="inlineStr">
        <is>
          <t>www.weraddads.com</t>
        </is>
      </c>
      <c r="R267" s="113">
        <f>HYPERLINK("https://my.pitchbook.com?c=169575-31", "View company online")</f>
      </c>
    </row>
    <row r="268">
      <c r="A268" s="27" t="inlineStr">
        <is>
          <t>104285-26</t>
        </is>
      </c>
      <c r="B268" s="28" t="inlineStr">
        <is>
          <t>We Labs</t>
        </is>
      </c>
      <c r="C268" s="29" t="n">
        <v>0.0</v>
      </c>
      <c r="D268" s="30" t="n">
        <v>1.7567567567567568</v>
      </c>
      <c r="E268" s="31" t="inlineStr">
        <is>
          <t/>
        </is>
      </c>
      <c r="F268" s="32" t="n">
        <v>65.0</v>
      </c>
      <c r="G268" s="33" t="n">
        <v>3664.0</v>
      </c>
      <c r="H268" s="34" t="n">
        <v>1493.0</v>
      </c>
      <c r="I268" s="35" t="n">
        <v>11.0</v>
      </c>
      <c r="J268" s="36" t="inlineStr">
        <is>
          <t/>
        </is>
      </c>
      <c r="K268" s="37" t="inlineStr">
        <is>
          <t>Other Commercial Services</t>
        </is>
      </c>
      <c r="L268" s="38" t="inlineStr">
        <is>
          <t>Provider of co-working facilities for startups. The company offers a co-working and business community for small businesses, freelancers and entrepreneurs.</t>
        </is>
      </c>
      <c r="M268" s="39" t="inlineStr">
        <is>
          <t/>
        </is>
      </c>
      <c r="N268" s="40" t="inlineStr">
        <is>
          <t>Angel-Backed</t>
        </is>
      </c>
      <c r="O268" s="41" t="inlineStr">
        <is>
          <t>Privately Held (backing)</t>
        </is>
      </c>
      <c r="P268" s="42" t="inlineStr">
        <is>
          <t>Long Beach, CA</t>
        </is>
      </c>
      <c r="Q268" s="43" t="inlineStr">
        <is>
          <t>www.welabs.us</t>
        </is>
      </c>
      <c r="R268" s="114">
        <f>HYPERLINK("https://my.pitchbook.com?c=104285-26", "View company online")</f>
      </c>
    </row>
    <row r="269">
      <c r="A269" s="9" t="inlineStr">
        <is>
          <t>168340-87</t>
        </is>
      </c>
      <c r="B269" s="10" t="inlineStr">
        <is>
          <t>We Are Onyx</t>
        </is>
      </c>
      <c r="C269" s="11" t="n">
        <v>0.27751485130849357</v>
      </c>
      <c r="D269" s="12" t="n">
        <v>22.87241841009343</v>
      </c>
      <c r="E269" s="13" t="inlineStr">
        <is>
          <t/>
        </is>
      </c>
      <c r="F269" s="14" t="n">
        <v>70.0</v>
      </c>
      <c r="G269" s="15" t="n">
        <v>41912.0</v>
      </c>
      <c r="H269" s="16" t="n">
        <v>12596.0</v>
      </c>
      <c r="I269" s="17" t="inlineStr">
        <is>
          <t/>
        </is>
      </c>
      <c r="J269" s="18" t="n">
        <v>0.15</v>
      </c>
      <c r="K269" s="19" t="inlineStr">
        <is>
          <t>Personal Products</t>
        </is>
      </c>
      <c r="L269" s="20" t="inlineStr">
        <is>
          <t>Provider of hair, beauty, skin, and nail care products. The company offers a subscription service that allows members to try beauty products and see what suits a dark complexioned women.</t>
        </is>
      </c>
      <c r="M269" s="21" t="inlineStr">
        <is>
          <t>500 Startups</t>
        </is>
      </c>
      <c r="N269" s="22" t="inlineStr">
        <is>
          <t>Accelerator/Incubator Backed</t>
        </is>
      </c>
      <c r="O269" s="23" t="inlineStr">
        <is>
          <t>Privately Held (backing)</t>
        </is>
      </c>
      <c r="P269" s="24" t="inlineStr">
        <is>
          <t>Los Angeles, CA</t>
        </is>
      </c>
      <c r="Q269" s="25" t="inlineStr">
        <is>
          <t>weareonyx.com</t>
        </is>
      </c>
      <c r="R269" s="113">
        <f>HYPERLINK("https://my.pitchbook.com?c=168340-87", "View company online")</f>
      </c>
    </row>
    <row r="270">
      <c r="A270" s="27" t="inlineStr">
        <is>
          <t>104784-85</t>
        </is>
      </c>
      <c r="B270" s="28" t="inlineStr">
        <is>
          <t>We</t>
        </is>
      </c>
      <c r="C270" s="29" t="n">
        <v>0.0</v>
      </c>
      <c r="D270" s="30" t="n">
        <v>0.02702702702702703</v>
      </c>
      <c r="E270" s="31" t="inlineStr">
        <is>
          <t/>
        </is>
      </c>
      <c r="F270" s="32" t="n">
        <v>1.0</v>
      </c>
      <c r="G270" s="33" t="inlineStr">
        <is>
          <t/>
        </is>
      </c>
      <c r="H270" s="34" t="inlineStr">
        <is>
          <t/>
        </is>
      </c>
      <c r="I270" s="35" t="inlineStr">
        <is>
          <t/>
        </is>
      </c>
      <c r="J270" s="36" t="n">
        <v>2.0</v>
      </c>
      <c r="K270" s="37" t="inlineStr">
        <is>
          <t>Application Software</t>
        </is>
      </c>
      <c r="L270" s="38" t="inlineStr">
        <is>
          <t>Developer and provider of a platform for mobile communications. The comapny provides a platform for mobile communications and human computer interaction.</t>
        </is>
      </c>
      <c r="M270" s="39" t="inlineStr">
        <is>
          <t/>
        </is>
      </c>
      <c r="N270" s="40" t="inlineStr">
        <is>
          <t>Angel-Backed</t>
        </is>
      </c>
      <c r="O270" s="41" t="inlineStr">
        <is>
          <t>Privately Held (backing)</t>
        </is>
      </c>
      <c r="P270" s="42" t="inlineStr">
        <is>
          <t>San Francisco, CA</t>
        </is>
      </c>
      <c r="Q270" s="43" t="inlineStr">
        <is>
          <t>www.wecommunicate.co</t>
        </is>
      </c>
      <c r="R270" s="114">
        <f>HYPERLINK("https://my.pitchbook.com?c=104784-85", "View company online")</f>
      </c>
    </row>
    <row r="271">
      <c r="A271" s="9" t="inlineStr">
        <is>
          <t>103505-77</t>
        </is>
      </c>
      <c r="B271" s="10" t="inlineStr">
        <is>
          <t>Wazala!</t>
        </is>
      </c>
      <c r="C271" s="11" t="n">
        <v>-0.6970787295939012</v>
      </c>
      <c r="D271" s="12" t="n">
        <v>11.51817355833568</v>
      </c>
      <c r="E271" s="13" t="inlineStr">
        <is>
          <t/>
        </is>
      </c>
      <c r="F271" s="14" t="n">
        <v>536.0</v>
      </c>
      <c r="G271" s="15" t="n">
        <v>4704.0</v>
      </c>
      <c r="H271" s="16" t="n">
        <v>3946.0</v>
      </c>
      <c r="I271" s="17" t="n">
        <v>2.0</v>
      </c>
      <c r="J271" s="18" t="inlineStr">
        <is>
          <t/>
        </is>
      </c>
      <c r="K271" s="19" t="inlineStr">
        <is>
          <t>Internet Retail</t>
        </is>
      </c>
      <c r="L271" s="20" t="inlineStr">
        <is>
          <t>Developer and provider of a website application for building an online store within the users website or blog. The company provides an application which can be plugged to any website, blog or facebook page thus helping to sell digital and physical goods within a single store.</t>
        </is>
      </c>
      <c r="M271" s="21" t="inlineStr">
        <is>
          <t>Boxador</t>
        </is>
      </c>
      <c r="N271" s="22" t="inlineStr">
        <is>
          <t>Accelerator/Incubator Backed</t>
        </is>
      </c>
      <c r="O271" s="23" t="inlineStr">
        <is>
          <t>Privately Held (backing)</t>
        </is>
      </c>
      <c r="P271" s="24" t="inlineStr">
        <is>
          <t>Los Angeles, CA</t>
        </is>
      </c>
      <c r="Q271" s="25" t="inlineStr">
        <is>
          <t>www.wazala.com</t>
        </is>
      </c>
      <c r="R271" s="113">
        <f>HYPERLINK("https://my.pitchbook.com?c=103505-77", "View company online")</f>
      </c>
    </row>
    <row r="272">
      <c r="A272" s="27" t="inlineStr">
        <is>
          <t>160277-50</t>
        </is>
      </c>
      <c r="B272" s="28" t="inlineStr">
        <is>
          <t>Wayzme</t>
        </is>
      </c>
      <c r="C272" s="29" t="inlineStr">
        <is>
          <t/>
        </is>
      </c>
      <c r="D272" s="30" t="inlineStr">
        <is>
          <t/>
        </is>
      </c>
      <c r="E272" s="31" t="inlineStr">
        <is>
          <t/>
        </is>
      </c>
      <c r="F272" s="32" t="inlineStr">
        <is>
          <t/>
        </is>
      </c>
      <c r="G272" s="33" t="inlineStr">
        <is>
          <t/>
        </is>
      </c>
      <c r="H272" s="34" t="inlineStr">
        <is>
          <t/>
        </is>
      </c>
      <c r="I272" s="35" t="inlineStr">
        <is>
          <t/>
        </is>
      </c>
      <c r="J272" s="36" t="n">
        <v>0.02</v>
      </c>
      <c r="K272" s="37" t="inlineStr">
        <is>
          <t>Other Business Products and Services</t>
        </is>
      </c>
      <c r="L272" s="38" t="inlineStr">
        <is>
          <t>The company is currently operating in Stealth mode.</t>
        </is>
      </c>
      <c r="M272" s="39" t="inlineStr">
        <is>
          <t/>
        </is>
      </c>
      <c r="N272" s="40" t="inlineStr">
        <is>
          <t>Angel-Backed</t>
        </is>
      </c>
      <c r="O272" s="41" t="inlineStr">
        <is>
          <t>Privately Held (backing)</t>
        </is>
      </c>
      <c r="P272" s="42" t="inlineStr">
        <is>
          <t>San Jose, CA</t>
        </is>
      </c>
      <c r="Q272" s="43" t="inlineStr">
        <is>
          <t/>
        </is>
      </c>
      <c r="R272" s="114">
        <f>HYPERLINK("https://my.pitchbook.com?c=160277-50", "View company online")</f>
      </c>
    </row>
    <row r="273">
      <c r="A273" s="9" t="inlineStr">
        <is>
          <t>103153-33</t>
        </is>
      </c>
      <c r="B273" s="10" t="inlineStr">
        <is>
          <t>WaysGo</t>
        </is>
      </c>
      <c r="C273" s="11" t="n">
        <v>0.0</v>
      </c>
      <c r="D273" s="12" t="n">
        <v>0.13933740298883998</v>
      </c>
      <c r="E273" s="13" t="inlineStr">
        <is>
          <t/>
        </is>
      </c>
      <c r="F273" s="14" t="n">
        <v>5.0</v>
      </c>
      <c r="G273" s="15" t="n">
        <v>56.0</v>
      </c>
      <c r="H273" s="16" t="n">
        <v>77.0</v>
      </c>
      <c r="I273" s="17" t="n">
        <v>11.0</v>
      </c>
      <c r="J273" s="18" t="n">
        <v>2.0</v>
      </c>
      <c r="K273" s="19" t="inlineStr">
        <is>
          <t>Social/Platform Software</t>
        </is>
      </c>
      <c r="L273" s="20" t="inlineStr">
        <is>
          <t>Provider of an opinion expressing and product review platform. The comapny offers a web based platform allowing business, experts and the public to debate and dialogue on features and reviews of products, places, services and events.</t>
        </is>
      </c>
      <c r="M273" s="21" t="inlineStr">
        <is>
          <t/>
        </is>
      </c>
      <c r="N273" s="22" t="inlineStr">
        <is>
          <t>Angel-Backed</t>
        </is>
      </c>
      <c r="O273" s="23" t="inlineStr">
        <is>
          <t>Privately Held (backing)</t>
        </is>
      </c>
      <c r="P273" s="24" t="inlineStr">
        <is>
          <t>San Jose, CA</t>
        </is>
      </c>
      <c r="Q273" s="25" t="inlineStr">
        <is>
          <t>www.waysgo.com</t>
        </is>
      </c>
      <c r="R273" s="113">
        <f>HYPERLINK("https://my.pitchbook.com?c=103153-33", "View company online")</f>
      </c>
    </row>
    <row r="274">
      <c r="A274" s="27" t="inlineStr">
        <is>
          <t>169143-76</t>
        </is>
      </c>
      <c r="B274" s="28" t="inlineStr">
        <is>
          <t>Waymo</t>
        </is>
      </c>
      <c r="C274" s="29" t="n">
        <v>2.5438223441270424</v>
      </c>
      <c r="D274" s="30" t="n">
        <v>10.884944527114753</v>
      </c>
      <c r="E274" s="31" t="inlineStr">
        <is>
          <t/>
        </is>
      </c>
      <c r="F274" s="32" t="n">
        <v>186.0</v>
      </c>
      <c r="G274" s="33" t="n">
        <v>5883.0</v>
      </c>
      <c r="H274" s="34" t="n">
        <v>9170.0</v>
      </c>
      <c r="I274" s="35" t="inlineStr">
        <is>
          <t/>
        </is>
      </c>
      <c r="J274" s="36" t="inlineStr">
        <is>
          <t/>
        </is>
      </c>
      <c r="K274" s="37" t="inlineStr">
        <is>
          <t>Automotive</t>
        </is>
      </c>
      <c r="L274" s="38" t="inlineStr">
        <is>
          <t>Developer of autonomous automobiles intended to transform mobility by making it easier and safer. The company's autonomous cars are self-driven without a steering wheel, pedals and are also integrated with sensors and software that are designed to detect pedestrians, cyclists, vehicles and road works, enabling users to have a safer and enjoyable traveling experience.</t>
        </is>
      </c>
      <c r="M274" s="39" t="inlineStr">
        <is>
          <t>X - Google Acclerator</t>
        </is>
      </c>
      <c r="N274" s="40" t="inlineStr">
        <is>
          <t>Accelerator/Incubator Backed</t>
        </is>
      </c>
      <c r="O274" s="41" t="inlineStr">
        <is>
          <t>Privately Held (backing)</t>
        </is>
      </c>
      <c r="P274" s="42" t="inlineStr">
        <is>
          <t>Mountain View, CA</t>
        </is>
      </c>
      <c r="Q274" s="43" t="inlineStr">
        <is>
          <t>www.waymo.com</t>
        </is>
      </c>
      <c r="R274" s="114">
        <f>HYPERLINK("https://my.pitchbook.com?c=169143-76", "View company online")</f>
      </c>
    </row>
    <row r="275">
      <c r="A275" s="9" t="inlineStr">
        <is>
          <t>167071-15</t>
        </is>
      </c>
      <c r="B275" s="10" t="inlineStr">
        <is>
          <t>Wayfarer</t>
        </is>
      </c>
      <c r="C275" s="11" t="n">
        <v>0.32609508696596506</v>
      </c>
      <c r="D275" s="12" t="n">
        <v>1.7064055581004733</v>
      </c>
      <c r="E275" s="13" t="inlineStr">
        <is>
          <t/>
        </is>
      </c>
      <c r="F275" s="14" t="n">
        <v>2.0</v>
      </c>
      <c r="G275" s="15" t="n">
        <v>2132.0</v>
      </c>
      <c r="H275" s="16" t="n">
        <v>1187.0</v>
      </c>
      <c r="I275" s="17" t="inlineStr">
        <is>
          <t/>
        </is>
      </c>
      <c r="J275" s="18" t="inlineStr">
        <is>
          <t/>
        </is>
      </c>
      <c r="K275" s="19" t="inlineStr">
        <is>
          <t>Media and Information Services (B2B)</t>
        </is>
      </c>
      <c r="L275" s="20" t="inlineStr">
        <is>
          <t>Producer of media content for non-profit organizations and advertising agencies. The company specializes in producing media content and offers film and television production services to corporations, non-profit organizations, advertising agencies, educational foundations, schools and start-ups.</t>
        </is>
      </c>
      <c r="M275" s="21" t="inlineStr">
        <is>
          <t>One Planet Ops</t>
        </is>
      </c>
      <c r="N275" s="22" t="inlineStr">
        <is>
          <t>Accelerator/Incubator Backed</t>
        </is>
      </c>
      <c r="O275" s="23" t="inlineStr">
        <is>
          <t>Privately Held (backing)</t>
        </is>
      </c>
      <c r="P275" s="24" t="inlineStr">
        <is>
          <t>Los Angeles, CA</t>
        </is>
      </c>
      <c r="Q275" s="25" t="inlineStr">
        <is>
          <t>www.wearewayfarer.com</t>
        </is>
      </c>
      <c r="R275" s="113">
        <f>HYPERLINK("https://my.pitchbook.com?c=167071-15", "View company online")</f>
      </c>
    </row>
    <row r="276">
      <c r="A276" s="27" t="inlineStr">
        <is>
          <t>89468-92</t>
        </is>
      </c>
      <c r="B276" s="28" t="inlineStr">
        <is>
          <t>Wax Music</t>
        </is>
      </c>
      <c r="C276" s="29" t="n">
        <v>0.0</v>
      </c>
      <c r="D276" s="30" t="n">
        <v>0.13513513513513514</v>
      </c>
      <c r="E276" s="31" t="inlineStr">
        <is>
          <t/>
        </is>
      </c>
      <c r="F276" s="32" t="n">
        <v>5.0</v>
      </c>
      <c r="G276" s="33" t="inlineStr">
        <is>
          <t/>
        </is>
      </c>
      <c r="H276" s="34" t="inlineStr">
        <is>
          <t/>
        </is>
      </c>
      <c r="I276" s="35" t="inlineStr">
        <is>
          <t/>
        </is>
      </c>
      <c r="J276" s="36" t="n">
        <v>0.02</v>
      </c>
      <c r="K276" s="37" t="inlineStr">
        <is>
          <t>Application Software</t>
        </is>
      </c>
      <c r="L276" s="38" t="inlineStr">
        <is>
          <t>Developer of a social application for finding concerts and music events. The company's application helps people in sharing and discovering information about music and music related events and concerts. The company's platform also helps music fans in discovering new artists and buying tickets of their live shows.</t>
        </is>
      </c>
      <c r="M276" s="39" t="inlineStr">
        <is>
          <t>Individual Investor, The Brandery</t>
        </is>
      </c>
      <c r="N276" s="40" t="inlineStr">
        <is>
          <t>Accelerator/Incubator Backed</t>
        </is>
      </c>
      <c r="O276" s="41" t="inlineStr">
        <is>
          <t>Privately Held (backing)</t>
        </is>
      </c>
      <c r="P276" s="42" t="inlineStr">
        <is>
          <t>Los Angeles, CA</t>
        </is>
      </c>
      <c r="Q276" s="43" t="inlineStr">
        <is>
          <t>www.luckypennie.com</t>
        </is>
      </c>
      <c r="R276" s="114">
        <f>HYPERLINK("https://my.pitchbook.com?c=89468-92", "View company online")</f>
      </c>
    </row>
    <row r="277">
      <c r="A277" s="9" t="inlineStr">
        <is>
          <t>160606-36</t>
        </is>
      </c>
      <c r="B277" s="10" t="inlineStr">
        <is>
          <t>Waviot</t>
        </is>
      </c>
      <c r="C277" s="11" t="n">
        <v>0.34042339090545726</v>
      </c>
      <c r="D277" s="12" t="n">
        <v>0.768580903252974</v>
      </c>
      <c r="E277" s="13" t="inlineStr">
        <is>
          <t/>
        </is>
      </c>
      <c r="F277" s="14" t="inlineStr">
        <is>
          <t/>
        </is>
      </c>
      <c r="G277" s="15" t="n">
        <v>179.0</v>
      </c>
      <c r="H277" s="16" t="n">
        <v>465.0</v>
      </c>
      <c r="I277" s="17" t="inlineStr">
        <is>
          <t/>
        </is>
      </c>
      <c r="J277" s="18" t="inlineStr">
        <is>
          <t/>
        </is>
      </c>
      <c r="K277" s="19" t="inlineStr">
        <is>
          <t>Connectivity Products</t>
        </is>
      </c>
      <c r="L277" s="20" t="inlineStr">
        <is>
          <t>Developer of an IoT connectivity electrical equipment. The company provides IoT connectivity product that uses low-power wide-area network to power the machine to machine telemetry and internet of things.</t>
        </is>
      </c>
      <c r="M277" s="21" t="inlineStr">
        <is>
          <t>OwlSpark</t>
        </is>
      </c>
      <c r="N277" s="22" t="inlineStr">
        <is>
          <t>Accelerator/Incubator Backed</t>
        </is>
      </c>
      <c r="O277" s="23" t="inlineStr">
        <is>
          <t>Privately Held (backing)</t>
        </is>
      </c>
      <c r="P277" s="24" t="inlineStr">
        <is>
          <t>Houston, TX</t>
        </is>
      </c>
      <c r="Q277" s="25" t="inlineStr">
        <is>
          <t>www.dgmatics.com</t>
        </is>
      </c>
      <c r="R277" s="113">
        <f>HYPERLINK("https://my.pitchbook.com?c=160606-36", "View company online")</f>
      </c>
    </row>
    <row r="278">
      <c r="A278" s="27" t="inlineStr">
        <is>
          <t>58034-44</t>
        </is>
      </c>
      <c r="B278" s="28" t="inlineStr">
        <is>
          <t>WattzOn</t>
        </is>
      </c>
      <c r="C278" s="29" t="n">
        <v>-0.18893608184520191</v>
      </c>
      <c r="D278" s="30" t="n">
        <v>7.607650022904259</v>
      </c>
      <c r="E278" s="31" t="inlineStr">
        <is>
          <t/>
        </is>
      </c>
      <c r="F278" s="32" t="n">
        <v>424.0</v>
      </c>
      <c r="G278" s="33" t="inlineStr">
        <is>
          <t/>
        </is>
      </c>
      <c r="H278" s="34" t="n">
        <v>1319.0</v>
      </c>
      <c r="I278" s="35" t="n">
        <v>11.0</v>
      </c>
      <c r="J278" s="36" t="n">
        <v>0.75</v>
      </c>
      <c r="K278" s="37" t="inlineStr">
        <is>
          <t>Other Energy Services</t>
        </is>
      </c>
      <c r="L278" s="38" t="inlineStr">
        <is>
          <t>Provider of a software platform to acquire customer utility data. The company's platform enables users to manage and track energy consumption. It also enables users to analyze the data and engage consumers to increase solar adoption and deliver verified energy savings.</t>
        </is>
      </c>
      <c r="M278" s="39" t="inlineStr">
        <is>
          <t>Environmental Business Cluster, Finovate</t>
        </is>
      </c>
      <c r="N278" s="40" t="inlineStr">
        <is>
          <t>Accelerator/Incubator Backed</t>
        </is>
      </c>
      <c r="O278" s="41" t="inlineStr">
        <is>
          <t>Privately Held (backing)</t>
        </is>
      </c>
      <c r="P278" s="42" t="inlineStr">
        <is>
          <t>Mountain View, CA</t>
        </is>
      </c>
      <c r="Q278" s="43" t="inlineStr">
        <is>
          <t>www.wattzon.com</t>
        </is>
      </c>
      <c r="R278" s="114">
        <f>HYPERLINK("https://my.pitchbook.com?c=58034-44", "View company online")</f>
      </c>
    </row>
    <row r="279">
      <c r="A279" s="9" t="inlineStr">
        <is>
          <t>123815-53</t>
        </is>
      </c>
      <c r="B279" s="10" t="inlineStr">
        <is>
          <t>WattTime</t>
        </is>
      </c>
      <c r="C279" s="11" t="n">
        <v>0.7213671216634853</v>
      </c>
      <c r="D279" s="12" t="n">
        <v>0.9419350685562918</v>
      </c>
      <c r="E279" s="13" t="inlineStr">
        <is>
          <t/>
        </is>
      </c>
      <c r="F279" s="14" t="n">
        <v>28.0</v>
      </c>
      <c r="G279" s="15" t="n">
        <v>496.0</v>
      </c>
      <c r="H279" s="16" t="n">
        <v>578.0</v>
      </c>
      <c r="I279" s="17" t="n">
        <v>12.0</v>
      </c>
      <c r="J279" s="18" t="n">
        <v>0.03</v>
      </c>
      <c r="K279" s="19" t="inlineStr">
        <is>
          <t>Application Software</t>
        </is>
      </c>
      <c r="L279" s="20" t="inlineStr">
        <is>
          <t>Developer of a platform for connecting clean energy to smart devices. The company provides data, software and expertise that enables smart devices to prioritize energy from clean power sources.</t>
        </is>
      </c>
      <c r="M279" s="21" t="inlineStr">
        <is>
          <t>CITRIS Foundry, Echoing Green, FastForward Accelerator</t>
        </is>
      </c>
      <c r="N279" s="22" t="inlineStr">
        <is>
          <t>Accelerator/Incubator Backed</t>
        </is>
      </c>
      <c r="O279" s="23" t="inlineStr">
        <is>
          <t>Privately Held (backing)</t>
        </is>
      </c>
      <c r="P279" s="24" t="inlineStr">
        <is>
          <t>Berkeley, CA</t>
        </is>
      </c>
      <c r="Q279" s="25" t="inlineStr">
        <is>
          <t>www.watttime.org</t>
        </is>
      </c>
      <c r="R279" s="113">
        <f>HYPERLINK("https://my.pitchbook.com?c=123815-53", "View company online")</f>
      </c>
    </row>
    <row r="280">
      <c r="A280" s="27" t="inlineStr">
        <is>
          <t>104261-50</t>
        </is>
      </c>
      <c r="B280" s="28" t="inlineStr">
        <is>
          <t>Wattbot</t>
        </is>
      </c>
      <c r="C280" s="29" t="n">
        <v>-0.0028788564459831583</v>
      </c>
      <c r="D280" s="30" t="n">
        <v>1.8337532447701939</v>
      </c>
      <c r="E280" s="31" t="inlineStr">
        <is>
          <t/>
        </is>
      </c>
      <c r="F280" s="32" t="n">
        <v>70.0</v>
      </c>
      <c r="G280" s="33" t="inlineStr">
        <is>
          <t/>
        </is>
      </c>
      <c r="H280" s="34" t="n">
        <v>619.0</v>
      </c>
      <c r="I280" s="35" t="inlineStr">
        <is>
          <t/>
        </is>
      </c>
      <c r="J280" s="36" t="n">
        <v>0.35</v>
      </c>
      <c r="K280" s="37" t="inlineStr">
        <is>
          <t>Consulting Services (B2B)</t>
        </is>
      </c>
      <c r="L280" s="38" t="inlineStr">
        <is>
          <t>Provider of web-based consultancy services for clean energy. The company provides web-based consultancy services for clean energy and provides cost-effective ways to reduce energy bills.</t>
        </is>
      </c>
      <c r="M280" s="39" t="inlineStr">
        <is>
          <t/>
        </is>
      </c>
      <c r="N280" s="40" t="inlineStr">
        <is>
          <t>Angel-Backed</t>
        </is>
      </c>
      <c r="O280" s="41" t="inlineStr">
        <is>
          <t>Privately Held (backing)</t>
        </is>
      </c>
      <c r="P280" s="42" t="inlineStr">
        <is>
          <t>San Francisco, CA</t>
        </is>
      </c>
      <c r="Q280" s="43" t="inlineStr">
        <is>
          <t>www.wattbot.com</t>
        </is>
      </c>
      <c r="R280" s="114">
        <f>HYPERLINK("https://my.pitchbook.com?c=104261-50", "View company online")</f>
      </c>
    </row>
    <row r="281">
      <c r="A281" s="9" t="inlineStr">
        <is>
          <t>56015-83</t>
        </is>
      </c>
      <c r="B281" s="10" t="inlineStr">
        <is>
          <t>Watsi</t>
        </is>
      </c>
      <c r="C281" s="11" t="n">
        <v>-0.25504850964996256</v>
      </c>
      <c r="D281" s="12" t="n">
        <v>10.301822192758083</v>
      </c>
      <c r="E281" s="13" t="inlineStr">
        <is>
          <t/>
        </is>
      </c>
      <c r="F281" s="14" t="n">
        <v>143.0</v>
      </c>
      <c r="G281" s="15" t="n">
        <v>10235.0</v>
      </c>
      <c r="H281" s="16" t="n">
        <v>7350.0</v>
      </c>
      <c r="I281" s="17" t="n">
        <v>15.0</v>
      </c>
      <c r="J281" s="18" t="inlineStr">
        <is>
          <t/>
        </is>
      </c>
      <c r="K281" s="19" t="inlineStr">
        <is>
          <t>Other Financial Services</t>
        </is>
      </c>
      <c r="L281" s="20" t="inlineStr">
        <is>
          <t>Provider of an online peer-to-peer crowd funding platform created to fund charitable causes and projects. The company's platform helps users to fund life-changing medical treatments for under served people in developing countries enabling them to directly support their cause and make a difference.</t>
        </is>
      </c>
      <c r="M281" s="21" t="inlineStr">
        <is>
          <t>Anand Agarawala, Beloved in Christ Foundation, Bobby Goodlatte, Draper Richards Kaplan Foundation, Eric Wu, Geoff Ralston, Ilkka Paananen, InnoSpring (Shanghai) Company, Jasmine Social Investments, Joe Greenstein, Mikko Kodisoja, Paul Buchheit, Paul Graham, Pershing Square Capital Management, Ronald Conway, Sidgmore Family Foundation, Tabreez Verjee, Tencent Industry Win-Win Fund, The Nasiri Foundation, Tsingyuan Ventures, Vinod Khosla, Y Combinator, YC Research</t>
        </is>
      </c>
      <c r="N281" s="22" t="inlineStr">
        <is>
          <t>Accelerator/Incubator Backed</t>
        </is>
      </c>
      <c r="O281" s="23" t="inlineStr">
        <is>
          <t>Privately Held (backing)</t>
        </is>
      </c>
      <c r="P281" s="24" t="inlineStr">
        <is>
          <t>San Francisco, CA</t>
        </is>
      </c>
      <c r="Q281" s="25" t="inlineStr">
        <is>
          <t>www.watsi.org</t>
        </is>
      </c>
      <c r="R281" s="113">
        <f>HYPERLINK("https://my.pitchbook.com?c=56015-83", "View company online")</f>
      </c>
    </row>
    <row r="282">
      <c r="A282" s="27" t="inlineStr">
        <is>
          <t>127667-35</t>
        </is>
      </c>
      <c r="B282" s="28" t="inlineStr">
        <is>
          <t>Watlington Foods</t>
        </is>
      </c>
      <c r="C282" s="29" t="n">
        <v>0.0</v>
      </c>
      <c r="D282" s="30" t="n">
        <v>0.08108108108108109</v>
      </c>
      <c r="E282" s="31" t="inlineStr">
        <is>
          <t/>
        </is>
      </c>
      <c r="F282" s="32" t="n">
        <v>3.0</v>
      </c>
      <c r="G282" s="33" t="inlineStr">
        <is>
          <t/>
        </is>
      </c>
      <c r="H282" s="34" t="inlineStr">
        <is>
          <t/>
        </is>
      </c>
      <c r="I282" s="35" t="inlineStr">
        <is>
          <t/>
        </is>
      </c>
      <c r="J282" s="36" t="inlineStr">
        <is>
          <t/>
        </is>
      </c>
      <c r="K282" s="37" t="inlineStr">
        <is>
          <t>Food Products</t>
        </is>
      </c>
      <c r="L282" s="38" t="inlineStr">
        <is>
          <t>Owner and operator of a confectionery store. The company manufactures chocolates and various type of snacks and confectionery products and also offers gifting and personal consumption packaging services. The company is also expanding into bio-pharma health-building versions of its products.</t>
        </is>
      </c>
      <c r="M282" s="39" t="inlineStr">
        <is>
          <t/>
        </is>
      </c>
      <c r="N282" s="40" t="inlineStr">
        <is>
          <t>Angel-Backed</t>
        </is>
      </c>
      <c r="O282" s="41" t="inlineStr">
        <is>
          <t>Privately Held (backing)</t>
        </is>
      </c>
      <c r="P282" s="42" t="inlineStr">
        <is>
          <t>San Francisco, CA</t>
        </is>
      </c>
      <c r="Q282" s="43" t="inlineStr">
        <is>
          <t>www.watfoods.com</t>
        </is>
      </c>
      <c r="R282" s="114">
        <f>HYPERLINK("https://my.pitchbook.com?c=127667-35", "View company online")</f>
      </c>
    </row>
    <row r="283">
      <c r="A283" s="9" t="inlineStr">
        <is>
          <t>121437-10</t>
        </is>
      </c>
      <c r="B283" s="10" t="inlineStr">
        <is>
          <t>Watercluster</t>
        </is>
      </c>
      <c r="C283" s="85">
        <f>HYPERLINK("https://my.pitchbook.com?rrp=121437-10&amp;type=c", "This Company's information is not available to download. Need this Company? Request availability")</f>
      </c>
      <c r="D283" s="12" t="inlineStr">
        <is>
          <t/>
        </is>
      </c>
      <c r="E283" s="13" t="inlineStr">
        <is>
          <t/>
        </is>
      </c>
      <c r="F283" s="14" t="inlineStr">
        <is>
          <t/>
        </is>
      </c>
      <c r="G283" s="15" t="inlineStr">
        <is>
          <t/>
        </is>
      </c>
      <c r="H283" s="16" t="inlineStr">
        <is>
          <t/>
        </is>
      </c>
      <c r="I283" s="17" t="inlineStr">
        <is>
          <t/>
        </is>
      </c>
      <c r="J283" s="18" t="inlineStr">
        <is>
          <t/>
        </is>
      </c>
      <c r="K283" s="19" t="inlineStr">
        <is>
          <t/>
        </is>
      </c>
      <c r="L283" s="20" t="inlineStr">
        <is>
          <t/>
        </is>
      </c>
      <c r="M283" s="21" t="inlineStr">
        <is>
          <t/>
        </is>
      </c>
      <c r="N283" s="22" t="inlineStr">
        <is>
          <t/>
        </is>
      </c>
      <c r="O283" s="23" t="inlineStr">
        <is>
          <t/>
        </is>
      </c>
      <c r="P283" s="24" t="inlineStr">
        <is>
          <t/>
        </is>
      </c>
      <c r="Q283" s="25" t="inlineStr">
        <is>
          <t/>
        </is>
      </c>
      <c r="R283" s="26" t="inlineStr">
        <is>
          <t/>
        </is>
      </c>
    </row>
    <row r="284">
      <c r="A284" s="27" t="inlineStr">
        <is>
          <t>172664-65</t>
        </is>
      </c>
      <c r="B284" s="28" t="inlineStr">
        <is>
          <t>Water Strider</t>
        </is>
      </c>
      <c r="C284" s="29" t="n">
        <v>-0.13069947950390548</v>
      </c>
      <c r="D284" s="30" t="n">
        <v>3.2162162162162162</v>
      </c>
      <c r="E284" s="31" t="inlineStr">
        <is>
          <t/>
        </is>
      </c>
      <c r="F284" s="32" t="n">
        <v>118.0</v>
      </c>
      <c r="G284" s="33" t="inlineStr">
        <is>
          <t/>
        </is>
      </c>
      <c r="H284" s="34" t="inlineStr">
        <is>
          <t/>
        </is>
      </c>
      <c r="I284" s="35" t="inlineStr">
        <is>
          <t/>
        </is>
      </c>
      <c r="J284" s="36" t="n">
        <v>0.03</v>
      </c>
      <c r="K284" s="37" t="inlineStr">
        <is>
          <t>Electronics (B2C)</t>
        </is>
      </c>
      <c r="L284" s="38" t="inlineStr">
        <is>
          <t>Developer of touch sensor designed for both surface and space usage. The company's touch sensor has high resolution that can be applied to home appliances, robotics, heavy industries and many other fields, enabling customers to resolve technical and cost issues faced for utilizing sensors.</t>
        </is>
      </c>
      <c r="M284" s="39" t="inlineStr">
        <is>
          <t>SparkLabs</t>
        </is>
      </c>
      <c r="N284" s="40" t="inlineStr">
        <is>
          <t>Accelerator/Incubator Backed</t>
        </is>
      </c>
      <c r="O284" s="41" t="inlineStr">
        <is>
          <t>Privately Held (backing)</t>
        </is>
      </c>
      <c r="P284" s="42" t="inlineStr">
        <is>
          <t>San Francisco, CA</t>
        </is>
      </c>
      <c r="Q284" s="43" t="inlineStr">
        <is>
          <t/>
        </is>
      </c>
      <c r="R284" s="114">
        <f>HYPERLINK("https://my.pitchbook.com?c=172664-65", "View company online")</f>
      </c>
    </row>
    <row r="285">
      <c r="A285" s="9" t="inlineStr">
        <is>
          <t>167551-48</t>
        </is>
      </c>
      <c r="B285" s="10" t="inlineStr">
        <is>
          <t>Water Pigeon</t>
        </is>
      </c>
      <c r="C285" s="11" t="n">
        <v>0.0</v>
      </c>
      <c r="D285" s="12" t="n">
        <v>0.4864864864864865</v>
      </c>
      <c r="E285" s="13" t="inlineStr">
        <is>
          <t/>
        </is>
      </c>
      <c r="F285" s="14" t="n">
        <v>18.0</v>
      </c>
      <c r="G285" s="15" t="inlineStr">
        <is>
          <t/>
        </is>
      </c>
      <c r="H285" s="16" t="inlineStr">
        <is>
          <t/>
        </is>
      </c>
      <c r="I285" s="17" t="inlineStr">
        <is>
          <t/>
        </is>
      </c>
      <c r="J285" s="18" t="inlineStr">
        <is>
          <t/>
        </is>
      </c>
      <c r="K285" s="19" t="inlineStr">
        <is>
          <t>Water Utilities</t>
        </is>
      </c>
      <c r="L285" s="20" t="inlineStr">
        <is>
          <t>Developer of automated metering infrastructure for water. The company offers implementation and installation services for water metering utilities without replacing water meters or building private wireless networks.</t>
        </is>
      </c>
      <c r="M285" s="21" t="inlineStr">
        <is>
          <t>EvoNexus</t>
        </is>
      </c>
      <c r="N285" s="22" t="inlineStr">
        <is>
          <t>Accelerator/Incubator Backed</t>
        </is>
      </c>
      <c r="O285" s="23" t="inlineStr">
        <is>
          <t>Privately Held (backing)</t>
        </is>
      </c>
      <c r="P285" s="24" t="inlineStr">
        <is>
          <t>San Diego, CA</t>
        </is>
      </c>
      <c r="Q285" s="25" t="inlineStr">
        <is>
          <t>www.waterpigeon.com</t>
        </is>
      </c>
      <c r="R285" s="113">
        <f>HYPERLINK("https://my.pitchbook.com?c=167551-48", "View company online")</f>
      </c>
    </row>
    <row r="286">
      <c r="A286" s="27" t="inlineStr">
        <is>
          <t>171168-13</t>
        </is>
      </c>
      <c r="B286" s="28" t="inlineStr">
        <is>
          <t>Water Canary</t>
        </is>
      </c>
      <c r="C286" s="29" t="n">
        <v>0.08016606964923058</v>
      </c>
      <c r="D286" s="30" t="n">
        <v>1.3978088257749275</v>
      </c>
      <c r="E286" s="31" t="inlineStr">
        <is>
          <t/>
        </is>
      </c>
      <c r="F286" s="32" t="n">
        <v>54.0</v>
      </c>
      <c r="G286" s="33" t="inlineStr">
        <is>
          <t/>
        </is>
      </c>
      <c r="H286" s="34" t="n">
        <v>471.0</v>
      </c>
      <c r="I286" s="35" t="inlineStr">
        <is>
          <t/>
        </is>
      </c>
      <c r="J286" s="36" t="inlineStr">
        <is>
          <t/>
        </is>
      </c>
      <c r="K286" s="37" t="inlineStr">
        <is>
          <t>Other Commercial Products</t>
        </is>
      </c>
      <c r="L286" s="38" t="inlineStr">
        <is>
          <t>Developer of water testing devices designed to provide water quality data in real-time. The company's water testing devices instantly tests the water quality and transmits the data in real time enabling users to prevent from waterborne illness and water-related emergencies with the available water-quality information.</t>
        </is>
      </c>
      <c r="M286" s="39" t="inlineStr">
        <is>
          <t>Los Angeles Cleantech Incubator</t>
        </is>
      </c>
      <c r="N286" s="40" t="inlineStr">
        <is>
          <t>Accelerator/Incubator Backed</t>
        </is>
      </c>
      <c r="O286" s="41" t="inlineStr">
        <is>
          <t>Privately Held (backing)</t>
        </is>
      </c>
      <c r="P286" s="42" t="inlineStr">
        <is>
          <t>Los Angeles, CA</t>
        </is>
      </c>
      <c r="Q286" s="43" t="inlineStr">
        <is>
          <t>www.watercanary.com</t>
        </is>
      </c>
      <c r="R286" s="114">
        <f>HYPERLINK("https://my.pitchbook.com?c=171168-13", "View company online")</f>
      </c>
    </row>
    <row r="287">
      <c r="A287" s="9" t="inlineStr">
        <is>
          <t>117667-00</t>
        </is>
      </c>
      <c r="B287" s="10" t="inlineStr">
        <is>
          <t>Washos</t>
        </is>
      </c>
      <c r="C287" s="11" t="n">
        <v>2.28268140379124</v>
      </c>
      <c r="D287" s="12" t="n">
        <v>4.129335710065261</v>
      </c>
      <c r="E287" s="13" t="inlineStr">
        <is>
          <t/>
        </is>
      </c>
      <c r="F287" s="14" t="n">
        <v>123.0</v>
      </c>
      <c r="G287" s="15" t="n">
        <v>1190.0</v>
      </c>
      <c r="H287" s="16" t="n">
        <v>2933.0</v>
      </c>
      <c r="I287" s="17" t="n">
        <v>8.0</v>
      </c>
      <c r="J287" s="18" t="n">
        <v>0.02</v>
      </c>
      <c r="K287" s="19" t="inlineStr">
        <is>
          <t>Application Software</t>
        </is>
      </c>
      <c r="L287" s="20" t="inlineStr">
        <is>
          <t>Developer of an application designed to deliver car services at doorstep. The company's application connects users with local car servicing centers and lets them place on-demand car services including car washing, car repairing and preliminary parts fitting, enabling car owners to get their cars serviced anytime without having to visit car cleaning centers in person.</t>
        </is>
      </c>
      <c r="M287" s="21" t="inlineStr">
        <is>
          <t>French Accelerator</t>
        </is>
      </c>
      <c r="N287" s="22" t="inlineStr">
        <is>
          <t>Accelerator/Incubator Backed</t>
        </is>
      </c>
      <c r="O287" s="23" t="inlineStr">
        <is>
          <t>Privately Held (backing)</t>
        </is>
      </c>
      <c r="P287" s="24" t="inlineStr">
        <is>
          <t>Glendale, CA</t>
        </is>
      </c>
      <c r="Q287" s="25" t="inlineStr">
        <is>
          <t>www.washos.com</t>
        </is>
      </c>
      <c r="R287" s="113">
        <f>HYPERLINK("https://my.pitchbook.com?c=117667-00", "View company online")</f>
      </c>
    </row>
    <row r="288">
      <c r="A288" s="27" t="inlineStr">
        <is>
          <t>56187-01</t>
        </is>
      </c>
      <c r="B288" s="28" t="inlineStr">
        <is>
          <t>Warply</t>
        </is>
      </c>
      <c r="C288" s="29" t="n">
        <v>-0.3239390502438579</v>
      </c>
      <c r="D288" s="30" t="n">
        <v>4.450577443429323</v>
      </c>
      <c r="E288" s="31" t="inlineStr">
        <is>
          <t/>
        </is>
      </c>
      <c r="F288" s="32" t="n">
        <v>110.0</v>
      </c>
      <c r="G288" s="33" t="n">
        <v>6942.0</v>
      </c>
      <c r="H288" s="34" t="n">
        <v>1137.0</v>
      </c>
      <c r="I288" s="35" t="inlineStr">
        <is>
          <t/>
        </is>
      </c>
      <c r="J288" s="36" t="n">
        <v>0.5</v>
      </c>
      <c r="K288" s="37" t="inlineStr">
        <is>
          <t>Business/Productivity Software</t>
        </is>
      </c>
      <c r="L288" s="38" t="inlineStr">
        <is>
          <t>Provider of a mobile marketing toolbox designed to offer a mobile marketing and mobile loyalty programs. The company's mobile marketing toolbox provides personalized communication and marketing automation innovation to bring omni-channel customer experiences that drive loyalty, engagement and sales, enabling brands and developers to directly send interactive mobile marketing campaigns to their customer base via push notifications.</t>
        </is>
      </c>
      <c r="M288" s="39" t="inlineStr">
        <is>
          <t/>
        </is>
      </c>
      <c r="N288" s="40" t="inlineStr">
        <is>
          <t>Angel-Backed</t>
        </is>
      </c>
      <c r="O288" s="41" t="inlineStr">
        <is>
          <t>Privately Held (backing)</t>
        </is>
      </c>
      <c r="P288" s="42" t="inlineStr">
        <is>
          <t>Athens, Greece</t>
        </is>
      </c>
      <c r="Q288" s="43" t="inlineStr">
        <is>
          <t>warp.ly</t>
        </is>
      </c>
      <c r="R288" s="114">
        <f>HYPERLINK("https://my.pitchbook.com?c=56187-01", "View company online")</f>
      </c>
    </row>
    <row r="289">
      <c r="A289" s="9" t="inlineStr">
        <is>
          <t>99745-12</t>
        </is>
      </c>
      <c r="B289" s="10" t="inlineStr">
        <is>
          <t>Warehouse Innovations</t>
        </is>
      </c>
      <c r="C289" s="11" t="n">
        <v>-0.6048246040570943</v>
      </c>
      <c r="D289" s="12" t="n">
        <v>27.791270773879468</v>
      </c>
      <c r="E289" s="13" t="inlineStr">
        <is>
          <t/>
        </is>
      </c>
      <c r="F289" s="14" t="n">
        <v>437.0</v>
      </c>
      <c r="G289" s="15" t="n">
        <v>35193.0</v>
      </c>
      <c r="H289" s="16" t="inlineStr">
        <is>
          <t/>
        </is>
      </c>
      <c r="I289" s="17" t="inlineStr">
        <is>
          <t/>
        </is>
      </c>
      <c r="J289" s="18" t="n">
        <v>0.04</v>
      </c>
      <c r="K289" s="19" t="inlineStr">
        <is>
          <t>Other Consumer Durables</t>
        </is>
      </c>
      <c r="L289" s="20" t="inlineStr">
        <is>
          <t>Manufacturer of a lockable plastic container. The company designs and manufactures time-lock containers that can be opened when the timer reaches zero to help people fight food temptation.</t>
        </is>
      </c>
      <c r="M289" s="21" t="inlineStr">
        <is>
          <t>EvoNexus</t>
        </is>
      </c>
      <c r="N289" s="22" t="inlineStr">
        <is>
          <t>Accelerator/Incubator Backed</t>
        </is>
      </c>
      <c r="O289" s="23" t="inlineStr">
        <is>
          <t>Privately Held (backing)</t>
        </is>
      </c>
      <c r="P289" s="24" t="inlineStr">
        <is>
          <t>San Francisco, CA</t>
        </is>
      </c>
      <c r="Q289" s="25" t="inlineStr">
        <is>
          <t>www.thekitchensafe.com</t>
        </is>
      </c>
      <c r="R289" s="113">
        <f>HYPERLINK("https://my.pitchbook.com?c=99745-12", "View company online")</f>
      </c>
    </row>
    <row r="290">
      <c r="A290" s="27" t="inlineStr">
        <is>
          <t>103502-08</t>
        </is>
      </c>
      <c r="B290" s="28" t="inlineStr">
        <is>
          <t>Waraire Boswell</t>
        </is>
      </c>
      <c r="C290" s="29" t="n">
        <v>0.029280374769746702</v>
      </c>
      <c r="D290" s="30" t="n">
        <v>3.6531809417586865</v>
      </c>
      <c r="E290" s="31" t="inlineStr">
        <is>
          <t/>
        </is>
      </c>
      <c r="F290" s="32" t="n">
        <v>18.0</v>
      </c>
      <c r="G290" s="33" t="n">
        <v>8149.0</v>
      </c>
      <c r="H290" s="34" t="n">
        <v>1226.0</v>
      </c>
      <c r="I290" s="35" t="n">
        <v>2.0</v>
      </c>
      <c r="J290" s="36" t="n">
        <v>0.1</v>
      </c>
      <c r="K290" s="37" t="inlineStr">
        <is>
          <t>Clothing</t>
        </is>
      </c>
      <c r="L290" s="38" t="inlineStr">
        <is>
          <t>Designer of apparel for men. The company designs luxury suiting and shirting apparel for men.</t>
        </is>
      </c>
      <c r="M290" s="39" t="inlineStr">
        <is>
          <t>Erika Toriz, Jose Calderon, Paul Kurkijan</t>
        </is>
      </c>
      <c r="N290" s="40" t="inlineStr">
        <is>
          <t>Angel-Backed</t>
        </is>
      </c>
      <c r="O290" s="41" t="inlineStr">
        <is>
          <t>Privately Held (backing)</t>
        </is>
      </c>
      <c r="P290" s="42" t="inlineStr">
        <is>
          <t>Los Angeles, CA</t>
        </is>
      </c>
      <c r="Q290" s="43" t="inlineStr">
        <is>
          <t>www.waraireboswell.com</t>
        </is>
      </c>
      <c r="R290" s="114">
        <f>HYPERLINK("https://my.pitchbook.com?c=103502-08", "View company online")</f>
      </c>
    </row>
    <row r="291">
      <c r="A291" s="9" t="inlineStr">
        <is>
          <t>55801-36</t>
        </is>
      </c>
      <c r="B291" s="10" t="inlineStr">
        <is>
          <t>Wappwolf</t>
        </is>
      </c>
      <c r="C291" s="11" t="n">
        <v>-0.010301800408864636</v>
      </c>
      <c r="D291" s="12" t="n">
        <v>4.770489212235711</v>
      </c>
      <c r="E291" s="13" t="inlineStr">
        <is>
          <t/>
        </is>
      </c>
      <c r="F291" s="14" t="n">
        <v>96.0</v>
      </c>
      <c r="G291" s="15" t="n">
        <v>7567.0</v>
      </c>
      <c r="H291" s="16" t="n">
        <v>1590.0</v>
      </c>
      <c r="I291" s="17" t="n">
        <v>3.0</v>
      </c>
      <c r="J291" s="18" t="n">
        <v>1.2</v>
      </c>
      <c r="K291" s="19" t="inlineStr">
        <is>
          <t>Database Software</t>
        </is>
      </c>
      <c r="L291" s="20" t="inlineStr">
        <is>
          <t>Developer of automates file processing software. The company develops automators to create automatic tasks for files added to each cloud storage system for Dropbox and Google Drive.</t>
        </is>
      </c>
      <c r="M291" s="21" t="inlineStr">
        <is>
          <t>Blackbox, Christian Leeb, Individual Investor</t>
        </is>
      </c>
      <c r="N291" s="22" t="inlineStr">
        <is>
          <t>Accelerator/Incubator Backed</t>
        </is>
      </c>
      <c r="O291" s="23" t="inlineStr">
        <is>
          <t>Privately Held (backing)</t>
        </is>
      </c>
      <c r="P291" s="24" t="inlineStr">
        <is>
          <t>San Francisco, CA</t>
        </is>
      </c>
      <c r="Q291" s="25" t="inlineStr">
        <is>
          <t>www.wappwolf.com</t>
        </is>
      </c>
      <c r="R291" s="113">
        <f>HYPERLINK("https://my.pitchbook.com?c=55801-36", "View company online")</f>
      </c>
    </row>
    <row r="292">
      <c r="A292" s="27" t="inlineStr">
        <is>
          <t>102672-46</t>
        </is>
      </c>
      <c r="B292" s="28" t="inlineStr">
        <is>
          <t>Wantboards</t>
        </is>
      </c>
      <c r="C292" s="29" t="n">
        <v>0.017936433661305713</v>
      </c>
      <c r="D292" s="30" t="n">
        <v>0.26746305206143084</v>
      </c>
      <c r="E292" s="31" t="inlineStr">
        <is>
          <t/>
        </is>
      </c>
      <c r="F292" s="32" t="n">
        <v>1.0</v>
      </c>
      <c r="G292" s="33" t="n">
        <v>513.0</v>
      </c>
      <c r="H292" s="34" t="n">
        <v>134.0</v>
      </c>
      <c r="I292" s="35" t="n">
        <v>3.0</v>
      </c>
      <c r="J292" s="36" t="n">
        <v>0.2</v>
      </c>
      <c r="K292" s="37" t="inlineStr">
        <is>
          <t>Internet Retail</t>
        </is>
      </c>
      <c r="L292" s="38" t="inlineStr">
        <is>
          <t>Developer of a demand based online marketplace. The company's platform allows buyers to post what they want and connects consumers to businesses.</t>
        </is>
      </c>
      <c r="M292" s="39" t="inlineStr">
        <is>
          <t/>
        </is>
      </c>
      <c r="N292" s="40" t="inlineStr">
        <is>
          <t>Angel-Backed</t>
        </is>
      </c>
      <c r="O292" s="41" t="inlineStr">
        <is>
          <t>Privately Held (backing)</t>
        </is>
      </c>
      <c r="P292" s="42" t="inlineStr">
        <is>
          <t>Irvine, CA</t>
        </is>
      </c>
      <c r="Q292" s="43" t="inlineStr">
        <is>
          <t>www.wantboards.com</t>
        </is>
      </c>
      <c r="R292" s="114">
        <f>HYPERLINK("https://my.pitchbook.com?c=102672-46", "View company online")</f>
      </c>
    </row>
    <row r="293">
      <c r="A293" s="9" t="inlineStr">
        <is>
          <t>147471-58</t>
        </is>
      </c>
      <c r="B293" s="10" t="inlineStr">
        <is>
          <t>Wallis State Bank</t>
        </is>
      </c>
      <c r="C293" s="11" t="n">
        <v>-4.11317263878311</v>
      </c>
      <c r="D293" s="12" t="n">
        <v>3.918918918918919</v>
      </c>
      <c r="E293" s="13" t="inlineStr">
        <is>
          <t/>
        </is>
      </c>
      <c r="F293" s="14" t="n">
        <v>144.0</v>
      </c>
      <c r="G293" s="15" t="inlineStr">
        <is>
          <t/>
        </is>
      </c>
      <c r="H293" s="16" t="inlineStr">
        <is>
          <t/>
        </is>
      </c>
      <c r="I293" s="17" t="inlineStr">
        <is>
          <t/>
        </is>
      </c>
      <c r="J293" s="18" t="n">
        <v>4.46</v>
      </c>
      <c r="K293" s="19" t="inlineStr">
        <is>
          <t>Regional Banks</t>
        </is>
      </c>
      <c r="L293" s="20" t="inlineStr">
        <is>
          <t>Operator of a community bank. The company operates a community bank which offers banking and financial services to rural customers as well as international customers.</t>
        </is>
      </c>
      <c r="M293" s="21" t="inlineStr">
        <is>
          <t/>
        </is>
      </c>
      <c r="N293" s="22" t="inlineStr">
        <is>
          <t>Angel-Backed</t>
        </is>
      </c>
      <c r="O293" s="23" t="inlineStr">
        <is>
          <t>Privately Held (backing)</t>
        </is>
      </c>
      <c r="P293" s="24" t="inlineStr">
        <is>
          <t>Houston, TX</t>
        </is>
      </c>
      <c r="Q293" s="25" t="inlineStr">
        <is>
          <t>www.wallisbank.com</t>
        </is>
      </c>
      <c r="R293" s="113">
        <f>HYPERLINK("https://my.pitchbook.com?c=147471-58", "View company online")</f>
      </c>
    </row>
    <row r="294">
      <c r="A294" s="27" t="inlineStr">
        <is>
          <t>88038-64</t>
        </is>
      </c>
      <c r="B294" s="28" t="inlineStr">
        <is>
          <t>Wallie</t>
        </is>
      </c>
      <c r="C294" s="29" t="n">
        <v>0.02554257743706674</v>
      </c>
      <c r="D294" s="30" t="n">
        <v>0.4139563292105665</v>
      </c>
      <c r="E294" s="31" t="inlineStr">
        <is>
          <t/>
        </is>
      </c>
      <c r="F294" s="32" t="n">
        <v>16.0</v>
      </c>
      <c r="G294" s="33" t="inlineStr">
        <is>
          <t/>
        </is>
      </c>
      <c r="H294" s="34" t="n">
        <v>140.0</v>
      </c>
      <c r="I294" s="35" t="n">
        <v>1.0</v>
      </c>
      <c r="J294" s="36" t="n">
        <v>0.1</v>
      </c>
      <c r="K294" s="37" t="inlineStr">
        <is>
          <t>Social/Platform Software</t>
        </is>
      </c>
      <c r="L294" s="38" t="inlineStr">
        <is>
          <t>Provider of an online shopping application that maximizes the rewards available from credit cards and loyalty programs. The company's platform tracks and monitors rewards data. Once a website with relevant offers is accessed, an alert will automatically pop-up letting the user know which card gives them the best value.</t>
        </is>
      </c>
      <c r="M294" s="39" t="inlineStr">
        <is>
          <t>Elevator Fund, Marco Marinucci, Mind the Bridge Foundation</t>
        </is>
      </c>
      <c r="N294" s="40" t="inlineStr">
        <is>
          <t>Accelerator/Incubator Backed</t>
        </is>
      </c>
      <c r="O294" s="41" t="inlineStr">
        <is>
          <t>Privately Held (backing)</t>
        </is>
      </c>
      <c r="P294" s="42" t="inlineStr">
        <is>
          <t>San Francisco, CA</t>
        </is>
      </c>
      <c r="Q294" s="43" t="inlineStr">
        <is>
          <t>www.myze.co</t>
        </is>
      </c>
      <c r="R294" s="114">
        <f>HYPERLINK("https://my.pitchbook.com?c=88038-64", "View company online")</f>
      </c>
    </row>
    <row r="295">
      <c r="A295" s="9" t="inlineStr">
        <is>
          <t>91292-77</t>
        </is>
      </c>
      <c r="B295" s="10" t="inlineStr">
        <is>
          <t>Walla</t>
        </is>
      </c>
      <c r="C295" s="11" t="n">
        <v>0.025266069394381925</v>
      </c>
      <c r="D295" s="12" t="n">
        <v>7.291827209881742</v>
      </c>
      <c r="E295" s="13" t="inlineStr">
        <is>
          <t/>
        </is>
      </c>
      <c r="F295" s="14" t="n">
        <v>2.0</v>
      </c>
      <c r="G295" s="15" t="n">
        <v>11375.0</v>
      </c>
      <c r="H295" s="16" t="n">
        <v>159.0</v>
      </c>
      <c r="I295" s="17" t="n">
        <v>4.0</v>
      </c>
      <c r="J295" s="18" t="n">
        <v>1.4</v>
      </c>
      <c r="K295" s="19" t="inlineStr">
        <is>
          <t>Social/Platform Software</t>
        </is>
      </c>
      <c r="L295" s="20" t="inlineStr">
        <is>
          <t>Developer of an online platform for media distribution. The company provides studios, distributors and filmmakers services for self distribution on leading digital platforms.</t>
        </is>
      </c>
      <c r="M295" s="21" t="inlineStr">
        <is>
          <t/>
        </is>
      </c>
      <c r="N295" s="22" t="inlineStr">
        <is>
          <t>Angel-Backed</t>
        </is>
      </c>
      <c r="O295" s="23" t="inlineStr">
        <is>
          <t>Privately Held (backing)</t>
        </is>
      </c>
      <c r="P295" s="24" t="inlineStr">
        <is>
          <t>Beverly Hills, CA</t>
        </is>
      </c>
      <c r="Q295" s="25" t="inlineStr">
        <is>
          <t>www.walla.la</t>
        </is>
      </c>
      <c r="R295" s="113">
        <f>HYPERLINK("https://my.pitchbook.com?c=91292-77", "View company online")</f>
      </c>
    </row>
    <row r="296">
      <c r="A296" s="27" t="inlineStr">
        <is>
          <t>152058-52</t>
        </is>
      </c>
      <c r="B296" s="28" t="inlineStr">
        <is>
          <t>WaiveCar</t>
        </is>
      </c>
      <c r="C296" s="29" t="n">
        <v>-0.2343553971246654</v>
      </c>
      <c r="D296" s="30" t="n">
        <v>2.141682054725533</v>
      </c>
      <c r="E296" s="31" t="inlineStr">
        <is>
          <t/>
        </is>
      </c>
      <c r="F296" s="32" t="n">
        <v>129.0</v>
      </c>
      <c r="G296" s="33" t="n">
        <v>685.0</v>
      </c>
      <c r="H296" s="34" t="inlineStr">
        <is>
          <t/>
        </is>
      </c>
      <c r="I296" s="35" t="inlineStr">
        <is>
          <t/>
        </is>
      </c>
      <c r="J296" s="36" t="n">
        <v>3.3</v>
      </c>
      <c r="K296" s="37" t="inlineStr">
        <is>
          <t>Application Software</t>
        </is>
      </c>
      <c r="L296" s="38" t="inlineStr">
        <is>
          <t>Provider of an all-electric car-sharing service. The company provides a mobile application that grants access to free car-sharing services. The company enables users to drive free of charge for 2 hours and charges an hourly rate for any additional driving time, subsidizing the first few hours of driving through sold advertisement space on the cars' exteriors.</t>
        </is>
      </c>
      <c r="M296" s="39" t="inlineStr">
        <is>
          <t>Jason Jason Lieber</t>
        </is>
      </c>
      <c r="N296" s="40" t="inlineStr">
        <is>
          <t>Angel-Backed</t>
        </is>
      </c>
      <c r="O296" s="41" t="inlineStr">
        <is>
          <t>Privately Held (backing)</t>
        </is>
      </c>
      <c r="P296" s="42" t="inlineStr">
        <is>
          <t>Santa Monica, CA</t>
        </is>
      </c>
      <c r="Q296" s="43" t="inlineStr">
        <is>
          <t>www.waivecar.com</t>
        </is>
      </c>
      <c r="R296" s="114">
        <f>HYPERLINK("https://my.pitchbook.com?c=152058-52", "View company online")</f>
      </c>
    </row>
    <row r="297">
      <c r="A297" s="9" t="inlineStr">
        <is>
          <t>152734-69</t>
        </is>
      </c>
      <c r="B297" s="10" t="inlineStr">
        <is>
          <t>WageSpot</t>
        </is>
      </c>
      <c r="C297" s="11" t="n">
        <v>0.0015271941274883926</v>
      </c>
      <c r="D297" s="12" t="n">
        <v>0.4634707399261563</v>
      </c>
      <c r="E297" s="13" t="inlineStr">
        <is>
          <t/>
        </is>
      </c>
      <c r="F297" s="14" t="n">
        <v>23.0</v>
      </c>
      <c r="G297" s="15" t="n">
        <v>296.0</v>
      </c>
      <c r="H297" s="16" t="n">
        <v>85.0</v>
      </c>
      <c r="I297" s="17" t="inlineStr">
        <is>
          <t/>
        </is>
      </c>
      <c r="J297" s="18" t="n">
        <v>0.03</v>
      </c>
      <c r="K297" s="19" t="inlineStr">
        <is>
          <t>Information Services (B2C)</t>
        </is>
      </c>
      <c r="L297" s="20" t="inlineStr">
        <is>
          <t>Developer of a location based mobile search application. The company's software allows job seekers to find salary and wage ranges for similar jobs in the industry based on local compensation searches.</t>
        </is>
      </c>
      <c r="M297" s="21" t="inlineStr">
        <is>
          <t>Itzik Lerner</t>
        </is>
      </c>
      <c r="N297" s="22" t="inlineStr">
        <is>
          <t>Angel-Backed</t>
        </is>
      </c>
      <c r="O297" s="23" t="inlineStr">
        <is>
          <t>Privately Held (backing)</t>
        </is>
      </c>
      <c r="P297" s="24" t="inlineStr">
        <is>
          <t>Los Angeles, CA</t>
        </is>
      </c>
      <c r="Q297" s="25" t="inlineStr">
        <is>
          <t>www.wagespot.com</t>
        </is>
      </c>
      <c r="R297" s="113">
        <f>HYPERLINK("https://my.pitchbook.com?c=152734-69", "View company online")</f>
      </c>
    </row>
    <row r="298">
      <c r="A298" s="27" t="inlineStr">
        <is>
          <t>166745-53</t>
        </is>
      </c>
      <c r="B298" s="28" t="inlineStr">
        <is>
          <t>WageKick</t>
        </is>
      </c>
      <c r="C298" s="29" t="n">
        <v>-0.18202946436114842</v>
      </c>
      <c r="D298" s="30" t="n">
        <v>0.7059409762431134</v>
      </c>
      <c r="E298" s="31" t="inlineStr">
        <is>
          <t/>
        </is>
      </c>
      <c r="F298" s="32" t="inlineStr">
        <is>
          <t/>
        </is>
      </c>
      <c r="G298" s="33" t="n">
        <v>136.0</v>
      </c>
      <c r="H298" s="34" t="n">
        <v>439.0</v>
      </c>
      <c r="I298" s="35" t="inlineStr">
        <is>
          <t/>
        </is>
      </c>
      <c r="J298" s="36" t="n">
        <v>0.02</v>
      </c>
      <c r="K298" s="37" t="inlineStr">
        <is>
          <t>Application Software</t>
        </is>
      </c>
      <c r="L298" s="38" t="inlineStr">
        <is>
          <t>Provider of an online job search platform. The company's platform helps job seekers to find jobs on the basis of their education and preferences and also helps companies to find and hire employees by creating personalized profiles on its online platform.</t>
        </is>
      </c>
      <c r="M298" s="39" t="inlineStr">
        <is>
          <t>Boomtown Accelerator</t>
        </is>
      </c>
      <c r="N298" s="40" t="inlineStr">
        <is>
          <t>Accelerator/Incubator Backed</t>
        </is>
      </c>
      <c r="O298" s="41" t="inlineStr">
        <is>
          <t>Privately Held (backing)</t>
        </is>
      </c>
      <c r="P298" s="42" t="inlineStr">
        <is>
          <t>Campbell, CA</t>
        </is>
      </c>
      <c r="Q298" s="43" t="inlineStr">
        <is>
          <t>www.alpha.wagekick.com</t>
        </is>
      </c>
      <c r="R298" s="114">
        <f>HYPERLINK("https://my.pitchbook.com?c=166745-53", "View company online")</f>
      </c>
    </row>
    <row r="299">
      <c r="A299" s="9" t="inlineStr">
        <is>
          <t>174294-01</t>
        </is>
      </c>
      <c r="B299" s="10" t="inlineStr">
        <is>
          <t>VYRL</t>
        </is>
      </c>
      <c r="C299" s="85">
        <f>HYPERLINK("https://my.pitchbook.com?rrp=174294-01&amp;type=c", "This Company's information is not available to download. Need this Company? Request availability")</f>
      </c>
      <c r="D299" s="12" t="inlineStr">
        <is>
          <t/>
        </is>
      </c>
      <c r="E299" s="13" t="inlineStr">
        <is>
          <t/>
        </is>
      </c>
      <c r="F299" s="14" t="inlineStr">
        <is>
          <t/>
        </is>
      </c>
      <c r="G299" s="15" t="inlineStr">
        <is>
          <t/>
        </is>
      </c>
      <c r="H299" s="16" t="inlineStr">
        <is>
          <t/>
        </is>
      </c>
      <c r="I299" s="17" t="inlineStr">
        <is>
          <t/>
        </is>
      </c>
      <c r="J299" s="18" t="inlineStr">
        <is>
          <t/>
        </is>
      </c>
      <c r="K299" s="19" t="inlineStr">
        <is>
          <t/>
        </is>
      </c>
      <c r="L299" s="20" t="inlineStr">
        <is>
          <t/>
        </is>
      </c>
      <c r="M299" s="21" t="inlineStr">
        <is>
          <t/>
        </is>
      </c>
      <c r="N299" s="22" t="inlineStr">
        <is>
          <t/>
        </is>
      </c>
      <c r="O299" s="23" t="inlineStr">
        <is>
          <t/>
        </is>
      </c>
      <c r="P299" s="24" t="inlineStr">
        <is>
          <t/>
        </is>
      </c>
      <c r="Q299" s="25" t="inlineStr">
        <is>
          <t/>
        </is>
      </c>
      <c r="R299" s="26" t="inlineStr">
        <is>
          <t/>
        </is>
      </c>
    </row>
    <row r="300">
      <c r="A300" s="27" t="inlineStr">
        <is>
          <t>120315-79</t>
        </is>
      </c>
      <c r="B300" s="28" t="inlineStr">
        <is>
          <t>Vyrill</t>
        </is>
      </c>
      <c r="C300" s="29" t="n">
        <v>0.14545134828539424</v>
      </c>
      <c r="D300" s="30" t="n">
        <v>0.945116389681607</v>
      </c>
      <c r="E300" s="31" t="inlineStr">
        <is>
          <t/>
        </is>
      </c>
      <c r="F300" s="32" t="n">
        <v>8.0</v>
      </c>
      <c r="G300" s="33" t="n">
        <v>146.0</v>
      </c>
      <c r="H300" s="34" t="n">
        <v>1117.0</v>
      </c>
      <c r="I300" s="35" t="n">
        <v>9.0</v>
      </c>
      <c r="J300" s="36" t="n">
        <v>0.07</v>
      </c>
      <c r="K300" s="37" t="inlineStr">
        <is>
          <t>Information Services (B2C)</t>
        </is>
      </c>
      <c r="L300" s="38" t="inlineStr">
        <is>
          <t>Developer of an online search engine designed to help users to check product videos from across the web and purchase the product directly after viewing the videos. The company's online search engine offers product demos, expert reviews, fan reviews, news clips and installation guidance, enabling consumers to make purchase decision on the basis of these videos and reviews.</t>
        </is>
      </c>
      <c r="M300" s="39" t="inlineStr">
        <is>
          <t>Founder.org, Gener8tor, Marti Hearst, Skydeck | Berkeley</t>
        </is>
      </c>
      <c r="N300" s="40" t="inlineStr">
        <is>
          <t>Accelerator/Incubator Backed</t>
        </is>
      </c>
      <c r="O300" s="41" t="inlineStr">
        <is>
          <t>Privately Held (backing)</t>
        </is>
      </c>
      <c r="P300" s="42" t="inlineStr">
        <is>
          <t>San Francisco, CA</t>
        </is>
      </c>
      <c r="Q300" s="43" t="inlineStr">
        <is>
          <t>www.vyrill.com</t>
        </is>
      </c>
      <c r="R300" s="114">
        <f>HYPERLINK("https://my.pitchbook.com?c=120315-79", "View company online")</f>
      </c>
    </row>
    <row r="301">
      <c r="A301" s="9" t="inlineStr">
        <is>
          <t>173053-00</t>
        </is>
      </c>
      <c r="B301" s="10" t="inlineStr">
        <is>
          <t>Vyoocam</t>
        </is>
      </c>
      <c r="C301" s="85">
        <f>HYPERLINK("https://my.pitchbook.com?rrp=173053-00&amp;type=c", "This Company's information is not available to download. Need this Company? Request availability")</f>
      </c>
      <c r="D301" s="12" t="inlineStr">
        <is>
          <t/>
        </is>
      </c>
      <c r="E301" s="13" t="inlineStr">
        <is>
          <t/>
        </is>
      </c>
      <c r="F301" s="14" t="inlineStr">
        <is>
          <t/>
        </is>
      </c>
      <c r="G301" s="15" t="inlineStr">
        <is>
          <t/>
        </is>
      </c>
      <c r="H301" s="16" t="inlineStr">
        <is>
          <t/>
        </is>
      </c>
      <c r="I301" s="17" t="inlineStr">
        <is>
          <t/>
        </is>
      </c>
      <c r="J301" s="18" t="inlineStr">
        <is>
          <t/>
        </is>
      </c>
      <c r="K301" s="19" t="inlineStr">
        <is>
          <t/>
        </is>
      </c>
      <c r="L301" s="20" t="inlineStr">
        <is>
          <t/>
        </is>
      </c>
      <c r="M301" s="21" t="inlineStr">
        <is>
          <t/>
        </is>
      </c>
      <c r="N301" s="22" t="inlineStr">
        <is>
          <t/>
        </is>
      </c>
      <c r="O301" s="23" t="inlineStr">
        <is>
          <t/>
        </is>
      </c>
      <c r="P301" s="24" t="inlineStr">
        <is>
          <t/>
        </is>
      </c>
      <c r="Q301" s="25" t="inlineStr">
        <is>
          <t/>
        </is>
      </c>
      <c r="R301" s="26" t="inlineStr">
        <is>
          <t/>
        </is>
      </c>
    </row>
    <row r="302">
      <c r="A302" s="27" t="inlineStr">
        <is>
          <t>174923-56</t>
        </is>
      </c>
      <c r="B302" s="28" t="inlineStr">
        <is>
          <t>vushaper</t>
        </is>
      </c>
      <c r="C302" s="86">
        <f>HYPERLINK("https://my.pitchbook.com?rrp=174923-56&amp;type=c", "This Company's information is not available to download. Need this Company? Request availability")</f>
      </c>
      <c r="D302" s="30" t="inlineStr">
        <is>
          <t/>
        </is>
      </c>
      <c r="E302" s="31" t="inlineStr">
        <is>
          <t/>
        </is>
      </c>
      <c r="F302" s="32" t="inlineStr">
        <is>
          <t/>
        </is>
      </c>
      <c r="G302" s="33" t="inlineStr">
        <is>
          <t/>
        </is>
      </c>
      <c r="H302" s="34" t="inlineStr">
        <is>
          <t/>
        </is>
      </c>
      <c r="I302" s="35" t="inlineStr">
        <is>
          <t/>
        </is>
      </c>
      <c r="J302" s="36" t="inlineStr">
        <is>
          <t/>
        </is>
      </c>
      <c r="K302" s="37" t="inlineStr">
        <is>
          <t/>
        </is>
      </c>
      <c r="L302" s="38" t="inlineStr">
        <is>
          <t/>
        </is>
      </c>
      <c r="M302" s="39" t="inlineStr">
        <is>
          <t/>
        </is>
      </c>
      <c r="N302" s="40" t="inlineStr">
        <is>
          <t/>
        </is>
      </c>
      <c r="O302" s="41" t="inlineStr">
        <is>
          <t/>
        </is>
      </c>
      <c r="P302" s="42" t="inlineStr">
        <is>
          <t/>
        </is>
      </c>
      <c r="Q302" s="43" t="inlineStr">
        <is>
          <t/>
        </is>
      </c>
      <c r="R302" s="44" t="inlineStr">
        <is>
          <t/>
        </is>
      </c>
    </row>
    <row r="303">
      <c r="A303" s="9" t="inlineStr">
        <is>
          <t>157954-78</t>
        </is>
      </c>
      <c r="B303" s="10" t="inlineStr">
        <is>
          <t>Vuori</t>
        </is>
      </c>
      <c r="C303" s="11" t="n">
        <v>0.5555077860447319</v>
      </c>
      <c r="D303" s="12" t="n">
        <v>10.439568318713492</v>
      </c>
      <c r="E303" s="13" t="inlineStr">
        <is>
          <t/>
        </is>
      </c>
      <c r="F303" s="14" t="n">
        <v>114.0</v>
      </c>
      <c r="G303" s="15" t="n">
        <v>26836.0</v>
      </c>
      <c r="H303" s="16" t="n">
        <v>702.0</v>
      </c>
      <c r="I303" s="17" t="inlineStr">
        <is>
          <t/>
        </is>
      </c>
      <c r="J303" s="18" t="n">
        <v>2.2</v>
      </c>
      <c r="K303" s="19" t="inlineStr">
        <is>
          <t>Internet Retail</t>
        </is>
      </c>
      <c r="L303" s="20" t="inlineStr">
        <is>
          <t>Operator of an online lifestyle retail store. The company develops an online platform for selling clothes and accessories for men and women.</t>
        </is>
      </c>
      <c r="M303" s="21" t="inlineStr">
        <is>
          <t>ABP Capital</t>
        </is>
      </c>
      <c r="N303" s="22" t="inlineStr">
        <is>
          <t>Angel-Backed</t>
        </is>
      </c>
      <c r="O303" s="23" t="inlineStr">
        <is>
          <t>Privately Held (backing)</t>
        </is>
      </c>
      <c r="P303" s="24" t="inlineStr">
        <is>
          <t>Encinitas, CA</t>
        </is>
      </c>
      <c r="Q303" s="25" t="inlineStr">
        <is>
          <t>www.vuoriclothing.com</t>
        </is>
      </c>
      <c r="R303" s="113">
        <f>HYPERLINK("https://my.pitchbook.com?c=157954-78", "View company online")</f>
      </c>
    </row>
    <row r="304">
      <c r="A304" s="27" t="inlineStr">
        <is>
          <t>103489-66</t>
        </is>
      </c>
      <c r="B304" s="28" t="inlineStr">
        <is>
          <t>VuMedi</t>
        </is>
      </c>
      <c r="C304" s="29" t="n">
        <v>0.38132417178533495</v>
      </c>
      <c r="D304" s="30" t="n">
        <v>6.216979691555963</v>
      </c>
      <c r="E304" s="31" t="inlineStr">
        <is>
          <t/>
        </is>
      </c>
      <c r="F304" s="32" t="n">
        <v>245.0</v>
      </c>
      <c r="G304" s="33" t="inlineStr">
        <is>
          <t/>
        </is>
      </c>
      <c r="H304" s="34" t="n">
        <v>2046.0</v>
      </c>
      <c r="I304" s="35" t="n">
        <v>11.0</v>
      </c>
      <c r="J304" s="36" t="n">
        <v>0.83</v>
      </c>
      <c r="K304" s="37" t="inlineStr">
        <is>
          <t>Educational Software</t>
        </is>
      </c>
      <c r="L304" s="38" t="inlineStr">
        <is>
          <t>Provider of a video education platform for doctors and surgeons. The company provides a video education platform where doctors and surgeons can learn and practice medicine and patient care through a video-sharing website.</t>
        </is>
      </c>
      <c r="M304" s="39" t="inlineStr">
        <is>
          <t/>
        </is>
      </c>
      <c r="N304" s="40" t="inlineStr">
        <is>
          <t>Angel-Backed</t>
        </is>
      </c>
      <c r="O304" s="41" t="inlineStr">
        <is>
          <t>Privately Held (backing)</t>
        </is>
      </c>
      <c r="P304" s="42" t="inlineStr">
        <is>
          <t>San Francisco, CA</t>
        </is>
      </c>
      <c r="Q304" s="43" t="inlineStr">
        <is>
          <t>www.vumedi.com</t>
        </is>
      </c>
      <c r="R304" s="114">
        <f>HYPERLINK("https://my.pitchbook.com?c=103489-66", "View company online")</f>
      </c>
    </row>
    <row r="305">
      <c r="A305" s="9" t="inlineStr">
        <is>
          <t>104256-10</t>
        </is>
      </c>
      <c r="B305" s="10" t="inlineStr">
        <is>
          <t>Vumanity Media</t>
        </is>
      </c>
      <c r="C305" s="11" t="n">
        <v>0.0</v>
      </c>
      <c r="D305" s="12" t="n">
        <v>0.12547717208734158</v>
      </c>
      <c r="E305" s="13" t="inlineStr">
        <is>
          <t/>
        </is>
      </c>
      <c r="F305" s="14" t="n">
        <v>5.0</v>
      </c>
      <c r="G305" s="15" t="n">
        <v>46.0</v>
      </c>
      <c r="H305" s="16" t="n">
        <v>41.0</v>
      </c>
      <c r="I305" s="17" t="n">
        <v>3.0</v>
      </c>
      <c r="J305" s="18" t="n">
        <v>0.73</v>
      </c>
      <c r="K305" s="19" t="inlineStr">
        <is>
          <t>Consulting Services (B2B)</t>
        </is>
      </c>
      <c r="L305" s="20" t="inlineStr">
        <is>
          <t>Provider of social media consultancy services. The company offers services that helps users to create customized talk shows online.</t>
        </is>
      </c>
      <c r="M305" s="21" t="inlineStr">
        <is>
          <t/>
        </is>
      </c>
      <c r="N305" s="22" t="inlineStr">
        <is>
          <t>Angel-Backed</t>
        </is>
      </c>
      <c r="O305" s="23" t="inlineStr">
        <is>
          <t>Privately Held (backing)</t>
        </is>
      </c>
      <c r="P305" s="24" t="inlineStr">
        <is>
          <t>Los Angeles, CA</t>
        </is>
      </c>
      <c r="Q305" s="25" t="inlineStr">
        <is>
          <t>www.vumanity.com</t>
        </is>
      </c>
      <c r="R305" s="113">
        <f>HYPERLINK("https://my.pitchbook.com?c=104256-10", "View company online")</f>
      </c>
    </row>
    <row r="306">
      <c r="A306" s="27" t="inlineStr">
        <is>
          <t>119222-65</t>
        </is>
      </c>
      <c r="B306" s="28" t="inlineStr">
        <is>
          <t>Vulletin</t>
        </is>
      </c>
      <c r="C306" s="29" t="n">
        <v>0.0</v>
      </c>
      <c r="D306" s="30" t="n">
        <v>0.13192853870819973</v>
      </c>
      <c r="E306" s="31" t="inlineStr">
        <is>
          <t/>
        </is>
      </c>
      <c r="F306" s="32" t="n">
        <v>6.0</v>
      </c>
      <c r="G306" s="33" t="inlineStr">
        <is>
          <t/>
        </is>
      </c>
      <c r="H306" s="34" t="n">
        <v>36.0</v>
      </c>
      <c r="I306" s="35" t="n">
        <v>1.0</v>
      </c>
      <c r="J306" s="36" t="inlineStr">
        <is>
          <t/>
        </is>
      </c>
      <c r="K306" s="37" t="inlineStr">
        <is>
          <t>Social/Platform Software</t>
        </is>
      </c>
      <c r="L306" s="38" t="inlineStr">
        <is>
          <t>Provider of a digital bulletin board. The company develops a digital bulletin board that helps organizations to control the content and message posted on their board and helps in generating revenue.</t>
        </is>
      </c>
      <c r="M306" s="39" t="inlineStr">
        <is>
          <t>RevTech Labs</t>
        </is>
      </c>
      <c r="N306" s="40" t="inlineStr">
        <is>
          <t>Accelerator/Incubator Backed</t>
        </is>
      </c>
      <c r="O306" s="41" t="inlineStr">
        <is>
          <t>Privately Held (backing)</t>
        </is>
      </c>
      <c r="P306" s="42" t="inlineStr">
        <is>
          <t>Santa Monica, CA</t>
        </is>
      </c>
      <c r="Q306" s="43" t="inlineStr">
        <is>
          <t>www.vulletin.com</t>
        </is>
      </c>
      <c r="R306" s="114">
        <f>HYPERLINK("https://my.pitchbook.com?c=119222-65", "View company online")</f>
      </c>
    </row>
    <row r="307">
      <c r="A307" s="9" t="inlineStr">
        <is>
          <t>104778-91</t>
        </is>
      </c>
      <c r="B307" s="10" t="inlineStr">
        <is>
          <t>Vufind</t>
        </is>
      </c>
      <c r="C307" s="11" t="n">
        <v>-0.018618230620005054</v>
      </c>
      <c r="D307" s="12" t="n">
        <v>4.047204968944099</v>
      </c>
      <c r="E307" s="13" t="inlineStr">
        <is>
          <t/>
        </is>
      </c>
      <c r="F307" s="14" t="inlineStr">
        <is>
          <t/>
        </is>
      </c>
      <c r="G307" s="15" t="n">
        <v>3257.0</v>
      </c>
      <c r="H307" s="16" t="inlineStr">
        <is>
          <t/>
        </is>
      </c>
      <c r="I307" s="17" t="n">
        <v>4.0</v>
      </c>
      <c r="J307" s="18" t="n">
        <v>0.93</v>
      </c>
      <c r="K307" s="19" t="inlineStr">
        <is>
          <t>Other Commercial Services</t>
        </is>
      </c>
      <c r="L307" s="20" t="inlineStr">
        <is>
          <t>Provider of AI service to e-retailers to increase e-commerce revenue. The company provides a platform to combine catalog, audience, pricing and transaction intelligence which increases the conversion lift for the retailers by identifying the interest of consumers.</t>
        </is>
      </c>
      <c r="M307" s="21" t="inlineStr">
        <is>
          <t>Individual Investor</t>
        </is>
      </c>
      <c r="N307" s="22" t="inlineStr">
        <is>
          <t>Angel-Backed</t>
        </is>
      </c>
      <c r="O307" s="23" t="inlineStr">
        <is>
          <t>Privately Held (backing)</t>
        </is>
      </c>
      <c r="P307" s="24" t="inlineStr">
        <is>
          <t>Walnut Creek, CA</t>
        </is>
      </c>
      <c r="Q307" s="25" t="inlineStr">
        <is>
          <t>www.vufind.com</t>
        </is>
      </c>
      <c r="R307" s="113">
        <f>HYPERLINK("https://my.pitchbook.com?c=104778-91", "View company online")</f>
      </c>
    </row>
    <row r="308">
      <c r="A308" s="27" t="inlineStr">
        <is>
          <t>168597-46</t>
        </is>
      </c>
      <c r="B308" s="28" t="inlineStr">
        <is>
          <t>Vue (Smart Glasses)</t>
        </is>
      </c>
      <c r="C308" s="29" t="n">
        <v>0.7889667535781781</v>
      </c>
      <c r="D308" s="30" t="n">
        <v>4.868170191456853</v>
      </c>
      <c r="E308" s="31" t="inlineStr">
        <is>
          <t/>
        </is>
      </c>
      <c r="F308" s="32" t="n">
        <v>84.0</v>
      </c>
      <c r="G308" s="33" t="n">
        <v>11010.0</v>
      </c>
      <c r="H308" s="34" t="n">
        <v>429.0</v>
      </c>
      <c r="I308" s="35" t="inlineStr">
        <is>
          <t/>
        </is>
      </c>
      <c r="J308" s="36" t="inlineStr">
        <is>
          <t/>
        </is>
      </c>
      <c r="K308" s="37" t="inlineStr">
        <is>
          <t>Accessories</t>
        </is>
      </c>
      <c r="L308" s="38" t="inlineStr">
        <is>
          <t>Manufacturer of smart glasses and eyewear. The company designs and develops spectacles that can be connected via Bluetooth enabling users to hear music, receive calls and view message notifications.</t>
        </is>
      </c>
      <c r="M308" s="39" t="inlineStr">
        <is>
          <t>SOSV</t>
        </is>
      </c>
      <c r="N308" s="40" t="inlineStr">
        <is>
          <t>Accelerator/Incubator Backed</t>
        </is>
      </c>
      <c r="O308" s="41" t="inlineStr">
        <is>
          <t>Privately Held (backing)</t>
        </is>
      </c>
      <c r="P308" s="42" t="inlineStr">
        <is>
          <t>San Francisco, CA</t>
        </is>
      </c>
      <c r="Q308" s="43" t="inlineStr">
        <is>
          <t>www.enjoyvue.com</t>
        </is>
      </c>
      <c r="R308" s="114">
        <f>HYPERLINK("https://my.pitchbook.com?c=168597-46", "View company online")</f>
      </c>
    </row>
    <row r="309">
      <c r="A309" s="9" t="inlineStr">
        <is>
          <t>153749-17</t>
        </is>
      </c>
      <c r="B309" s="10" t="inlineStr">
        <is>
          <t>Vubiq Networks</t>
        </is>
      </c>
      <c r="C309" s="11" t="n">
        <v>-4.535678022139557</v>
      </c>
      <c r="D309" s="12" t="n">
        <v>0.6853718124904566</v>
      </c>
      <c r="E309" s="13" t="inlineStr">
        <is>
          <t/>
        </is>
      </c>
      <c r="F309" s="14" t="n">
        <v>48.0</v>
      </c>
      <c r="G309" s="15" t="inlineStr">
        <is>
          <t/>
        </is>
      </c>
      <c r="H309" s="16" t="n">
        <v>26.0</v>
      </c>
      <c r="I309" s="17" t="inlineStr">
        <is>
          <t/>
        </is>
      </c>
      <c r="J309" s="18" t="n">
        <v>1.0</v>
      </c>
      <c r="K309" s="19" t="inlineStr">
        <is>
          <t>Wireless Communications Equipment</t>
        </is>
      </c>
      <c r="L309" s="20" t="inlineStr">
        <is>
          <t>Developer of components and systems for wireless applications. The company develops transmitters and receivers with embedded antennas and waveguide interfaces for applications such as wireless video transport and wireless point-to-point links.</t>
        </is>
      </c>
      <c r="M309" s="21" t="inlineStr">
        <is>
          <t>Cardinal Health 303, Robin Pimentel, Vivek Garipalli</t>
        </is>
      </c>
      <c r="N309" s="22" t="inlineStr">
        <is>
          <t>Angel-Backed</t>
        </is>
      </c>
      <c r="O309" s="23" t="inlineStr">
        <is>
          <t>Privately Held (backing)</t>
        </is>
      </c>
      <c r="P309" s="24" t="inlineStr">
        <is>
          <t>Irvine, CA</t>
        </is>
      </c>
      <c r="Q309" s="25" t="inlineStr">
        <is>
          <t>www.vubiqnetworks.com</t>
        </is>
      </c>
      <c r="R309" s="113">
        <f>HYPERLINK("https://my.pitchbook.com?c=153749-17", "View company online")</f>
      </c>
    </row>
    <row r="310">
      <c r="A310" s="27" t="inlineStr">
        <is>
          <t>156553-03</t>
        </is>
      </c>
      <c r="B310" s="28" t="inlineStr">
        <is>
          <t>V-Sense Medical Devices</t>
        </is>
      </c>
      <c r="C310" s="29" t="n">
        <v>0.024656382128128016</v>
      </c>
      <c r="D310" s="30" t="n">
        <v>0.26917674596377617</v>
      </c>
      <c r="E310" s="31" t="inlineStr">
        <is>
          <t/>
        </is>
      </c>
      <c r="F310" s="32" t="n">
        <v>13.0</v>
      </c>
      <c r="G310" s="33" t="n">
        <v>10.0</v>
      </c>
      <c r="H310" s="34" t="n">
        <v>128.0</v>
      </c>
      <c r="I310" s="35" t="inlineStr">
        <is>
          <t/>
        </is>
      </c>
      <c r="J310" s="36" t="n">
        <v>0.25</v>
      </c>
      <c r="K310" s="37" t="inlineStr">
        <is>
          <t>Monitoring Equipment</t>
        </is>
      </c>
      <c r="L310" s="38" t="inlineStr">
        <is>
          <t>Developer of remote medical monitoring device. The company uses radar technology to develop a contact-less medical device to monitor and measure heart rate, respiratory rate and other vital signs.</t>
        </is>
      </c>
      <c r="M310" s="39" t="inlineStr">
        <is>
          <t>MedTech Innovator, SOSV</t>
        </is>
      </c>
      <c r="N310" s="40" t="inlineStr">
        <is>
          <t>Accelerator/Incubator Backed</t>
        </is>
      </c>
      <c r="O310" s="41" t="inlineStr">
        <is>
          <t>Privately Held (backing)</t>
        </is>
      </c>
      <c r="P310" s="42" t="inlineStr">
        <is>
          <t>San Francisco, CA</t>
        </is>
      </c>
      <c r="Q310" s="43" t="inlineStr">
        <is>
          <t>www.vsensemedical.com</t>
        </is>
      </c>
      <c r="R310" s="114">
        <f>HYPERLINK("https://my.pitchbook.com?c=156553-03", "View company online")</f>
      </c>
    </row>
    <row r="311">
      <c r="A311" s="9" t="inlineStr">
        <is>
          <t>180397-90</t>
        </is>
      </c>
      <c r="B311" s="10" t="inlineStr">
        <is>
          <t>VRGluv</t>
        </is>
      </c>
      <c r="C311" s="85">
        <f>HYPERLINK("https://my.pitchbook.com?rrp=180397-90&amp;type=c", "This Company's information is not available to download. Need this Company? Request availability")</f>
      </c>
      <c r="D311" s="12" t="inlineStr">
        <is>
          <t/>
        </is>
      </c>
      <c r="E311" s="13" t="inlineStr">
        <is>
          <t/>
        </is>
      </c>
      <c r="F311" s="14" t="inlineStr">
        <is>
          <t/>
        </is>
      </c>
      <c r="G311" s="15" t="inlineStr">
        <is>
          <t/>
        </is>
      </c>
      <c r="H311" s="16" t="inlineStr">
        <is>
          <t/>
        </is>
      </c>
      <c r="I311" s="17" t="inlineStr">
        <is>
          <t/>
        </is>
      </c>
      <c r="J311" s="18" t="inlineStr">
        <is>
          <t/>
        </is>
      </c>
      <c r="K311" s="19" t="inlineStr">
        <is>
          <t/>
        </is>
      </c>
      <c r="L311" s="20" t="inlineStr">
        <is>
          <t/>
        </is>
      </c>
      <c r="M311" s="21" t="inlineStr">
        <is>
          <t/>
        </is>
      </c>
      <c r="N311" s="22" t="inlineStr">
        <is>
          <t/>
        </is>
      </c>
      <c r="O311" s="23" t="inlineStr">
        <is>
          <t/>
        </is>
      </c>
      <c r="P311" s="24" t="inlineStr">
        <is>
          <t/>
        </is>
      </c>
      <c r="Q311" s="25" t="inlineStr">
        <is>
          <t/>
        </is>
      </c>
      <c r="R311" s="26" t="inlineStr">
        <is>
          <t/>
        </is>
      </c>
    </row>
    <row r="312">
      <c r="A312" s="27" t="inlineStr">
        <is>
          <t>174053-26</t>
        </is>
      </c>
      <c r="B312" s="28" t="inlineStr">
        <is>
          <t>Vrentin</t>
        </is>
      </c>
      <c r="C312" s="86">
        <f>HYPERLINK("https://my.pitchbook.com?rrp=174053-26&amp;type=c", "This Company's information is not available to download. Need this Company? Request availability")</f>
      </c>
      <c r="D312" s="30" t="inlineStr">
        <is>
          <t/>
        </is>
      </c>
      <c r="E312" s="31" t="inlineStr">
        <is>
          <t/>
        </is>
      </c>
      <c r="F312" s="32" t="inlineStr">
        <is>
          <t/>
        </is>
      </c>
      <c r="G312" s="33" t="inlineStr">
        <is>
          <t/>
        </is>
      </c>
      <c r="H312" s="34" t="inlineStr">
        <is>
          <t/>
        </is>
      </c>
      <c r="I312" s="35" t="inlineStr">
        <is>
          <t/>
        </is>
      </c>
      <c r="J312" s="36" t="inlineStr">
        <is>
          <t/>
        </is>
      </c>
      <c r="K312" s="37" t="inlineStr">
        <is>
          <t/>
        </is>
      </c>
      <c r="L312" s="38" t="inlineStr">
        <is>
          <t/>
        </is>
      </c>
      <c r="M312" s="39" t="inlineStr">
        <is>
          <t/>
        </is>
      </c>
      <c r="N312" s="40" t="inlineStr">
        <is>
          <t/>
        </is>
      </c>
      <c r="O312" s="41" t="inlineStr">
        <is>
          <t/>
        </is>
      </c>
      <c r="P312" s="42" t="inlineStr">
        <is>
          <t/>
        </is>
      </c>
      <c r="Q312" s="43" t="inlineStr">
        <is>
          <t/>
        </is>
      </c>
      <c r="R312" s="44" t="inlineStr">
        <is>
          <t/>
        </is>
      </c>
    </row>
    <row r="313">
      <c r="A313" s="9" t="inlineStr">
        <is>
          <t>172411-93</t>
        </is>
      </c>
      <c r="B313" s="10" t="inlineStr">
        <is>
          <t>Vrenergy</t>
        </is>
      </c>
      <c r="C313" s="85">
        <f>HYPERLINK("https://my.pitchbook.com?rrp=172411-93&amp;type=c", "This Company's information is not available to download. Need this Company? Request availability")</f>
      </c>
      <c r="D313" s="12" t="inlineStr">
        <is>
          <t/>
        </is>
      </c>
      <c r="E313" s="13" t="inlineStr">
        <is>
          <t/>
        </is>
      </c>
      <c r="F313" s="14" t="inlineStr">
        <is>
          <t/>
        </is>
      </c>
      <c r="G313" s="15" t="inlineStr">
        <is>
          <t/>
        </is>
      </c>
      <c r="H313" s="16" t="inlineStr">
        <is>
          <t/>
        </is>
      </c>
      <c r="I313" s="17" t="inlineStr">
        <is>
          <t/>
        </is>
      </c>
      <c r="J313" s="18" t="inlineStr">
        <is>
          <t/>
        </is>
      </c>
      <c r="K313" s="19" t="inlineStr">
        <is>
          <t/>
        </is>
      </c>
      <c r="L313" s="20" t="inlineStr">
        <is>
          <t/>
        </is>
      </c>
      <c r="M313" s="21" t="inlineStr">
        <is>
          <t/>
        </is>
      </c>
      <c r="N313" s="22" t="inlineStr">
        <is>
          <t/>
        </is>
      </c>
      <c r="O313" s="23" t="inlineStr">
        <is>
          <t/>
        </is>
      </c>
      <c r="P313" s="24" t="inlineStr">
        <is>
          <t/>
        </is>
      </c>
      <c r="Q313" s="25" t="inlineStr">
        <is>
          <t/>
        </is>
      </c>
      <c r="R313" s="26" t="inlineStr">
        <is>
          <t/>
        </is>
      </c>
    </row>
    <row r="314">
      <c r="A314" s="27" t="inlineStr">
        <is>
          <t>171400-24</t>
        </is>
      </c>
      <c r="B314" s="28" t="inlineStr">
        <is>
          <t>VRCommerce</t>
        </is>
      </c>
      <c r="C314" s="86">
        <f>HYPERLINK("https://my.pitchbook.com?rrp=171400-24&amp;type=c", "This Company's information is not available to download. Need this Company? Request availability")</f>
      </c>
      <c r="D314" s="30" t="inlineStr">
        <is>
          <t/>
        </is>
      </c>
      <c r="E314" s="31" t="inlineStr">
        <is>
          <t/>
        </is>
      </c>
      <c r="F314" s="32" t="inlineStr">
        <is>
          <t/>
        </is>
      </c>
      <c r="G314" s="33" t="inlineStr">
        <is>
          <t/>
        </is>
      </c>
      <c r="H314" s="34" t="inlineStr">
        <is>
          <t/>
        </is>
      </c>
      <c r="I314" s="35" t="inlineStr">
        <is>
          <t/>
        </is>
      </c>
      <c r="J314" s="36" t="inlineStr">
        <is>
          <t/>
        </is>
      </c>
      <c r="K314" s="37" t="inlineStr">
        <is>
          <t/>
        </is>
      </c>
      <c r="L314" s="38" t="inlineStr">
        <is>
          <t/>
        </is>
      </c>
      <c r="M314" s="39" t="inlineStr">
        <is>
          <t/>
        </is>
      </c>
      <c r="N314" s="40" t="inlineStr">
        <is>
          <t/>
        </is>
      </c>
      <c r="O314" s="41" t="inlineStr">
        <is>
          <t/>
        </is>
      </c>
      <c r="P314" s="42" t="inlineStr">
        <is>
          <t/>
        </is>
      </c>
      <c r="Q314" s="43" t="inlineStr">
        <is>
          <t/>
        </is>
      </c>
      <c r="R314" s="44" t="inlineStr">
        <is>
          <t/>
        </is>
      </c>
    </row>
    <row r="315">
      <c r="A315" s="9" t="inlineStr">
        <is>
          <t>103096-54</t>
        </is>
      </c>
      <c r="B315" s="10" t="inlineStr">
        <is>
          <t>vPersonalize</t>
        </is>
      </c>
      <c r="C315" s="11" t="n">
        <v>0.05156826614437116</v>
      </c>
      <c r="D315" s="12" t="n">
        <v>0.5769824751585989</v>
      </c>
      <c r="E315" s="13" t="inlineStr">
        <is>
          <t/>
        </is>
      </c>
      <c r="F315" s="14" t="n">
        <v>37.0</v>
      </c>
      <c r="G315" s="15" t="n">
        <v>192.0</v>
      </c>
      <c r="H315" s="16" t="n">
        <v>5.0</v>
      </c>
      <c r="I315" s="17" t="n">
        <v>11.0</v>
      </c>
      <c r="J315" s="18" t="n">
        <v>2.0</v>
      </c>
      <c r="K315" s="19" t="inlineStr">
        <is>
          <t>Application Software</t>
        </is>
      </c>
      <c r="L315" s="20" t="inlineStr">
        <is>
          <t>Developer of apparel and accessory design software that provides advanced features for designers. The company develops 3D visualization and automated pattern generation technologies that support custom sizes, full-bleed, all-overprints, custom styles and choice of fabric and thus helps to visualize, produce and deliver products on-demand to customers.</t>
        </is>
      </c>
      <c r="M315" s="21" t="inlineStr">
        <is>
          <t/>
        </is>
      </c>
      <c r="N315" s="22" t="inlineStr">
        <is>
          <t>Angel-Backed</t>
        </is>
      </c>
      <c r="O315" s="23" t="inlineStr">
        <is>
          <t>Privately Held (backing)</t>
        </is>
      </c>
      <c r="P315" s="24" t="inlineStr">
        <is>
          <t>San Francisco, CA</t>
        </is>
      </c>
      <c r="Q315" s="25" t="inlineStr">
        <is>
          <t>www.vpersonalize.com</t>
        </is>
      </c>
      <c r="R315" s="113">
        <f>HYPERLINK("https://my.pitchbook.com?c=103096-54", "View company online")</f>
      </c>
    </row>
    <row r="316">
      <c r="A316" s="27" t="inlineStr">
        <is>
          <t>135179-20</t>
        </is>
      </c>
      <c r="B316" s="28" t="inlineStr">
        <is>
          <t>Voyaj</t>
        </is>
      </c>
      <c r="C316" s="29" t="n">
        <v>0.30078403190538133</v>
      </c>
      <c r="D316" s="30" t="n">
        <v>2.69223984222142</v>
      </c>
      <c r="E316" s="31" t="inlineStr">
        <is>
          <t/>
        </is>
      </c>
      <c r="F316" s="32" t="n">
        <v>40.0</v>
      </c>
      <c r="G316" s="33" t="n">
        <v>6575.0</v>
      </c>
      <c r="H316" s="34" t="n">
        <v>155.0</v>
      </c>
      <c r="I316" s="35" t="inlineStr">
        <is>
          <t/>
        </is>
      </c>
      <c r="J316" s="36" t="inlineStr">
        <is>
          <t/>
        </is>
      </c>
      <c r="K316" s="37" t="inlineStr">
        <is>
          <t>Information Services (B2C)</t>
        </is>
      </c>
      <c r="L316" s="38" t="inlineStr">
        <is>
          <t>Developer of an online platform for connecting people. The company's platform connects and matches travelers and hosts from around the world, to provide them with cultural experiences opening hearts and minds, while sharing cultures, perspectives and homes.</t>
        </is>
      </c>
      <c r="M316" s="39" t="inlineStr">
        <is>
          <t>Hampshire College Endowment, Valley Venture Mentors</t>
        </is>
      </c>
      <c r="N316" s="40" t="inlineStr">
        <is>
          <t>Accelerator/Incubator Backed</t>
        </is>
      </c>
      <c r="O316" s="41" t="inlineStr">
        <is>
          <t>Privately Held (backing)</t>
        </is>
      </c>
      <c r="P316" s="42" t="inlineStr">
        <is>
          <t>Somerville, MA</t>
        </is>
      </c>
      <c r="Q316" s="43" t="inlineStr">
        <is>
          <t>www.voyaj.com</t>
        </is>
      </c>
      <c r="R316" s="114">
        <f>HYPERLINK("https://my.pitchbook.com?c=135179-20", "View company online")</f>
      </c>
    </row>
    <row r="317">
      <c r="A317" s="9" t="inlineStr">
        <is>
          <t>121523-14</t>
        </is>
      </c>
      <c r="B317" s="10" t="inlineStr">
        <is>
          <t>Voxweb</t>
        </is>
      </c>
      <c r="C317" s="11" t="n">
        <v>-0.034643602167590534</v>
      </c>
      <c r="D317" s="12" t="n">
        <v>10.831477519207807</v>
      </c>
      <c r="E317" s="13" t="inlineStr">
        <is>
          <t/>
        </is>
      </c>
      <c r="F317" s="14" t="n">
        <v>62.0</v>
      </c>
      <c r="G317" s="15" t="n">
        <v>11298.0</v>
      </c>
      <c r="H317" s="16" t="n">
        <v>9183.0</v>
      </c>
      <c r="I317" s="17" t="n">
        <v>3.0</v>
      </c>
      <c r="J317" s="18" t="n">
        <v>0.45</v>
      </c>
      <c r="K317" s="19" t="inlineStr">
        <is>
          <t>Social Content</t>
        </is>
      </c>
      <c r="L317" s="20" t="inlineStr">
        <is>
          <t>Provider of an application software for photo sharing. The company provides an application software which allows users to share and capture photos and also allows to add voice clips.</t>
        </is>
      </c>
      <c r="M317" s="21" t="inlineStr">
        <is>
          <t>Jitendra Gupta, SIDBI Innovation &amp; Incubation Center</t>
        </is>
      </c>
      <c r="N317" s="22" t="inlineStr">
        <is>
          <t>Angel-Backed</t>
        </is>
      </c>
      <c r="O317" s="23" t="inlineStr">
        <is>
          <t>Privately Held (backing)</t>
        </is>
      </c>
      <c r="P317" s="24" t="inlineStr">
        <is>
          <t>San Francisco, CA</t>
        </is>
      </c>
      <c r="Q317" s="25" t="inlineStr">
        <is>
          <t>www.voxweb.rocks</t>
        </is>
      </c>
      <c r="R317" s="113">
        <f>HYPERLINK("https://my.pitchbook.com?c=121523-14", "View company online")</f>
      </c>
    </row>
    <row r="318">
      <c r="A318" s="27" t="inlineStr">
        <is>
          <t>163354-42</t>
        </is>
      </c>
      <c r="B318" s="28" t="inlineStr">
        <is>
          <t>Votion</t>
        </is>
      </c>
      <c r="C318" s="29" t="n">
        <v>-0.148066841879741</v>
      </c>
      <c r="D318" s="30" t="n">
        <v>1.3434565184196725</v>
      </c>
      <c r="E318" s="31" t="inlineStr">
        <is>
          <t/>
        </is>
      </c>
      <c r="F318" s="32" t="n">
        <v>36.0</v>
      </c>
      <c r="G318" s="33" t="n">
        <v>42.0</v>
      </c>
      <c r="H318" s="34" t="n">
        <v>1197.0</v>
      </c>
      <c r="I318" s="35" t="inlineStr">
        <is>
          <t/>
        </is>
      </c>
      <c r="J318" s="36" t="n">
        <v>0.25</v>
      </c>
      <c r="K318" s="37" t="inlineStr">
        <is>
          <t>Business/Productivity Software</t>
        </is>
      </c>
      <c r="L318" s="38" t="inlineStr">
        <is>
          <t>Provider of a marketing and advertisement software. The company's marketing software enables businesses to engage customers through online interactive campaigns, content marketing and advertisements.</t>
        </is>
      </c>
      <c r="M318" s="39" t="inlineStr">
        <is>
          <t>The LAUNCH Incubator</t>
        </is>
      </c>
      <c r="N318" s="40" t="inlineStr">
        <is>
          <t>Accelerator/Incubator Backed</t>
        </is>
      </c>
      <c r="O318" s="41" t="inlineStr">
        <is>
          <t>Privately Held (backing)</t>
        </is>
      </c>
      <c r="P318" s="42" t="inlineStr">
        <is>
          <t>Sausalito, CA</t>
        </is>
      </c>
      <c r="Q318" s="43" t="inlineStr">
        <is>
          <t>www.votion.co</t>
        </is>
      </c>
      <c r="R318" s="114">
        <f>HYPERLINK("https://my.pitchbook.com?c=163354-42", "View company online")</f>
      </c>
    </row>
    <row r="319">
      <c r="A319" s="9" t="inlineStr">
        <is>
          <t>53837-11</t>
        </is>
      </c>
      <c r="B319" s="10" t="inlineStr">
        <is>
          <t>Votigo</t>
        </is>
      </c>
      <c r="C319" s="11" t="n">
        <v>-0.08962545619334278</v>
      </c>
      <c r="D319" s="12" t="n">
        <v>13.043319946433432</v>
      </c>
      <c r="E319" s="13" t="inlineStr">
        <is>
          <t/>
        </is>
      </c>
      <c r="F319" s="14" t="n">
        <v>570.0</v>
      </c>
      <c r="G319" s="15" t="n">
        <v>14737.0</v>
      </c>
      <c r="H319" s="16" t="n">
        <v>1063.0</v>
      </c>
      <c r="I319" s="17" t="inlineStr">
        <is>
          <t/>
        </is>
      </c>
      <c r="J319" s="18" t="n">
        <v>1.68</v>
      </c>
      <c r="K319" s="19" t="inlineStr">
        <is>
          <t>Other Commercial Services</t>
        </is>
      </c>
      <c r="L319" s="20" t="inlineStr">
        <is>
          <t>Provider of social media marketing and promotion services. The company social media marketing and promotion services with a SaaS platform.</t>
        </is>
      </c>
      <c r="M319" s="21" t="inlineStr">
        <is>
          <t>Headwaters, Jeffrey Stibel</t>
        </is>
      </c>
      <c r="N319" s="22" t="inlineStr">
        <is>
          <t>Angel-Backed</t>
        </is>
      </c>
      <c r="O319" s="23" t="inlineStr">
        <is>
          <t>Privately Held (backing)</t>
        </is>
      </c>
      <c r="P319" s="24" t="inlineStr">
        <is>
          <t>Lafayette, CA</t>
        </is>
      </c>
      <c r="Q319" s="25" t="inlineStr">
        <is>
          <t>www.votigo.com</t>
        </is>
      </c>
      <c r="R319" s="113">
        <f>HYPERLINK("https://my.pitchbook.com?c=53837-11", "View company online")</f>
      </c>
    </row>
    <row r="320">
      <c r="A320" s="27" t="inlineStr">
        <is>
          <t>101601-01</t>
        </is>
      </c>
      <c r="B320" s="28" t="inlineStr">
        <is>
          <t>Vote.org</t>
        </is>
      </c>
      <c r="C320" s="29" t="n">
        <v>1.3016442423485626</v>
      </c>
      <c r="D320" s="30" t="n">
        <v>31.498725328128423</v>
      </c>
      <c r="E320" s="31" t="inlineStr">
        <is>
          <t/>
        </is>
      </c>
      <c r="F320" s="32" t="n">
        <v>1927.0</v>
      </c>
      <c r="G320" s="33" t="n">
        <v>10920.0</v>
      </c>
      <c r="H320" s="34" t="n">
        <v>1835.0</v>
      </c>
      <c r="I320" s="35" t="inlineStr">
        <is>
          <t/>
        </is>
      </c>
      <c r="J320" s="36" t="n">
        <v>0.14</v>
      </c>
      <c r="K320" s="37" t="inlineStr">
        <is>
          <t>Application Software</t>
        </is>
      </c>
      <c r="L320" s="38" t="inlineStr">
        <is>
          <t>Developer of an online voting system. The company develops a system where citizens can register to vote, verify their registration and get to vote online.</t>
        </is>
      </c>
      <c r="M320" s="39" t="inlineStr">
        <is>
          <t>Citizen Engagement Lab, Civic Innovation Works, New Media Ventures, Y Combinator</t>
        </is>
      </c>
      <c r="N320" s="40" t="inlineStr">
        <is>
          <t>Accelerator/Incubator Backed</t>
        </is>
      </c>
      <c r="O320" s="41" t="inlineStr">
        <is>
          <t>Privately Held (backing)</t>
        </is>
      </c>
      <c r="P320" s="42" t="inlineStr">
        <is>
          <t>San Francisco, CA</t>
        </is>
      </c>
      <c r="Q320" s="43" t="inlineStr">
        <is>
          <t>www.vote.org</t>
        </is>
      </c>
      <c r="R320" s="114">
        <f>HYPERLINK("https://my.pitchbook.com?c=101601-01", "View company online")</f>
      </c>
    </row>
    <row r="321">
      <c r="A321" s="9" t="inlineStr">
        <is>
          <t>177804-01</t>
        </is>
      </c>
      <c r="B321" s="10" t="inlineStr">
        <is>
          <t>VOSET Architectural Hardware</t>
        </is>
      </c>
      <c r="C321" s="85">
        <f>HYPERLINK("https://my.pitchbook.com?rrp=177804-01&amp;type=c", "This Company's information is not available to download. Need this Company? Request availability")</f>
      </c>
      <c r="D321" s="12" t="inlineStr">
        <is>
          <t/>
        </is>
      </c>
      <c r="E321" s="13" t="inlineStr">
        <is>
          <t/>
        </is>
      </c>
      <c r="F321" s="14" t="inlineStr">
        <is>
          <t/>
        </is>
      </c>
      <c r="G321" s="15" t="inlineStr">
        <is>
          <t/>
        </is>
      </c>
      <c r="H321" s="16" t="inlineStr">
        <is>
          <t/>
        </is>
      </c>
      <c r="I321" s="17" t="inlineStr">
        <is>
          <t/>
        </is>
      </c>
      <c r="J321" s="18" t="inlineStr">
        <is>
          <t/>
        </is>
      </c>
      <c r="K321" s="19" t="inlineStr">
        <is>
          <t/>
        </is>
      </c>
      <c r="L321" s="20" t="inlineStr">
        <is>
          <t/>
        </is>
      </c>
      <c r="M321" s="21" t="inlineStr">
        <is>
          <t/>
        </is>
      </c>
      <c r="N321" s="22" t="inlineStr">
        <is>
          <t/>
        </is>
      </c>
      <c r="O321" s="23" t="inlineStr">
        <is>
          <t/>
        </is>
      </c>
      <c r="P321" s="24" t="inlineStr">
        <is>
          <t/>
        </is>
      </c>
      <c r="Q321" s="25" t="inlineStr">
        <is>
          <t/>
        </is>
      </c>
      <c r="R321" s="26" t="inlineStr">
        <is>
          <t/>
        </is>
      </c>
    </row>
    <row r="322">
      <c r="A322" s="27" t="inlineStr">
        <is>
          <t>99075-88</t>
        </is>
      </c>
      <c r="B322" s="28" t="inlineStr">
        <is>
          <t>Vorm</t>
        </is>
      </c>
      <c r="C322" s="29" t="n">
        <v>0.5259142435940579</v>
      </c>
      <c r="D322" s="30" t="n">
        <v>1.30423377899428</v>
      </c>
      <c r="E322" s="31" t="inlineStr">
        <is>
          <t/>
        </is>
      </c>
      <c r="F322" s="32" t="inlineStr">
        <is>
          <t/>
        </is>
      </c>
      <c r="G322" s="33" t="n">
        <v>1618.0</v>
      </c>
      <c r="H322" s="34" t="n">
        <v>211.0</v>
      </c>
      <c r="I322" s="35" t="n">
        <v>16.0</v>
      </c>
      <c r="J322" s="36" t="inlineStr">
        <is>
          <t/>
        </is>
      </c>
      <c r="K322" s="37" t="inlineStr">
        <is>
          <t>Electronics (B2C)</t>
        </is>
      </c>
      <c r="L322" s="38" t="inlineStr">
        <is>
          <t>Developer of a precision sensitive device designed to measure the temperature and humidity in any given environment. The company's Bluetooth connected precision sensitive device has inbuilt proximity sensors that senses humidity and temperature and sends notifications via a mobile application, enabling users to be aware of occurrences taking place in their surroundings and keep homes safe.</t>
        </is>
      </c>
      <c r="M322" s="39" t="inlineStr">
        <is>
          <t>Hubraum</t>
        </is>
      </c>
      <c r="N322" s="40" t="inlineStr">
        <is>
          <t>Accelerator/Incubator Backed</t>
        </is>
      </c>
      <c r="O322" s="41" t="inlineStr">
        <is>
          <t>Privately Held (backing)</t>
        </is>
      </c>
      <c r="P322" s="42" t="inlineStr">
        <is>
          <t>San Francisco, CA</t>
        </is>
      </c>
      <c r="Q322" s="43" t="inlineStr">
        <is>
          <t>www.vorm.io</t>
        </is>
      </c>
      <c r="R322" s="114">
        <f>HYPERLINK("https://my.pitchbook.com?c=99075-88", "View company online")</f>
      </c>
    </row>
    <row r="323">
      <c r="A323" s="9" t="inlineStr">
        <is>
          <t>172282-60</t>
        </is>
      </c>
      <c r="B323" s="10" t="inlineStr">
        <is>
          <t>Vor Data Systems</t>
        </is>
      </c>
      <c r="C323" s="85">
        <f>HYPERLINK("https://my.pitchbook.com?rrp=172282-60&amp;type=c", "This Company's information is not available to download. Need this Company? Request availability")</f>
      </c>
      <c r="D323" s="12" t="inlineStr">
        <is>
          <t/>
        </is>
      </c>
      <c r="E323" s="13" t="inlineStr">
        <is>
          <t/>
        </is>
      </c>
      <c r="F323" s="14" t="inlineStr">
        <is>
          <t/>
        </is>
      </c>
      <c r="G323" s="15" t="inlineStr">
        <is>
          <t/>
        </is>
      </c>
      <c r="H323" s="16" t="inlineStr">
        <is>
          <t/>
        </is>
      </c>
      <c r="I323" s="17" t="inlineStr">
        <is>
          <t/>
        </is>
      </c>
      <c r="J323" s="18" t="inlineStr">
        <is>
          <t/>
        </is>
      </c>
      <c r="K323" s="19" t="inlineStr">
        <is>
          <t/>
        </is>
      </c>
      <c r="L323" s="20" t="inlineStr">
        <is>
          <t/>
        </is>
      </c>
      <c r="M323" s="21" t="inlineStr">
        <is>
          <t/>
        </is>
      </c>
      <c r="N323" s="22" t="inlineStr">
        <is>
          <t/>
        </is>
      </c>
      <c r="O323" s="23" t="inlineStr">
        <is>
          <t/>
        </is>
      </c>
      <c r="P323" s="24" t="inlineStr">
        <is>
          <t/>
        </is>
      </c>
      <c r="Q323" s="25" t="inlineStr">
        <is>
          <t/>
        </is>
      </c>
      <c r="R323" s="26" t="inlineStr">
        <is>
          <t/>
        </is>
      </c>
    </row>
    <row r="324">
      <c r="A324" s="27" t="inlineStr">
        <is>
          <t>102888-37</t>
        </is>
      </c>
      <c r="B324" s="28" t="inlineStr">
        <is>
          <t>Voopes</t>
        </is>
      </c>
      <c r="C324" s="29" t="n">
        <v>0.0</v>
      </c>
      <c r="D324" s="30" t="n">
        <v>0.03673350158243305</v>
      </c>
      <c r="E324" s="31" t="inlineStr">
        <is>
          <t/>
        </is>
      </c>
      <c r="F324" s="32" t="n">
        <v>1.0</v>
      </c>
      <c r="G324" s="33" t="n">
        <v>2.0</v>
      </c>
      <c r="H324" s="34" t="n">
        <v>32.0</v>
      </c>
      <c r="I324" s="35" t="inlineStr">
        <is>
          <t/>
        </is>
      </c>
      <c r="J324" s="36" t="inlineStr">
        <is>
          <t/>
        </is>
      </c>
      <c r="K324" s="37" t="inlineStr">
        <is>
          <t>Other Financial Services</t>
        </is>
      </c>
      <c r="L324" s="38" t="inlineStr">
        <is>
          <t>Provider of virtual currency services. The company offers player acquisition and virtual currency services for game publishers.</t>
        </is>
      </c>
      <c r="M324" s="39" t="inlineStr">
        <is>
          <t>Premanco Ventures</t>
        </is>
      </c>
      <c r="N324" s="40" t="inlineStr">
        <is>
          <t>Angel-Backed</t>
        </is>
      </c>
      <c r="O324" s="41" t="inlineStr">
        <is>
          <t>Privately Held (backing)</t>
        </is>
      </c>
      <c r="P324" s="42" t="inlineStr">
        <is>
          <t>Burlingame, CA</t>
        </is>
      </c>
      <c r="Q324" s="43" t="inlineStr">
        <is>
          <t>www.voopes.com</t>
        </is>
      </c>
      <c r="R324" s="114">
        <f>HYPERLINK("https://my.pitchbook.com?c=102888-37", "View company online")</f>
      </c>
    </row>
    <row r="325">
      <c r="A325" s="9" t="inlineStr">
        <is>
          <t>98021-44</t>
        </is>
      </c>
      <c r="B325" s="10" t="inlineStr">
        <is>
          <t>Voodle</t>
        </is>
      </c>
      <c r="C325" s="11" t="n">
        <v>0.08217527231159381</v>
      </c>
      <c r="D325" s="12" t="n">
        <v>0.20943608099098152</v>
      </c>
      <c r="E325" s="13" t="inlineStr">
        <is>
          <t/>
        </is>
      </c>
      <c r="F325" s="14" t="inlineStr">
        <is>
          <t/>
        </is>
      </c>
      <c r="G325" s="15" t="n">
        <v>318.0</v>
      </c>
      <c r="H325" s="16" t="n">
        <v>8.0</v>
      </c>
      <c r="I325" s="17" t="n">
        <v>1.0</v>
      </c>
      <c r="J325" s="18" t="n">
        <v>0.38</v>
      </c>
      <c r="K325" s="19" t="inlineStr">
        <is>
          <t>Movies, Music and Entertainment</t>
        </is>
      </c>
      <c r="L325" s="20" t="inlineStr">
        <is>
          <t>Provider of a photo based mobile application. The company offers a software that automatically combines memories of friends and family by sequencing photos or other images into video.</t>
        </is>
      </c>
      <c r="M325" s="21" t="inlineStr">
        <is>
          <t/>
        </is>
      </c>
      <c r="N325" s="22" t="inlineStr">
        <is>
          <t>Accelerator/Incubator Backed</t>
        </is>
      </c>
      <c r="O325" s="23" t="inlineStr">
        <is>
          <t>Privately Held (backing)</t>
        </is>
      </c>
      <c r="P325" s="24" t="inlineStr">
        <is>
          <t>Beverly Hills, CA</t>
        </is>
      </c>
      <c r="Q325" s="25" t="inlineStr">
        <is>
          <t>www.voodle.io</t>
        </is>
      </c>
      <c r="R325" s="113">
        <f>HYPERLINK("https://my.pitchbook.com?c=98021-44", "View company online")</f>
      </c>
    </row>
    <row r="326">
      <c r="A326" s="27" t="inlineStr">
        <is>
          <t>61012-09</t>
        </is>
      </c>
      <c r="B326" s="28" t="inlineStr">
        <is>
          <t>Volvant</t>
        </is>
      </c>
      <c r="C326" s="29" t="n">
        <v>0.0031567625735787965</v>
      </c>
      <c r="D326" s="30" t="n">
        <v>0.8435170985281524</v>
      </c>
      <c r="E326" s="31" t="inlineStr">
        <is>
          <t/>
        </is>
      </c>
      <c r="F326" s="32" t="n">
        <v>45.0</v>
      </c>
      <c r="G326" s="33" t="n">
        <v>567.0</v>
      </c>
      <c r="H326" s="34" t="n">
        <v>84.0</v>
      </c>
      <c r="I326" s="35" t="n">
        <v>3.0</v>
      </c>
      <c r="J326" s="36" t="n">
        <v>0.4</v>
      </c>
      <c r="K326" s="37" t="inlineStr">
        <is>
          <t>Other Commercial Services</t>
        </is>
      </c>
      <c r="L326" s="38" t="inlineStr">
        <is>
          <t>Provider of a social marketing platform. The company offers a social commerce platform that helps marketers to generate business in social sites by providing business intelligence tools and mobile and canvas applications.</t>
        </is>
      </c>
      <c r="M326" s="39" t="inlineStr">
        <is>
          <t/>
        </is>
      </c>
      <c r="N326" s="40" t="inlineStr">
        <is>
          <t>Angel-Backed</t>
        </is>
      </c>
      <c r="O326" s="41" t="inlineStr">
        <is>
          <t>Privately Held (backing)</t>
        </is>
      </c>
      <c r="P326" s="42" t="inlineStr">
        <is>
          <t>Santa Barbara, CA</t>
        </is>
      </c>
      <c r="Q326" s="43" t="inlineStr">
        <is>
          <t>www.volvant.com</t>
        </is>
      </c>
      <c r="R326" s="114">
        <f>HYPERLINK("https://my.pitchbook.com?c=61012-09", "View company online")</f>
      </c>
    </row>
    <row r="327">
      <c r="A327" s="9" t="inlineStr">
        <is>
          <t>117253-27</t>
        </is>
      </c>
      <c r="B327" s="10" t="inlineStr">
        <is>
          <t>Voltus</t>
        </is>
      </c>
      <c r="C327" s="11" t="n">
        <v>0.0</v>
      </c>
      <c r="D327" s="12" t="n">
        <v>0.21220797068254696</v>
      </c>
      <c r="E327" s="13" t="inlineStr">
        <is>
          <t/>
        </is>
      </c>
      <c r="F327" s="14" t="n">
        <v>11.0</v>
      </c>
      <c r="G327" s="15" t="inlineStr">
        <is>
          <t/>
        </is>
      </c>
      <c r="H327" s="16" t="n">
        <v>45.0</v>
      </c>
      <c r="I327" s="17" t="n">
        <v>2.0</v>
      </c>
      <c r="J327" s="18" t="n">
        <v>0.08</v>
      </c>
      <c r="K327" s="19" t="inlineStr">
        <is>
          <t>Electronics (B2C)</t>
        </is>
      </c>
      <c r="L327" s="20" t="inlineStr">
        <is>
          <t>Manufacturer of a battery for mobile devices. The company manufactures a battery which can charge MacBook and two USB devices simultaneously.</t>
        </is>
      </c>
      <c r="M327" s="21" t="inlineStr">
        <is>
          <t/>
        </is>
      </c>
      <c r="N327" s="22" t="inlineStr">
        <is>
          <t>Angel-Backed</t>
        </is>
      </c>
      <c r="O327" s="23" t="inlineStr">
        <is>
          <t>Privately Held (backing)</t>
        </is>
      </c>
      <c r="P327" s="24" t="inlineStr">
        <is>
          <t>San Francisco, CA</t>
        </is>
      </c>
      <c r="Q327" s="25" t="inlineStr">
        <is>
          <t>www.getvoltus.com</t>
        </is>
      </c>
      <c r="R327" s="113">
        <f>HYPERLINK("https://my.pitchbook.com?c=117253-27", "View company online")</f>
      </c>
    </row>
    <row r="328">
      <c r="A328" s="27" t="inlineStr">
        <is>
          <t>104253-76</t>
        </is>
      </c>
      <c r="B328" s="28" t="inlineStr">
        <is>
          <t>Voltset</t>
        </is>
      </c>
      <c r="C328" s="86">
        <f>HYPERLINK("https://my.pitchbook.com?rrp=104253-76&amp;type=c", "This Company's information is not available to download. Need this Company? Request availability")</f>
      </c>
      <c r="D328" s="30" t="inlineStr">
        <is>
          <t/>
        </is>
      </c>
      <c r="E328" s="31" t="inlineStr">
        <is>
          <t/>
        </is>
      </c>
      <c r="F328" s="32" t="inlineStr">
        <is>
          <t/>
        </is>
      </c>
      <c r="G328" s="33" t="inlineStr">
        <is>
          <t/>
        </is>
      </c>
      <c r="H328" s="34" t="inlineStr">
        <is>
          <t/>
        </is>
      </c>
      <c r="I328" s="35" t="inlineStr">
        <is>
          <t/>
        </is>
      </c>
      <c r="J328" s="36" t="inlineStr">
        <is>
          <t/>
        </is>
      </c>
      <c r="K328" s="37" t="inlineStr">
        <is>
          <t/>
        </is>
      </c>
      <c r="L328" s="38" t="inlineStr">
        <is>
          <t/>
        </is>
      </c>
      <c r="M328" s="39" t="inlineStr">
        <is>
          <t/>
        </is>
      </c>
      <c r="N328" s="40" t="inlineStr">
        <is>
          <t/>
        </is>
      </c>
      <c r="O328" s="41" t="inlineStr">
        <is>
          <t/>
        </is>
      </c>
      <c r="P328" s="42" t="inlineStr">
        <is>
          <t/>
        </is>
      </c>
      <c r="Q328" s="43" t="inlineStr">
        <is>
          <t/>
        </is>
      </c>
      <c r="R328" s="44" t="inlineStr">
        <is>
          <t/>
        </is>
      </c>
    </row>
    <row r="329">
      <c r="A329" s="9" t="inlineStr">
        <is>
          <t>178888-15</t>
        </is>
      </c>
      <c r="B329" s="10" t="inlineStr">
        <is>
          <t>Volt Health</t>
        </is>
      </c>
      <c r="C329" s="11" t="n">
        <v>0.0</v>
      </c>
      <c r="D329" s="12" t="n">
        <v>1.972972972972973</v>
      </c>
      <c r="E329" s="13" t="inlineStr">
        <is>
          <t/>
        </is>
      </c>
      <c r="F329" s="14" t="n">
        <v>72.0</v>
      </c>
      <c r="G329" s="15" t="inlineStr">
        <is>
          <t/>
        </is>
      </c>
      <c r="H329" s="16" t="inlineStr">
        <is>
          <t/>
        </is>
      </c>
      <c r="I329" s="17" t="inlineStr">
        <is>
          <t/>
        </is>
      </c>
      <c r="J329" s="18" t="n">
        <v>0.12</v>
      </c>
      <c r="K329" s="19" t="inlineStr">
        <is>
          <t>Monitoring Equipment</t>
        </is>
      </c>
      <c r="L329" s="20" t="inlineStr">
        <is>
          <t>Developer of an electro-stimulation wearable device designed to treat diseases like incontinence. The company develops a neuro-stimulation wearable devices designed to stimulate the muscles in order to give feedback to the receptors and helping users who are suffering from incontinence and migraines.</t>
        </is>
      </c>
      <c r="M329" s="21" t="inlineStr">
        <is>
          <t>Y Combinator</t>
        </is>
      </c>
      <c r="N329" s="22" t="inlineStr">
        <is>
          <t>Accelerator/Incubator Backed</t>
        </is>
      </c>
      <c r="O329" s="23" t="inlineStr">
        <is>
          <t>Privately Held (backing)</t>
        </is>
      </c>
      <c r="P329" s="24" t="inlineStr">
        <is>
          <t>Mountain View, CA</t>
        </is>
      </c>
      <c r="Q329" s="25" t="inlineStr">
        <is>
          <t>www.volthealth.com</t>
        </is>
      </c>
      <c r="R329" s="113">
        <f>HYPERLINK("https://my.pitchbook.com?c=178888-15", "View company online")</f>
      </c>
    </row>
    <row r="330">
      <c r="A330" s="27" t="inlineStr">
        <is>
          <t>171163-54</t>
        </is>
      </c>
      <c r="B330" s="28" t="inlineStr">
        <is>
          <t>Volley</t>
        </is>
      </c>
      <c r="C330" s="29" t="n">
        <v>0.0</v>
      </c>
      <c r="D330" s="30" t="n">
        <v>0.24901741672191194</v>
      </c>
      <c r="E330" s="31" t="inlineStr">
        <is>
          <t/>
        </is>
      </c>
      <c r="F330" s="32" t="n">
        <v>14.0</v>
      </c>
      <c r="G330" s="33" t="n">
        <v>13.0</v>
      </c>
      <c r="H330" s="34" t="n">
        <v>79.0</v>
      </c>
      <c r="I330" s="35" t="inlineStr">
        <is>
          <t/>
        </is>
      </c>
      <c r="J330" s="36" t="n">
        <v>0.12</v>
      </c>
      <c r="K330" s="37" t="inlineStr">
        <is>
          <t>Entertainment Software</t>
        </is>
      </c>
      <c r="L330" s="38" t="inlineStr">
        <is>
          <t>Developer of casual games designed to facilitate communication. The company develops casual games which are built on top of messaging platforms, enabling users to communicate while playing games.</t>
        </is>
      </c>
      <c r="M330" s="39" t="inlineStr">
        <is>
          <t>Boost VC, NFX Guild</t>
        </is>
      </c>
      <c r="N330" s="40" t="inlineStr">
        <is>
          <t>Accelerator/Incubator Backed</t>
        </is>
      </c>
      <c r="O330" s="41" t="inlineStr">
        <is>
          <t>Privately Held (backing)</t>
        </is>
      </c>
      <c r="P330" s="42" t="inlineStr">
        <is>
          <t>Menlo Park, CA</t>
        </is>
      </c>
      <c r="Q330" s="43" t="inlineStr">
        <is>
          <t>www.volleybots.com</t>
        </is>
      </c>
      <c r="R330" s="114">
        <f>HYPERLINK("https://my.pitchbook.com?c=171163-54", "View company online")</f>
      </c>
    </row>
    <row r="331">
      <c r="A331" s="9" t="inlineStr">
        <is>
          <t>162833-14</t>
        </is>
      </c>
      <c r="B331" s="10" t="inlineStr">
        <is>
          <t>Volata Cycles</t>
        </is>
      </c>
      <c r="C331" s="11" t="n">
        <v>-0.17447711463439317</v>
      </c>
      <c r="D331" s="12" t="n">
        <v>3.3869818444615793</v>
      </c>
      <c r="E331" s="13" t="inlineStr">
        <is>
          <t/>
        </is>
      </c>
      <c r="F331" s="14" t="n">
        <v>144.0</v>
      </c>
      <c r="G331" s="15" t="n">
        <v>3914.0</v>
      </c>
      <c r="H331" s="16" t="n">
        <v>318.0</v>
      </c>
      <c r="I331" s="17" t="inlineStr">
        <is>
          <t/>
        </is>
      </c>
      <c r="J331" s="18" t="n">
        <v>0.32</v>
      </c>
      <c r="K331" s="19" t="inlineStr">
        <is>
          <t>Other Consumer Durables</t>
        </is>
      </c>
      <c r="L331" s="20" t="inlineStr">
        <is>
          <t>Designer and engineers of smart bicycles. The company produces high-tech bicycles that are equipped with an app-based built-in computer that tracks performance, presents ride stats, and offers navigation, among other features. The bicycles have an automated lighting system, horn, anti-theft system, and smartphone connectivity.</t>
        </is>
      </c>
      <c r="M331" s="21" t="inlineStr">
        <is>
          <t/>
        </is>
      </c>
      <c r="N331" s="22" t="inlineStr">
        <is>
          <t>Angel-Backed</t>
        </is>
      </c>
      <c r="O331" s="23" t="inlineStr">
        <is>
          <t>Privately Held (backing)</t>
        </is>
      </c>
      <c r="P331" s="24" t="inlineStr">
        <is>
          <t>San Francisco, CA</t>
        </is>
      </c>
      <c r="Q331" s="25" t="inlineStr">
        <is>
          <t>www.volatacycles.com</t>
        </is>
      </c>
      <c r="R331" s="113">
        <f>HYPERLINK("https://my.pitchbook.com?c=162833-14", "View company online")</f>
      </c>
    </row>
    <row r="332">
      <c r="A332" s="27" t="inlineStr">
        <is>
          <t>163852-75</t>
        </is>
      </c>
      <c r="B332" s="28" t="inlineStr">
        <is>
          <t>Volans-I</t>
        </is>
      </c>
      <c r="C332" s="29" t="n">
        <v>4.09561680934094</v>
      </c>
      <c r="D332" s="30" t="n">
        <v>2.521644525881814</v>
      </c>
      <c r="E332" s="31" t="inlineStr">
        <is>
          <t/>
        </is>
      </c>
      <c r="F332" s="32" t="n">
        <v>166.0</v>
      </c>
      <c r="G332" s="33" t="inlineStr">
        <is>
          <t/>
        </is>
      </c>
      <c r="H332" s="34" t="n">
        <v>110.0</v>
      </c>
      <c r="I332" s="35" t="inlineStr">
        <is>
          <t/>
        </is>
      </c>
      <c r="J332" s="36" t="n">
        <v>0.12</v>
      </c>
      <c r="K332" s="37" t="inlineStr">
        <is>
          <t>Logistics</t>
        </is>
      </c>
      <c r="L332" s="38" t="inlineStr">
        <is>
          <t>Provider of an on-demand goods delivery service intended to help companies reduce shipping time. The company offers on-demand goods delivery and transportation services by using drone based technologies enabling enterprises to save costs on down-time &amp; inventory.</t>
        </is>
      </c>
      <c r="M332" s="39" t="inlineStr">
        <is>
          <t>Alchemist Accelerator, Runway Incubator, Y Combinator</t>
        </is>
      </c>
      <c r="N332" s="40" t="inlineStr">
        <is>
          <t>Accelerator/Incubator Backed</t>
        </is>
      </c>
      <c r="O332" s="41" t="inlineStr">
        <is>
          <t>Privately Held (backing)</t>
        </is>
      </c>
      <c r="P332" s="42" t="inlineStr">
        <is>
          <t>San Francisco, CA</t>
        </is>
      </c>
      <c r="Q332" s="43" t="inlineStr">
        <is>
          <t>www.volans-i.com</t>
        </is>
      </c>
      <c r="R332" s="114">
        <f>HYPERLINK("https://my.pitchbook.com?c=163852-75", "View company online")</f>
      </c>
    </row>
    <row r="333">
      <c r="A333" s="9" t="inlineStr">
        <is>
          <t>65909-89</t>
        </is>
      </c>
      <c r="B333" s="10" t="inlineStr">
        <is>
          <t>Volabit</t>
        </is>
      </c>
      <c r="C333" s="11" t="n">
        <v>1.0552776983981664</v>
      </c>
      <c r="D333" s="12" t="n">
        <v>2.809509061646129</v>
      </c>
      <c r="E333" s="13" t="inlineStr">
        <is>
          <t/>
        </is>
      </c>
      <c r="F333" s="14" t="n">
        <v>13.0</v>
      </c>
      <c r="G333" s="15" t="n">
        <v>2915.0</v>
      </c>
      <c r="H333" s="16" t="n">
        <v>2414.0</v>
      </c>
      <c r="I333" s="17" t="inlineStr">
        <is>
          <t/>
        </is>
      </c>
      <c r="J333" s="18" t="n">
        <v>1.05</v>
      </c>
      <c r="K333" s="19" t="inlineStr">
        <is>
          <t>Consumer Finance</t>
        </is>
      </c>
      <c r="L333" s="20" t="inlineStr">
        <is>
          <t>Provider of an online trading platform. The company provides online digital currency trading platform.</t>
        </is>
      </c>
      <c r="M333" s="21" t="inlineStr">
        <is>
          <t>Boost VC, Digital Currency Group, Individual Investor, Roadster Capital</t>
        </is>
      </c>
      <c r="N333" s="22" t="inlineStr">
        <is>
          <t>Accelerator/Incubator Backed</t>
        </is>
      </c>
      <c r="O333" s="23" t="inlineStr">
        <is>
          <t>Privately Held (backing)</t>
        </is>
      </c>
      <c r="P333" s="24" t="inlineStr">
        <is>
          <t>Mexico</t>
        </is>
      </c>
      <c r="Q333" s="25" t="inlineStr">
        <is>
          <t>www.volabit.com</t>
        </is>
      </c>
      <c r="R333" s="113">
        <f>HYPERLINK("https://my.pitchbook.com?c=65909-89", "View company online")</f>
      </c>
    </row>
    <row r="334">
      <c r="A334" s="27" t="inlineStr">
        <is>
          <t>153485-20</t>
        </is>
      </c>
      <c r="B334" s="28" t="inlineStr">
        <is>
          <t>Voistand</t>
        </is>
      </c>
      <c r="C334" s="29" t="inlineStr">
        <is>
          <t/>
        </is>
      </c>
      <c r="D334" s="30" t="inlineStr">
        <is>
          <t/>
        </is>
      </c>
      <c r="E334" s="31" t="inlineStr">
        <is>
          <t/>
        </is>
      </c>
      <c r="F334" s="32" t="inlineStr">
        <is>
          <t/>
        </is>
      </c>
      <c r="G334" s="33" t="inlineStr">
        <is>
          <t/>
        </is>
      </c>
      <c r="H334" s="34" t="inlineStr">
        <is>
          <t/>
        </is>
      </c>
      <c r="I334" s="35" t="inlineStr">
        <is>
          <t/>
        </is>
      </c>
      <c r="J334" s="36" t="inlineStr">
        <is>
          <t/>
        </is>
      </c>
      <c r="K334" s="37" t="inlineStr">
        <is>
          <t>Other Business Products and Services</t>
        </is>
      </c>
      <c r="L334" s="38" t="inlineStr">
        <is>
          <t>The company is currently operating in Stealth mode.</t>
        </is>
      </c>
      <c r="M334" s="39" t="inlineStr">
        <is>
          <t/>
        </is>
      </c>
      <c r="N334" s="40" t="inlineStr">
        <is>
          <t>Angel-Backed</t>
        </is>
      </c>
      <c r="O334" s="41" t="inlineStr">
        <is>
          <t>Privately Held (backing)</t>
        </is>
      </c>
      <c r="P334" s="42" t="inlineStr">
        <is>
          <t>San Francisco, CA</t>
        </is>
      </c>
      <c r="Q334" s="43" t="inlineStr">
        <is>
          <t>www.voistand.com</t>
        </is>
      </c>
      <c r="R334" s="114">
        <f>HYPERLINK("https://my.pitchbook.com?c=153485-20", "View company online")</f>
      </c>
    </row>
    <row r="335">
      <c r="A335" s="9" t="inlineStr">
        <is>
          <t>61139-35</t>
        </is>
      </c>
      <c r="B335" s="10" t="inlineStr">
        <is>
          <t>VoicePlate.com</t>
        </is>
      </c>
      <c r="C335" s="11" t="inlineStr">
        <is>
          <t/>
        </is>
      </c>
      <c r="D335" s="12" t="inlineStr">
        <is>
          <t/>
        </is>
      </c>
      <c r="E335" s="13" t="inlineStr">
        <is>
          <t/>
        </is>
      </c>
      <c r="F335" s="14" t="inlineStr">
        <is>
          <t/>
        </is>
      </c>
      <c r="G335" s="15" t="inlineStr">
        <is>
          <t/>
        </is>
      </c>
      <c r="H335" s="16" t="inlineStr">
        <is>
          <t/>
        </is>
      </c>
      <c r="I335" s="17" t="n">
        <v>4.0</v>
      </c>
      <c r="J335" s="18" t="n">
        <v>1.85</v>
      </c>
      <c r="K335" s="19" t="inlineStr">
        <is>
          <t>Social/Platform Software</t>
        </is>
      </c>
      <c r="L335" s="20" t="inlineStr">
        <is>
          <t>Developer of a platform for verification of online and offline identities. The company allows users to create websites using modern design and user-friendly editing tools on an advanced networking platform.</t>
        </is>
      </c>
      <c r="M335" s="21" t="inlineStr">
        <is>
          <t/>
        </is>
      </c>
      <c r="N335" s="22" t="inlineStr">
        <is>
          <t>Angel-Backed</t>
        </is>
      </c>
      <c r="O335" s="23" t="inlineStr">
        <is>
          <t>Privately Held (backing)</t>
        </is>
      </c>
      <c r="P335" s="24" t="inlineStr">
        <is>
          <t>Los Angeles, CA</t>
        </is>
      </c>
      <c r="Q335" s="25" t="inlineStr">
        <is>
          <t>www.voiceplate.net</t>
        </is>
      </c>
      <c r="R335" s="113">
        <f>HYPERLINK("https://my.pitchbook.com?c=61139-35", "View company online")</f>
      </c>
    </row>
    <row r="336">
      <c r="A336" s="27" t="inlineStr">
        <is>
          <t>119554-57</t>
        </is>
      </c>
      <c r="B336" s="28" t="inlineStr">
        <is>
          <t>VoicePark</t>
        </is>
      </c>
      <c r="C336" s="29" t="n">
        <v>0.0</v>
      </c>
      <c r="D336" s="30" t="n">
        <v>0.7698451662526828</v>
      </c>
      <c r="E336" s="31" t="inlineStr">
        <is>
          <t/>
        </is>
      </c>
      <c r="F336" s="32" t="n">
        <v>55.0</v>
      </c>
      <c r="G336" s="33" t="n">
        <v>47.0</v>
      </c>
      <c r="H336" s="34" t="n">
        <v>17.0</v>
      </c>
      <c r="I336" s="35" t="inlineStr">
        <is>
          <t/>
        </is>
      </c>
      <c r="J336" s="36" t="inlineStr">
        <is>
          <t/>
        </is>
      </c>
      <c r="K336" s="37" t="inlineStr">
        <is>
          <t>Electronics (B2C)</t>
        </is>
      </c>
      <c r="L336" s="38" t="inlineStr">
        <is>
          <t>Provider of a sensor system for motorists. The company provides a parking management system for drivers with voice-guided turn-by-turn directions to the closest available on-street or off-street parking spot.</t>
        </is>
      </c>
      <c r="M336" s="39" t="inlineStr">
        <is>
          <t>Wearable IoT World</t>
        </is>
      </c>
      <c r="N336" s="40" t="inlineStr">
        <is>
          <t>Accelerator/Incubator Backed</t>
        </is>
      </c>
      <c r="O336" s="41" t="inlineStr">
        <is>
          <t>Privately Held (backing)</t>
        </is>
      </c>
      <c r="P336" s="42" t="inlineStr">
        <is>
          <t>San Francisco, CA</t>
        </is>
      </c>
      <c r="Q336" s="43" t="inlineStr">
        <is>
          <t>www.voicepark.org</t>
        </is>
      </c>
      <c r="R336" s="114">
        <f>HYPERLINK("https://my.pitchbook.com?c=119554-57", "View company online")</f>
      </c>
    </row>
    <row r="337">
      <c r="A337" s="9" t="inlineStr">
        <is>
          <t>168229-27</t>
        </is>
      </c>
      <c r="B337" s="10" t="inlineStr">
        <is>
          <t>Voga Coffee</t>
        </is>
      </c>
      <c r="C337" s="11" t="n">
        <v>2.217689152281487</v>
      </c>
      <c r="D337" s="12" t="n">
        <v>0.7606404514842248</v>
      </c>
      <c r="E337" s="13" t="inlineStr">
        <is>
          <t/>
        </is>
      </c>
      <c r="F337" s="14" t="n">
        <v>10.0</v>
      </c>
      <c r="G337" s="15" t="n">
        <v>179.0</v>
      </c>
      <c r="H337" s="16" t="n">
        <v>806.0</v>
      </c>
      <c r="I337" s="17" t="inlineStr">
        <is>
          <t/>
        </is>
      </c>
      <c r="J337" s="18" t="n">
        <v>0.28</v>
      </c>
      <c r="K337" s="19" t="inlineStr">
        <is>
          <t>Electrical Equipment</t>
        </is>
      </c>
      <c r="L337" s="20" t="inlineStr">
        <is>
          <t>Designer and manufacturer of a coffee brewing machine. The company manufactures a coffee brewing equipment that is used to grid and store coffee for commercial batch brewing purposes.</t>
        </is>
      </c>
      <c r="M337" s="21" t="inlineStr">
        <is>
          <t/>
        </is>
      </c>
      <c r="N337" s="22" t="inlineStr">
        <is>
          <t>Angel-Backed</t>
        </is>
      </c>
      <c r="O337" s="23" t="inlineStr">
        <is>
          <t>Privately Held (backing)</t>
        </is>
      </c>
      <c r="P337" s="24" t="inlineStr">
        <is>
          <t>San Francisco, CA</t>
        </is>
      </c>
      <c r="Q337" s="25" t="inlineStr">
        <is>
          <t>www.vogacoffee.com</t>
        </is>
      </c>
      <c r="R337" s="113">
        <f>HYPERLINK("https://my.pitchbook.com?c=168229-27", "View company online")</f>
      </c>
    </row>
    <row r="338">
      <c r="A338" s="27" t="inlineStr">
        <is>
          <t>103520-44</t>
        </is>
      </c>
      <c r="B338" s="28" t="inlineStr">
        <is>
          <t>VocoMD</t>
        </is>
      </c>
      <c r="C338" s="29" t="n">
        <v>0.0</v>
      </c>
      <c r="D338" s="30" t="n">
        <v>0.002824858757062147</v>
      </c>
      <c r="E338" s="31" t="inlineStr">
        <is>
          <t/>
        </is>
      </c>
      <c r="F338" s="32" t="inlineStr">
        <is>
          <t/>
        </is>
      </c>
      <c r="G338" s="33" t="inlineStr">
        <is>
          <t/>
        </is>
      </c>
      <c r="H338" s="34" t="n">
        <v>1.0</v>
      </c>
      <c r="I338" s="35" t="n">
        <v>1.0</v>
      </c>
      <c r="J338" s="36" t="n">
        <v>0.2</v>
      </c>
      <c r="K338" s="37" t="inlineStr">
        <is>
          <t>Other Healthcare Technology Systems</t>
        </is>
      </c>
      <c r="L338" s="38" t="inlineStr">
        <is>
          <t>Provider of a telemedicine platform to the users by connecting patients with the doctors. The company provides services like video conferencing, text chat with the clinicians and patients, file sharing and also helps the patients to schedule meetings.</t>
        </is>
      </c>
      <c r="M338" s="39" t="inlineStr">
        <is>
          <t/>
        </is>
      </c>
      <c r="N338" s="40" t="inlineStr">
        <is>
          <t>Angel-Backed</t>
        </is>
      </c>
      <c r="O338" s="41" t="inlineStr">
        <is>
          <t>Privately Held (backing)</t>
        </is>
      </c>
      <c r="P338" s="42" t="inlineStr">
        <is>
          <t>San Francisco, CA</t>
        </is>
      </c>
      <c r="Q338" s="43" t="inlineStr">
        <is>
          <t>www.vocomd.com</t>
        </is>
      </c>
      <c r="R338" s="114">
        <f>HYPERLINK("https://my.pitchbook.com?c=103520-44", "View company online")</f>
      </c>
    </row>
    <row r="339">
      <c r="A339" s="9" t="inlineStr">
        <is>
          <t>154990-36</t>
        </is>
      </c>
      <c r="B339" s="10" t="inlineStr">
        <is>
          <t>Vocademy</t>
        </is>
      </c>
      <c r="C339" s="11" t="n">
        <v>0.062135919125654374</v>
      </c>
      <c r="D339" s="12" t="n">
        <v>3.523744604695232</v>
      </c>
      <c r="E339" s="13" t="inlineStr">
        <is>
          <t/>
        </is>
      </c>
      <c r="F339" s="14" t="n">
        <v>131.0</v>
      </c>
      <c r="G339" s="15" t="n">
        <v>3495.0</v>
      </c>
      <c r="H339" s="16" t="n">
        <v>956.0</v>
      </c>
      <c r="I339" s="17" t="inlineStr">
        <is>
          <t/>
        </is>
      </c>
      <c r="J339" s="18" t="n">
        <v>0.06</v>
      </c>
      <c r="K339" s="19" t="inlineStr">
        <is>
          <t>Educational and Training Services (B2C)</t>
        </is>
      </c>
      <c r="L339" s="20" t="inlineStr">
        <is>
          <t>Organizer of vocational training classes. The company organizes vocational training classes for students allowing them to create products based on wood, 3D printing, laser engraving, electronics and robotics.</t>
        </is>
      </c>
      <c r="M339" s="21" t="inlineStr">
        <is>
          <t/>
        </is>
      </c>
      <c r="N339" s="22" t="inlineStr">
        <is>
          <t>Angel-Backed</t>
        </is>
      </c>
      <c r="O339" s="23" t="inlineStr">
        <is>
          <t>Privately Held (backing)</t>
        </is>
      </c>
      <c r="P339" s="24" t="inlineStr">
        <is>
          <t>Riverside, CA</t>
        </is>
      </c>
      <c r="Q339" s="25" t="inlineStr">
        <is>
          <t>www.vocademy.com</t>
        </is>
      </c>
      <c r="R339" s="113">
        <f>HYPERLINK("https://my.pitchbook.com?c=154990-36", "View company online")</f>
      </c>
    </row>
    <row r="340">
      <c r="A340" s="27" t="inlineStr">
        <is>
          <t>100537-12</t>
        </is>
      </c>
      <c r="B340" s="28" t="inlineStr">
        <is>
          <t>Vliv</t>
        </is>
      </c>
      <c r="C340" s="29" t="n">
        <v>-0.012229589160318141</v>
      </c>
      <c r="D340" s="30" t="n">
        <v>0.12740563492221563</v>
      </c>
      <c r="E340" s="31" t="inlineStr">
        <is>
          <t/>
        </is>
      </c>
      <c r="F340" s="32" t="n">
        <v>4.0</v>
      </c>
      <c r="G340" s="33" t="n">
        <v>218.0</v>
      </c>
      <c r="H340" s="34" t="n">
        <v>8.0</v>
      </c>
      <c r="I340" s="35" t="n">
        <v>12.0</v>
      </c>
      <c r="J340" s="36" t="inlineStr">
        <is>
          <t/>
        </is>
      </c>
      <c r="K340" s="37" t="inlineStr">
        <is>
          <t>Entertainment Software</t>
        </is>
      </c>
      <c r="L340" s="38" t="inlineStr">
        <is>
          <t>Developer of a mobile video application. The company develops video app constellation that will be hosted on its mobile video backend.</t>
        </is>
      </c>
      <c r="M340" s="39" t="inlineStr">
        <is>
          <t>Manish Dalal, Mumbai Angel Venture Mentors, Pari Natarajan, Srini Raghavan</t>
        </is>
      </c>
      <c r="N340" s="40" t="inlineStr">
        <is>
          <t>Angel-Backed</t>
        </is>
      </c>
      <c r="O340" s="41" t="inlineStr">
        <is>
          <t>Privately Held (backing)</t>
        </is>
      </c>
      <c r="P340" s="42" t="inlineStr">
        <is>
          <t>Sunnyvale, CA</t>
        </is>
      </c>
      <c r="Q340" s="43" t="inlineStr">
        <is>
          <t>www.vliv.com</t>
        </is>
      </c>
      <c r="R340" s="114">
        <f>HYPERLINK("https://my.pitchbook.com?c=100537-12", "View company online")</f>
      </c>
    </row>
    <row r="341">
      <c r="A341" s="9" t="inlineStr">
        <is>
          <t>177412-51</t>
        </is>
      </c>
      <c r="B341" s="10" t="inlineStr">
        <is>
          <t>VKLiQ</t>
        </is>
      </c>
      <c r="C341" s="85">
        <f>HYPERLINK("https://my.pitchbook.com?rrp=177412-51&amp;type=c", "This Company's information is not available to download. Need this Company? Request availability")</f>
      </c>
      <c r="D341" s="12" t="inlineStr">
        <is>
          <t/>
        </is>
      </c>
      <c r="E341" s="13" t="inlineStr">
        <is>
          <t/>
        </is>
      </c>
      <c r="F341" s="14" t="inlineStr">
        <is>
          <t/>
        </is>
      </c>
      <c r="G341" s="15" t="inlineStr">
        <is>
          <t/>
        </is>
      </c>
      <c r="H341" s="16" t="inlineStr">
        <is>
          <t/>
        </is>
      </c>
      <c r="I341" s="17" t="inlineStr">
        <is>
          <t/>
        </is>
      </c>
      <c r="J341" s="18" t="inlineStr">
        <is>
          <t/>
        </is>
      </c>
      <c r="K341" s="19" t="inlineStr">
        <is>
          <t/>
        </is>
      </c>
      <c r="L341" s="20" t="inlineStr">
        <is>
          <t/>
        </is>
      </c>
      <c r="M341" s="21" t="inlineStr">
        <is>
          <t/>
        </is>
      </c>
      <c r="N341" s="22" t="inlineStr">
        <is>
          <t/>
        </is>
      </c>
      <c r="O341" s="23" t="inlineStr">
        <is>
          <t/>
        </is>
      </c>
      <c r="P341" s="24" t="inlineStr">
        <is>
          <t/>
        </is>
      </c>
      <c r="Q341" s="25" t="inlineStr">
        <is>
          <t/>
        </is>
      </c>
      <c r="R341" s="26" t="inlineStr">
        <is>
          <t/>
        </is>
      </c>
    </row>
    <row r="342">
      <c r="A342" s="27" t="inlineStr">
        <is>
          <t>150068-26</t>
        </is>
      </c>
      <c r="B342" s="28" t="inlineStr">
        <is>
          <t>Vizzario</t>
        </is>
      </c>
      <c r="C342" s="29" t="n">
        <v>0.0</v>
      </c>
      <c r="D342" s="30" t="n">
        <v>0.2972972972972973</v>
      </c>
      <c r="E342" s="31" t="inlineStr">
        <is>
          <t/>
        </is>
      </c>
      <c r="F342" s="32" t="n">
        <v>11.0</v>
      </c>
      <c r="G342" s="33" t="inlineStr">
        <is>
          <t/>
        </is>
      </c>
      <c r="H342" s="34" t="inlineStr">
        <is>
          <t/>
        </is>
      </c>
      <c r="I342" s="35" t="inlineStr">
        <is>
          <t/>
        </is>
      </c>
      <c r="J342" s="36" t="n">
        <v>2.16</v>
      </c>
      <c r="K342" s="37" t="inlineStr">
        <is>
          <t>Other Healthcare Services</t>
        </is>
      </c>
      <c r="L342" s="38" t="inlineStr">
        <is>
          <t>Owner and operator of a bio-medical company. The company offers bio-medical engineering and technology services in the field of visual interaction to their clientele.</t>
        </is>
      </c>
      <c r="M342" s="39" t="inlineStr">
        <is>
          <t/>
        </is>
      </c>
      <c r="N342" s="40" t="inlineStr">
        <is>
          <t>Angel-Backed</t>
        </is>
      </c>
      <c r="O342" s="41" t="inlineStr">
        <is>
          <t>Privately Held (backing)</t>
        </is>
      </c>
      <c r="P342" s="42" t="inlineStr">
        <is>
          <t>Davis, CA</t>
        </is>
      </c>
      <c r="Q342" s="43" t="inlineStr">
        <is>
          <t>www.vizzario.com</t>
        </is>
      </c>
      <c r="R342" s="114">
        <f>HYPERLINK("https://my.pitchbook.com?c=150068-26", "View company online")</f>
      </c>
    </row>
    <row r="343">
      <c r="A343" s="9" t="inlineStr">
        <is>
          <t>151187-41</t>
        </is>
      </c>
      <c r="B343" s="10" t="inlineStr">
        <is>
          <t>Vizyontech Imaging</t>
        </is>
      </c>
      <c r="C343" s="11" t="n">
        <v>0.0</v>
      </c>
      <c r="D343" s="12" t="n">
        <v>0.05405405405405406</v>
      </c>
      <c r="E343" s="13" t="inlineStr">
        <is>
          <t/>
        </is>
      </c>
      <c r="F343" s="14" t="n">
        <v>2.0</v>
      </c>
      <c r="G343" s="15" t="inlineStr">
        <is>
          <t/>
        </is>
      </c>
      <c r="H343" s="16" t="inlineStr">
        <is>
          <t/>
        </is>
      </c>
      <c r="I343" s="17" t="inlineStr">
        <is>
          <t/>
        </is>
      </c>
      <c r="J343" s="18" t="n">
        <v>0.58</v>
      </c>
      <c r="K343" s="19" t="inlineStr">
        <is>
          <t>Diagnostic Equipment</t>
        </is>
      </c>
      <c r="L343" s="20" t="inlineStr">
        <is>
          <t>Developer of an ultrasound transducer. The company develops a 3D/4D advanced ultrasound transducer for breast imaging which features processing and programmable scan.</t>
        </is>
      </c>
      <c r="M343" s="21" t="inlineStr">
        <is>
          <t/>
        </is>
      </c>
      <c r="N343" s="22" t="inlineStr">
        <is>
          <t>Angel-Backed</t>
        </is>
      </c>
      <c r="O343" s="23" t="inlineStr">
        <is>
          <t>Privately Held (backing)</t>
        </is>
      </c>
      <c r="P343" s="24" t="inlineStr">
        <is>
          <t>San Jose, CA</t>
        </is>
      </c>
      <c r="Q343" s="25" t="inlineStr">
        <is>
          <t>www.vizyont8.com</t>
        </is>
      </c>
      <c r="R343" s="113">
        <f>HYPERLINK("https://my.pitchbook.com?c=151187-41", "View company online")</f>
      </c>
    </row>
    <row r="344">
      <c r="A344" s="27" t="inlineStr">
        <is>
          <t>114987-34</t>
        </is>
      </c>
      <c r="B344" s="28" t="inlineStr">
        <is>
          <t>Vizru</t>
        </is>
      </c>
      <c r="C344" s="29" t="n">
        <v>0.0</v>
      </c>
      <c r="D344" s="30" t="n">
        <v>0.15379293126161217</v>
      </c>
      <c r="E344" s="31" t="inlineStr">
        <is>
          <t/>
        </is>
      </c>
      <c r="F344" s="32" t="n">
        <v>7.0</v>
      </c>
      <c r="G344" s="33" t="n">
        <v>60.0</v>
      </c>
      <c r="H344" s="34" t="n">
        <v>57.0</v>
      </c>
      <c r="I344" s="35" t="n">
        <v>11.0</v>
      </c>
      <c r="J344" s="36" t="inlineStr">
        <is>
          <t/>
        </is>
      </c>
      <c r="K344" s="37" t="inlineStr">
        <is>
          <t>Application Software</t>
        </is>
      </c>
      <c r="L344" s="38" t="inlineStr">
        <is>
          <t>Developer of an application integration platform designed to help companies aggregate content across hybrid IT systems. The company's application integration platform helps users to organize, share and collaborate on files, data and functions across their companies within the storage of their choices enabling business teams to design new processes or optimize existing ones, without IT intervention.</t>
        </is>
      </c>
      <c r="M344" s="39" t="inlineStr">
        <is>
          <t>Plug and Play Tech Center</t>
        </is>
      </c>
      <c r="N344" s="40" t="inlineStr">
        <is>
          <t>Accelerator/Incubator Backed</t>
        </is>
      </c>
      <c r="O344" s="41" t="inlineStr">
        <is>
          <t>Privately Held (backing)</t>
        </is>
      </c>
      <c r="P344" s="42" t="inlineStr">
        <is>
          <t>Santa Clara, CA</t>
        </is>
      </c>
      <c r="Q344" s="43" t="inlineStr">
        <is>
          <t>www.vizru.com</t>
        </is>
      </c>
      <c r="R344" s="114">
        <f>HYPERLINK("https://my.pitchbook.com?c=114987-34", "View company online")</f>
      </c>
    </row>
    <row r="345">
      <c r="A345" s="9" t="inlineStr">
        <is>
          <t>98080-93</t>
        </is>
      </c>
      <c r="B345" s="10" t="inlineStr">
        <is>
          <t>Vixlet</t>
        </is>
      </c>
      <c r="C345" s="11" t="n">
        <v>0.01843742885240469</v>
      </c>
      <c r="D345" s="12" t="n">
        <v>6.4848689146036245</v>
      </c>
      <c r="E345" s="13" t="inlineStr">
        <is>
          <t/>
        </is>
      </c>
      <c r="F345" s="14" t="n">
        <v>99.0</v>
      </c>
      <c r="G345" s="15" t="n">
        <v>13597.0</v>
      </c>
      <c r="H345" s="16" t="n">
        <v>1288.0</v>
      </c>
      <c r="I345" s="17" t="n">
        <v>59.0</v>
      </c>
      <c r="J345" s="18" t="n">
        <v>45.96</v>
      </c>
      <c r="K345" s="19" t="inlineStr">
        <is>
          <t>Social/Platform Software</t>
        </is>
      </c>
      <c r="L345" s="20" t="inlineStr">
        <is>
          <t>Provider of a platform for social networking. The company offers a platform that combines technology and entertainment together to emotionally engage global audiences through digital media platforms, applications and mobile games.</t>
        </is>
      </c>
      <c r="M345" s="21" t="inlineStr">
        <is>
          <t>Warren Loui</t>
        </is>
      </c>
      <c r="N345" s="22" t="inlineStr">
        <is>
          <t>Angel-Backed</t>
        </is>
      </c>
      <c r="O345" s="23" t="inlineStr">
        <is>
          <t>Privately Held (backing)</t>
        </is>
      </c>
      <c r="P345" s="24" t="inlineStr">
        <is>
          <t>Los Angeles, CA</t>
        </is>
      </c>
      <c r="Q345" s="25" t="inlineStr">
        <is>
          <t>www.vixlet.com</t>
        </is>
      </c>
      <c r="R345" s="113">
        <f>HYPERLINK("https://my.pitchbook.com?c=98080-93", "View company online")</f>
      </c>
    </row>
    <row r="346">
      <c r="A346" s="27" t="inlineStr">
        <is>
          <t>102657-61</t>
        </is>
      </c>
      <c r="B346" s="28" t="inlineStr">
        <is>
          <t>Vixely</t>
        </is>
      </c>
      <c r="C346" s="29" t="n">
        <v>-0.02124990085683282</v>
      </c>
      <c r="D346" s="30" t="n">
        <v>0.6960485646189406</v>
      </c>
      <c r="E346" s="31" t="inlineStr">
        <is>
          <t/>
        </is>
      </c>
      <c r="F346" s="32" t="n">
        <v>10.0</v>
      </c>
      <c r="G346" s="33" t="n">
        <v>751.0</v>
      </c>
      <c r="H346" s="34" t="n">
        <v>464.0</v>
      </c>
      <c r="I346" s="35" t="n">
        <v>1.0</v>
      </c>
      <c r="J346" s="36" t="n">
        <v>0.1</v>
      </c>
      <c r="K346" s="37" t="inlineStr">
        <is>
          <t>Social/Platform Software</t>
        </is>
      </c>
      <c r="L346" s="38" t="inlineStr">
        <is>
          <t>Developer of an online media platform for interactive media. The company develops digital media that produces and curates interactive media designed exclusively for the tablet.</t>
        </is>
      </c>
      <c r="M346" s="39" t="inlineStr">
        <is>
          <t>John Glaister, Nancy Lazkani</t>
        </is>
      </c>
      <c r="N346" s="40" t="inlineStr">
        <is>
          <t>Angel-Backed</t>
        </is>
      </c>
      <c r="O346" s="41" t="inlineStr">
        <is>
          <t>Privately Held (backing)</t>
        </is>
      </c>
      <c r="P346" s="42" t="inlineStr">
        <is>
          <t>San Francisco, CA</t>
        </is>
      </c>
      <c r="Q346" s="43" t="inlineStr">
        <is>
          <t>www.vixely.com</t>
        </is>
      </c>
      <c r="R346" s="114">
        <f>HYPERLINK("https://my.pitchbook.com?c=102657-61", "View company online")</f>
      </c>
    </row>
    <row r="347">
      <c r="A347" s="9" t="inlineStr">
        <is>
          <t>113715-64</t>
        </is>
      </c>
      <c r="B347" s="10" t="inlineStr">
        <is>
          <t>Viviso</t>
        </is>
      </c>
      <c r="C347" s="11" t="n">
        <v>0.0</v>
      </c>
      <c r="D347" s="12" t="n">
        <v>0.3783783783783784</v>
      </c>
      <c r="E347" s="13" t="inlineStr">
        <is>
          <t/>
        </is>
      </c>
      <c r="F347" s="14" t="n">
        <v>14.0</v>
      </c>
      <c r="G347" s="15" t="inlineStr">
        <is>
          <t/>
        </is>
      </c>
      <c r="H347" s="16" t="inlineStr">
        <is>
          <t/>
        </is>
      </c>
      <c r="I347" s="17" t="inlineStr">
        <is>
          <t/>
        </is>
      </c>
      <c r="J347" s="18" t="n">
        <v>0.79</v>
      </c>
      <c r="K347" s="19" t="inlineStr">
        <is>
          <t>Media and Information Services (B2B)</t>
        </is>
      </c>
      <c r="L347" s="20" t="inlineStr">
        <is>
          <t>Provider of a television advertisement injection platform. The company monetizes the live streaming from any from any connected device.</t>
        </is>
      </c>
      <c r="M347" s="21" t="inlineStr">
        <is>
          <t>Ji-Hyun Choi</t>
        </is>
      </c>
      <c r="N347" s="22" t="inlineStr">
        <is>
          <t>Angel-Backed</t>
        </is>
      </c>
      <c r="O347" s="23" t="inlineStr">
        <is>
          <t>Privately Held (backing)</t>
        </is>
      </c>
      <c r="P347" s="24" t="inlineStr">
        <is>
          <t>Sunnyvale, CA</t>
        </is>
      </c>
      <c r="Q347" s="25" t="inlineStr">
        <is>
          <t>www.viviso.com</t>
        </is>
      </c>
      <c r="R347" s="113">
        <f>HYPERLINK("https://my.pitchbook.com?c=113715-64", "View company online")</f>
      </c>
    </row>
    <row r="348">
      <c r="A348" s="27" t="inlineStr">
        <is>
          <t>104465-44</t>
        </is>
      </c>
      <c r="B348" s="28" t="inlineStr">
        <is>
          <t>Vive la tarte</t>
        </is>
      </c>
      <c r="C348" s="29" t="n">
        <v>0.07760295351665526</v>
      </c>
      <c r="D348" s="30" t="n">
        <v>2.933168759347831</v>
      </c>
      <c r="E348" s="31" t="inlineStr">
        <is>
          <t/>
        </is>
      </c>
      <c r="F348" s="32" t="n">
        <v>49.0</v>
      </c>
      <c r="G348" s="33" t="n">
        <v>1829.0</v>
      </c>
      <c r="H348" s="34" t="n">
        <v>2411.0</v>
      </c>
      <c r="I348" s="35" t="n">
        <v>11.0</v>
      </c>
      <c r="J348" s="36" t="n">
        <v>0.75</v>
      </c>
      <c r="K348" s="37" t="inlineStr">
        <is>
          <t>Food Products</t>
        </is>
      </c>
      <c r="L348" s="38" t="inlineStr">
        <is>
          <t>Operator of an artisan baking house. The company offers a range of handcrafts sweet and savory tarts based on authentic recipes using seasonal and organic Californian ingredients.</t>
        </is>
      </c>
      <c r="M348" s="39" t="inlineStr">
        <is>
          <t/>
        </is>
      </c>
      <c r="N348" s="40" t="inlineStr">
        <is>
          <t>Angel-Backed</t>
        </is>
      </c>
      <c r="O348" s="41" t="inlineStr">
        <is>
          <t>Privately Held (backing)</t>
        </is>
      </c>
      <c r="P348" s="42" t="inlineStr">
        <is>
          <t>San Francisco, CA</t>
        </is>
      </c>
      <c r="Q348" s="43" t="inlineStr">
        <is>
          <t>www.vivelatarte.com</t>
        </is>
      </c>
      <c r="R348" s="114">
        <f>HYPERLINK("https://my.pitchbook.com?c=104465-44", "View company online")</f>
      </c>
    </row>
    <row r="349">
      <c r="A349" s="9" t="inlineStr">
        <is>
          <t>103482-28</t>
        </is>
      </c>
      <c r="B349" s="10" t="inlineStr">
        <is>
          <t>VitalMedicals</t>
        </is>
      </c>
      <c r="C349" s="11" t="n">
        <v>0.0</v>
      </c>
      <c r="D349" s="12" t="n">
        <v>0.6906016185677202</v>
      </c>
      <c r="E349" s="13" t="inlineStr">
        <is>
          <t/>
        </is>
      </c>
      <c r="F349" s="14" t="n">
        <v>50.0</v>
      </c>
      <c r="G349" s="15" t="inlineStr">
        <is>
          <t/>
        </is>
      </c>
      <c r="H349" s="16" t="n">
        <v>1.0</v>
      </c>
      <c r="I349" s="17" t="n">
        <v>4.0</v>
      </c>
      <c r="J349" s="18" t="n">
        <v>0.93</v>
      </c>
      <c r="K349" s="19" t="inlineStr">
        <is>
          <t>Other Healthcare</t>
        </is>
      </c>
      <c r="L349" s="20" t="inlineStr">
        <is>
          <t>Developer of a software platform for surgical teams and hospitals. The company develops a software platform for surgical teams and hospitals for connecting surgeons in the operating room with their data and their teams.</t>
        </is>
      </c>
      <c r="M349" s="21" t="inlineStr">
        <is>
          <t>Dennis Doane, F50, StartX</t>
        </is>
      </c>
      <c r="N349" s="22" t="inlineStr">
        <is>
          <t>Accelerator/Incubator Backed</t>
        </is>
      </c>
      <c r="O349" s="23" t="inlineStr">
        <is>
          <t>Privately Held (backing)</t>
        </is>
      </c>
      <c r="P349" s="24" t="inlineStr">
        <is>
          <t>San Francisco, CA</t>
        </is>
      </c>
      <c r="Q349" s="25" t="inlineStr">
        <is>
          <t>www.vitalmedicals.com</t>
        </is>
      </c>
      <c r="R349" s="113">
        <f>HYPERLINK("https://my.pitchbook.com?c=103482-28", "View company online")</f>
      </c>
    </row>
    <row r="350">
      <c r="A350" s="27" t="inlineStr">
        <is>
          <t>121843-27</t>
        </is>
      </c>
      <c r="B350" s="28" t="inlineStr">
        <is>
          <t>Vitaligent</t>
        </is>
      </c>
      <c r="C350" s="29" t="n">
        <v>0.0</v>
      </c>
      <c r="D350" s="30" t="n">
        <v>0.02702702702702703</v>
      </c>
      <c r="E350" s="31" t="inlineStr">
        <is>
          <t/>
        </is>
      </c>
      <c r="F350" s="32" t="n">
        <v>1.0</v>
      </c>
      <c r="G350" s="33" t="inlineStr">
        <is>
          <t/>
        </is>
      </c>
      <c r="H350" s="34" t="inlineStr">
        <is>
          <t/>
        </is>
      </c>
      <c r="I350" s="35" t="inlineStr">
        <is>
          <t/>
        </is>
      </c>
      <c r="J350" s="36" t="n">
        <v>25.0</v>
      </c>
      <c r="K350" s="37" t="inlineStr">
        <is>
          <t>Restaurants and Bars</t>
        </is>
      </c>
      <c r="L350" s="38" t="inlineStr">
        <is>
          <t>Owner and operator of restaurants. The company offers fresh juices and smoothies and other healthy meal options through its chain of restaurants and juice stores.</t>
        </is>
      </c>
      <c r="M350" s="39" t="inlineStr">
        <is>
          <t>David Peacock, Dean VandeKamp, Holton Capital Group, Mike Carr, Paul Edgerley, Steve Carr, Terry Matlack</t>
        </is>
      </c>
      <c r="N350" s="40" t="inlineStr">
        <is>
          <t>Angel-Backed</t>
        </is>
      </c>
      <c r="O350" s="41" t="inlineStr">
        <is>
          <t>Privately Held (backing)</t>
        </is>
      </c>
      <c r="P350" s="42" t="inlineStr">
        <is>
          <t>Sunnyvale, CA</t>
        </is>
      </c>
      <c r="Q350" s="43" t="inlineStr">
        <is>
          <t>www.vitaligent.com</t>
        </is>
      </c>
      <c r="R350" s="114">
        <f>HYPERLINK("https://my.pitchbook.com?c=121843-27", "View company online")</f>
      </c>
    </row>
    <row r="351">
      <c r="A351" s="9" t="inlineStr">
        <is>
          <t>62071-93</t>
        </is>
      </c>
      <c r="B351" s="10" t="inlineStr">
        <is>
          <t>Vitalacy</t>
        </is>
      </c>
      <c r="C351" s="11" t="n">
        <v>0.0</v>
      </c>
      <c r="D351" s="12" t="n">
        <v>1.1622003359291495</v>
      </c>
      <c r="E351" s="13" t="inlineStr">
        <is>
          <t/>
        </is>
      </c>
      <c r="F351" s="14" t="n">
        <v>79.0</v>
      </c>
      <c r="G351" s="15" t="inlineStr">
        <is>
          <t/>
        </is>
      </c>
      <c r="H351" s="16" t="n">
        <v>67.0</v>
      </c>
      <c r="I351" s="17" t="n">
        <v>10.0</v>
      </c>
      <c r="J351" s="18" t="n">
        <v>7.0</v>
      </c>
      <c r="K351" s="19" t="inlineStr">
        <is>
          <t>Other Healthcare</t>
        </is>
      </c>
      <c r="L351" s="20" t="inlineStr">
        <is>
          <t>Developer of wristband-based technology focused on strengthening hand hygiene programs. The company develops a sensor equipped wrist watch that alerts and reminds hospital staff to wash hands to reduce hospital acquired infections.</t>
        </is>
      </c>
      <c r="M351" s="21" t="inlineStr">
        <is>
          <t>Individual Investor, Persistent Systems</t>
        </is>
      </c>
      <c r="N351" s="22" t="inlineStr">
        <is>
          <t>Angel-Backed</t>
        </is>
      </c>
      <c r="O351" s="23" t="inlineStr">
        <is>
          <t>Privately Held (backing)</t>
        </is>
      </c>
      <c r="P351" s="24" t="inlineStr">
        <is>
          <t>Los Angeles, CA</t>
        </is>
      </c>
      <c r="Q351" s="25" t="inlineStr">
        <is>
          <t>www.vitalacy.com</t>
        </is>
      </c>
      <c r="R351" s="113">
        <f>HYPERLINK("https://my.pitchbook.com?c=62071-93", "View company online")</f>
      </c>
    </row>
    <row r="352">
      <c r="A352" s="27" t="inlineStr">
        <is>
          <t>103447-99</t>
        </is>
      </c>
      <c r="B352" s="28" t="inlineStr">
        <is>
          <t>Vitagene</t>
        </is>
      </c>
      <c r="C352" s="29" t="n">
        <v>0.3747467049456066</v>
      </c>
      <c r="D352" s="30" t="n">
        <v>1.207223496261816</v>
      </c>
      <c r="E352" s="31" t="inlineStr">
        <is>
          <t/>
        </is>
      </c>
      <c r="F352" s="32" t="n">
        <v>5.0</v>
      </c>
      <c r="G352" s="33" t="n">
        <v>3246.0</v>
      </c>
      <c r="H352" s="34" t="n">
        <v>184.0</v>
      </c>
      <c r="I352" s="35" t="n">
        <v>18.0</v>
      </c>
      <c r="J352" s="36" t="n">
        <v>5.5</v>
      </c>
      <c r="K352" s="37" t="inlineStr">
        <is>
          <t>Other Healthcare Technology Systems</t>
        </is>
      </c>
      <c r="L352" s="38" t="inlineStr">
        <is>
          <t>Developer of a platform for physicians to offer data-driven care. The company's platform is used by doctors to create tailored supplement regimen for their patients.</t>
        </is>
      </c>
      <c r="M352" s="39" t="inlineStr">
        <is>
          <t>Illumina Accelerator, Kenneth Goldman, Neil Hunt, Spectrum 28, Viking Global Investors, Yuri Milner</t>
        </is>
      </c>
      <c r="N352" s="40" t="inlineStr">
        <is>
          <t>Accelerator/Incubator Backed</t>
        </is>
      </c>
      <c r="O352" s="41" t="inlineStr">
        <is>
          <t>Privately Held (backing)</t>
        </is>
      </c>
      <c r="P352" s="42" t="inlineStr">
        <is>
          <t>San Francisco, CA</t>
        </is>
      </c>
      <c r="Q352" s="43" t="inlineStr">
        <is>
          <t>www.vitagene.com</t>
        </is>
      </c>
      <c r="R352" s="114">
        <f>HYPERLINK("https://my.pitchbook.com?c=103447-99", "View company online")</f>
      </c>
    </row>
    <row r="353">
      <c r="A353" s="9" t="inlineStr">
        <is>
          <t>98988-76</t>
        </is>
      </c>
      <c r="B353" s="10" t="inlineStr">
        <is>
          <t>VisualNACert</t>
        </is>
      </c>
      <c r="C353" s="11" t="n">
        <v>0.32954459032984756</v>
      </c>
      <c r="D353" s="12" t="n">
        <v>1.326243279283073</v>
      </c>
      <c r="E353" s="13" t="inlineStr">
        <is>
          <t/>
        </is>
      </c>
      <c r="F353" s="14" t="n">
        <v>50.0</v>
      </c>
      <c r="G353" s="15" t="n">
        <v>144.0</v>
      </c>
      <c r="H353" s="16" t="n">
        <v>854.0</v>
      </c>
      <c r="I353" s="17" t="inlineStr">
        <is>
          <t/>
        </is>
      </c>
      <c r="J353" s="18" t="n">
        <v>1.08</v>
      </c>
      <c r="K353" s="19" t="inlineStr">
        <is>
          <t>Business/Productivity Software</t>
        </is>
      </c>
      <c r="L353" s="20" t="inlineStr">
        <is>
          <t>Developer of a farm management software designed to simplify farm activity management. The company's farm management software permits automatic calculation of occupied surface and intersection for farm insurance, meets legal requirements for main standards, traces and manages pollinators, traps and diffusers as well as offers agroclimatic data, enabling farmers to manage costs and profitability.</t>
        </is>
      </c>
      <c r="M353" s="21" t="inlineStr">
        <is>
          <t>Start-Up Chile, Wayra</t>
        </is>
      </c>
      <c r="N353" s="22" t="inlineStr">
        <is>
          <t>Accelerator/Incubator Backed</t>
        </is>
      </c>
      <c r="O353" s="23" t="inlineStr">
        <is>
          <t>Privately Held (backing)</t>
        </is>
      </c>
      <c r="P353" s="24" t="inlineStr">
        <is>
          <t>Valencia, Spain</t>
        </is>
      </c>
      <c r="Q353" s="25" t="inlineStr">
        <is>
          <t>www.visualnacert.com</t>
        </is>
      </c>
      <c r="R353" s="113">
        <f>HYPERLINK("https://my.pitchbook.com?c=98988-76", "View company online")</f>
      </c>
    </row>
    <row r="354">
      <c r="A354" s="27" t="inlineStr">
        <is>
          <t>179852-77</t>
        </is>
      </c>
      <c r="B354" s="28" t="inlineStr">
        <is>
          <t>Visory</t>
        </is>
      </c>
      <c r="C354" s="29" t="n">
        <v>0.0</v>
      </c>
      <c r="D354" s="30" t="n">
        <v>0.02702702702702703</v>
      </c>
      <c r="E354" s="31" t="inlineStr">
        <is>
          <t/>
        </is>
      </c>
      <c r="F354" s="32" t="n">
        <v>1.0</v>
      </c>
      <c r="G354" s="33" t="inlineStr">
        <is>
          <t/>
        </is>
      </c>
      <c r="H354" s="34" t="inlineStr">
        <is>
          <t/>
        </is>
      </c>
      <c r="I354" s="35" t="inlineStr">
        <is>
          <t/>
        </is>
      </c>
      <c r="J354" s="36" t="n">
        <v>0.01</v>
      </c>
      <c r="K354" s="37" t="inlineStr">
        <is>
          <t>Consulting Services (B2B)</t>
        </is>
      </c>
      <c r="L354" s="38" t="inlineStr">
        <is>
          <t>Operator of a strategic consultancy intended to connect brands and agencies with audiences. The company's platform offers strategic consulting services using virtual reality, augmented reality, interactive video and artificial intelligence, enabling brands and agencies to establish connections with customers and create maximum impact of the business projects.</t>
        </is>
      </c>
      <c r="M354" s="39" t="inlineStr">
        <is>
          <t/>
        </is>
      </c>
      <c r="N354" s="40" t="inlineStr">
        <is>
          <t>Angel-Backed</t>
        </is>
      </c>
      <c r="O354" s="41" t="inlineStr">
        <is>
          <t>Privately Held (backing)</t>
        </is>
      </c>
      <c r="P354" s="42" t="inlineStr">
        <is>
          <t>Santa Monica, CA</t>
        </is>
      </c>
      <c r="Q354" s="43" t="inlineStr">
        <is>
          <t>www.thevisory.com</t>
        </is>
      </c>
      <c r="R354" s="114">
        <f>HYPERLINK("https://my.pitchbook.com?c=179852-77", "View company online")</f>
      </c>
    </row>
    <row r="355">
      <c r="A355" s="9" t="inlineStr">
        <is>
          <t>173892-61</t>
        </is>
      </c>
      <c r="B355" s="10" t="inlineStr">
        <is>
          <t>VisionX</t>
        </is>
      </c>
      <c r="C355" s="11" t="n">
        <v>0.0</v>
      </c>
      <c r="D355" s="12" t="n">
        <v>0.10810810810810811</v>
      </c>
      <c r="E355" s="13" t="inlineStr">
        <is>
          <t/>
        </is>
      </c>
      <c r="F355" s="14" t="n">
        <v>4.0</v>
      </c>
      <c r="G355" s="15" t="n">
        <v>4.0</v>
      </c>
      <c r="H355" s="16" t="inlineStr">
        <is>
          <t/>
        </is>
      </c>
      <c r="I355" s="17" t="inlineStr">
        <is>
          <t/>
        </is>
      </c>
      <c r="J355" s="18" t="n">
        <v>0.15</v>
      </c>
      <c r="K355" s="19" t="inlineStr">
        <is>
          <t>Distributors/Wholesale</t>
        </is>
      </c>
      <c r="L355" s="20" t="inlineStr">
        <is>
          <t>Developer of insurance distribution platform designed to distribute insurance based products via multiple channels. The company's insurance distribution platform is designed to connect insurance companies with multiple channels with a technology that allows price quoting and purchasing insurance products in real-time, enabling insurance companies, aggregators and insurance agents to distribute insurance products in a more efficient way.</t>
        </is>
      </c>
      <c r="M355" s="21" t="inlineStr">
        <is>
          <t>500 Startups</t>
        </is>
      </c>
      <c r="N355" s="22" t="inlineStr">
        <is>
          <t>Accelerator/Incubator Backed</t>
        </is>
      </c>
      <c r="O355" s="23" t="inlineStr">
        <is>
          <t>Privately Held (backing)</t>
        </is>
      </c>
      <c r="P355" s="24" t="inlineStr">
        <is>
          <t>San Francisco, CA</t>
        </is>
      </c>
      <c r="Q355" s="25" t="inlineStr">
        <is>
          <t>www.visionx.co</t>
        </is>
      </c>
      <c r="R355" s="113">
        <f>HYPERLINK("https://my.pitchbook.com?c=173892-61", "View company online")</f>
      </c>
    </row>
    <row r="356">
      <c r="A356" s="27" t="inlineStr">
        <is>
          <t>174390-67</t>
        </is>
      </c>
      <c r="B356" s="28" t="inlineStr">
        <is>
          <t>Visionary Realms</t>
        </is>
      </c>
      <c r="C356" s="29" t="n">
        <v>2.1122156981524465</v>
      </c>
      <c r="D356" s="30" t="n">
        <v>0.9085738280653535</v>
      </c>
      <c r="E356" s="31" t="inlineStr">
        <is>
          <t/>
        </is>
      </c>
      <c r="F356" s="32" t="n">
        <v>4.0</v>
      </c>
      <c r="G356" s="33" t="inlineStr">
        <is>
          <t/>
        </is>
      </c>
      <c r="H356" s="34" t="n">
        <v>598.0</v>
      </c>
      <c r="I356" s="35" t="inlineStr">
        <is>
          <t/>
        </is>
      </c>
      <c r="J356" s="36" t="inlineStr">
        <is>
          <t/>
        </is>
      </c>
      <c r="K356" s="37" t="inlineStr">
        <is>
          <t>Entertainment Software</t>
        </is>
      </c>
      <c r="L356" s="38" t="inlineStr">
        <is>
          <t>Operator of a gaming studio created to design and publish multiplayer online games. The company designs and develops multiplayer online video games that are capable of supporting large numbers of players, enabling users to play interactive 3D adventurous games with multiple virtual players.</t>
        </is>
      </c>
      <c r="M356" s="39" t="inlineStr">
        <is>
          <t/>
        </is>
      </c>
      <c r="N356" s="40" t="inlineStr">
        <is>
          <t>Angel-Backed</t>
        </is>
      </c>
      <c r="O356" s="41" t="inlineStr">
        <is>
          <t>Privately Held (backing)</t>
        </is>
      </c>
      <c r="P356" s="42" t="inlineStr">
        <is>
          <t>Carlsbad, CA</t>
        </is>
      </c>
      <c r="Q356" s="43" t="inlineStr">
        <is>
          <t>www.visionaryrealms.com</t>
        </is>
      </c>
      <c r="R356" s="114">
        <f>HYPERLINK("https://my.pitchbook.com?c=174390-67", "View company online")</f>
      </c>
    </row>
    <row r="357">
      <c r="A357" s="9" t="inlineStr">
        <is>
          <t>102623-05</t>
        </is>
      </c>
      <c r="B357" s="10" t="inlineStr">
        <is>
          <t>Visionary Pharmaceuticals</t>
        </is>
      </c>
      <c r="C357" s="11" t="n">
        <v>0.0</v>
      </c>
      <c r="D357" s="12" t="n">
        <v>0.16216216216216217</v>
      </c>
      <c r="E357" s="13" t="inlineStr">
        <is>
          <t/>
        </is>
      </c>
      <c r="F357" s="14" t="n">
        <v>6.0</v>
      </c>
      <c r="G357" s="15" t="inlineStr">
        <is>
          <t/>
        </is>
      </c>
      <c r="H357" s="16" t="inlineStr">
        <is>
          <t/>
        </is>
      </c>
      <c r="I357" s="17" t="inlineStr">
        <is>
          <t/>
        </is>
      </c>
      <c r="J357" s="18" t="inlineStr">
        <is>
          <t/>
        </is>
      </c>
      <c r="K357" s="19" t="inlineStr">
        <is>
          <t>Biotechnology</t>
        </is>
      </c>
      <c r="L357" s="20" t="inlineStr">
        <is>
          <t>Developer of drugs for cancer treatment. The company operates a biotechnology company which develops drugs for medical needs for cancer and inflammation treatement.</t>
        </is>
      </c>
      <c r="M357" s="21" t="inlineStr">
        <is>
          <t>CONNECT (Accelerator), The National Institute of Diabetes and Digestive and Kidney Diseases</t>
        </is>
      </c>
      <c r="N357" s="22" t="inlineStr">
        <is>
          <t>Accelerator/Incubator Backed</t>
        </is>
      </c>
      <c r="O357" s="23" t="inlineStr">
        <is>
          <t>Privately Held (backing)</t>
        </is>
      </c>
      <c r="P357" s="24" t="inlineStr">
        <is>
          <t>San Diego, CA</t>
        </is>
      </c>
      <c r="Q357" s="25" t="inlineStr">
        <is>
          <t>www.visionarypharmaceutical.com</t>
        </is>
      </c>
      <c r="R357" s="113">
        <f>HYPERLINK("https://my.pitchbook.com?c=102623-05", "View company online")</f>
      </c>
    </row>
    <row r="358">
      <c r="A358" s="27" t="inlineStr">
        <is>
          <t>56413-18</t>
        </is>
      </c>
      <c r="B358" s="28" t="inlineStr">
        <is>
          <t>Visible Brands</t>
        </is>
      </c>
      <c r="C358" s="29" t="n">
        <v>-0.0511779037328566</v>
      </c>
      <c r="D358" s="30" t="n">
        <v>0.7877538555504657</v>
      </c>
      <c r="E358" s="31" t="inlineStr">
        <is>
          <t/>
        </is>
      </c>
      <c r="F358" s="32" t="n">
        <v>33.0</v>
      </c>
      <c r="G358" s="33" t="inlineStr">
        <is>
          <t/>
        </is>
      </c>
      <c r="H358" s="34" t="n">
        <v>242.0</v>
      </c>
      <c r="I358" s="35" t="n">
        <v>11.0</v>
      </c>
      <c r="J358" s="36" t="n">
        <v>5.57</v>
      </c>
      <c r="K358" s="37" t="inlineStr">
        <is>
          <t>Media and Information Services (B2B)</t>
        </is>
      </c>
      <c r="L358" s="38" t="inlineStr">
        <is>
          <t>Provider of a digital media communications platform to connect advertisers, retailers and shoppers. The company offers a cloud-based promotions network enabling shoppers to digitally grab coupons alongside items on store shelves.</t>
        </is>
      </c>
      <c r="M358" s="39" t="inlineStr">
        <is>
          <t/>
        </is>
      </c>
      <c r="N358" s="40" t="inlineStr">
        <is>
          <t>Angel-Backed</t>
        </is>
      </c>
      <c r="O358" s="41" t="inlineStr">
        <is>
          <t>Privately Held (backing)</t>
        </is>
      </c>
      <c r="P358" s="42" t="inlineStr">
        <is>
          <t>Kirkland, WA</t>
        </is>
      </c>
      <c r="Q358" s="43" t="inlineStr">
        <is>
          <t>www.visbrands.com</t>
        </is>
      </c>
      <c r="R358" s="114">
        <f>HYPERLINK("https://my.pitchbook.com?c=56413-18", "View company online")</f>
      </c>
    </row>
    <row r="359">
      <c r="A359" s="9" t="inlineStr">
        <is>
          <t>103495-33</t>
        </is>
      </c>
      <c r="B359" s="10" t="inlineStr">
        <is>
          <t>Visada</t>
        </is>
      </c>
      <c r="C359" s="11" t="n">
        <v>-0.020688574913412847</v>
      </c>
      <c r="D359" s="12" t="n">
        <v>1.1575813101236831</v>
      </c>
      <c r="E359" s="13" t="inlineStr">
        <is>
          <t/>
        </is>
      </c>
      <c r="F359" s="14" t="n">
        <v>1.0</v>
      </c>
      <c r="G359" s="15" t="inlineStr">
        <is>
          <t/>
        </is>
      </c>
      <c r="H359" s="16" t="n">
        <v>810.0</v>
      </c>
      <c r="I359" s="17" t="n">
        <v>4.0</v>
      </c>
      <c r="J359" s="18" t="n">
        <v>1.1</v>
      </c>
      <c r="K359" s="19" t="inlineStr">
        <is>
          <t>Social/Platform Software</t>
        </is>
      </c>
      <c r="L359" s="20" t="inlineStr">
        <is>
          <t>Provider of a beauty advisory platform. The company provides a web-based platform and mobile application that enables the users to discover and purchase beauty products and services by clicking and uploading their selfie.</t>
        </is>
      </c>
      <c r="M359" s="21" t="inlineStr">
        <is>
          <t/>
        </is>
      </c>
      <c r="N359" s="22" t="inlineStr">
        <is>
          <t>Angel-Backed</t>
        </is>
      </c>
      <c r="O359" s="23" t="inlineStr">
        <is>
          <t>Privately Held (backing)</t>
        </is>
      </c>
      <c r="P359" s="24" t="inlineStr">
        <is>
          <t>Sausalito, CA</t>
        </is>
      </c>
      <c r="Q359" s="25" t="inlineStr">
        <is>
          <t>www.visada.me</t>
        </is>
      </c>
      <c r="R359" s="113">
        <f>HYPERLINK("https://my.pitchbook.com?c=103495-33", "View company online")</f>
      </c>
    </row>
    <row r="360">
      <c r="A360" s="27" t="inlineStr">
        <is>
          <t>118845-55</t>
        </is>
      </c>
      <c r="B360" s="28" t="inlineStr">
        <is>
          <t>VirtuMed</t>
        </is>
      </c>
      <c r="C360" s="29" t="n">
        <v>0.0</v>
      </c>
      <c r="D360" s="30" t="n">
        <v>0.03691403267674454</v>
      </c>
      <c r="E360" s="31" t="inlineStr">
        <is>
          <t/>
        </is>
      </c>
      <c r="F360" s="32" t="n">
        <v>2.0</v>
      </c>
      <c r="G360" s="33" t="inlineStr">
        <is>
          <t/>
        </is>
      </c>
      <c r="H360" s="34" t="n">
        <v>7.0</v>
      </c>
      <c r="I360" s="35" t="inlineStr">
        <is>
          <t/>
        </is>
      </c>
      <c r="J360" s="36" t="n">
        <v>0.05</v>
      </c>
      <c r="K360" s="37" t="inlineStr">
        <is>
          <t>Social/Platform Software</t>
        </is>
      </c>
      <c r="L360" s="38" t="inlineStr">
        <is>
          <t>Provider of cloud-based remote connectivity platform. The company offers a remote connectivity platform for the healthcare industry which helps them reduce costs and offers better services to their patients.</t>
        </is>
      </c>
      <c r="M360" s="39" t="inlineStr">
        <is>
          <t/>
        </is>
      </c>
      <c r="N360" s="40" t="inlineStr">
        <is>
          <t>Angel-Backed</t>
        </is>
      </c>
      <c r="O360" s="41" t="inlineStr">
        <is>
          <t>Privately Held (backing)</t>
        </is>
      </c>
      <c r="P360" s="42" t="inlineStr">
        <is>
          <t>San Diego, CA</t>
        </is>
      </c>
      <c r="Q360" s="43" t="inlineStr">
        <is>
          <t>www.virtumedhealth.com</t>
        </is>
      </c>
      <c r="R360" s="114">
        <f>HYPERLINK("https://my.pitchbook.com?c=118845-55", "View company online")</f>
      </c>
    </row>
    <row r="361">
      <c r="A361" s="9" t="inlineStr">
        <is>
          <t>99356-86</t>
        </is>
      </c>
      <c r="B361" s="10" t="inlineStr">
        <is>
          <t>Virgo Travel</t>
        </is>
      </c>
      <c r="C361" s="11" t="n">
        <v>-0.06884680142674388</v>
      </c>
      <c r="D361" s="12" t="n">
        <v>0.24030386318521912</v>
      </c>
      <c r="E361" s="13" t="inlineStr">
        <is>
          <t/>
        </is>
      </c>
      <c r="F361" s="14" t="n">
        <v>2.0</v>
      </c>
      <c r="G361" s="15" t="inlineStr">
        <is>
          <t/>
        </is>
      </c>
      <c r="H361" s="16" t="n">
        <v>151.0</v>
      </c>
      <c r="I361" s="17" t="n">
        <v>5.0</v>
      </c>
      <c r="J361" s="18" t="n">
        <v>0.77</v>
      </c>
      <c r="K361" s="19" t="inlineStr">
        <is>
          <t>Social/Platform Software</t>
        </is>
      </c>
      <c r="L361" s="20" t="inlineStr">
        <is>
          <t>Provider of an online hotel booking platform. The company offers a hotel reservation and booking platform using which travelers can book hotels and plan their trips in advance.</t>
        </is>
      </c>
      <c r="M361" s="21" t="inlineStr">
        <is>
          <t>Arnaud Barey, Derrick Hsiang, Eric Chen</t>
        </is>
      </c>
      <c r="N361" s="22" t="inlineStr">
        <is>
          <t>Angel-Backed</t>
        </is>
      </c>
      <c r="O361" s="23" t="inlineStr">
        <is>
          <t>Privately Held (backing)</t>
        </is>
      </c>
      <c r="P361" s="24" t="inlineStr">
        <is>
          <t>San Mateo, CA</t>
        </is>
      </c>
      <c r="Q361" s="25" t="inlineStr">
        <is>
          <t>www.virgo.limo</t>
        </is>
      </c>
      <c r="R361" s="113">
        <f>HYPERLINK("https://my.pitchbook.com?c=99356-86", "View company online")</f>
      </c>
    </row>
    <row r="362">
      <c r="A362" s="27" t="inlineStr">
        <is>
          <t>154056-52</t>
        </is>
      </c>
      <c r="B362" s="28" t="inlineStr">
        <is>
          <t>Virginia Black</t>
        </is>
      </c>
      <c r="C362" s="29" t="inlineStr">
        <is>
          <t/>
        </is>
      </c>
      <c r="D362" s="30" t="inlineStr">
        <is>
          <t/>
        </is>
      </c>
      <c r="E362" s="31" t="inlineStr">
        <is>
          <t/>
        </is>
      </c>
      <c r="F362" s="32" t="inlineStr">
        <is>
          <t/>
        </is>
      </c>
      <c r="G362" s="33" t="inlineStr">
        <is>
          <t/>
        </is>
      </c>
      <c r="H362" s="34" t="inlineStr">
        <is>
          <t/>
        </is>
      </c>
      <c r="I362" s="35" t="inlineStr">
        <is>
          <t/>
        </is>
      </c>
      <c r="J362" s="36" t="n">
        <v>1.55</v>
      </c>
      <c r="K362" s="37" t="inlineStr">
        <is>
          <t>Other Business Products and Services</t>
        </is>
      </c>
      <c r="L362" s="38" t="inlineStr">
        <is>
          <t>The company is currently operating in Stealth mode.</t>
        </is>
      </c>
      <c r="M362" s="39" t="inlineStr">
        <is>
          <t/>
        </is>
      </c>
      <c r="N362" s="40" t="inlineStr">
        <is>
          <t>Angel-Backed</t>
        </is>
      </c>
      <c r="O362" s="41" t="inlineStr">
        <is>
          <t>Privately Held (backing)</t>
        </is>
      </c>
      <c r="P362" s="42" t="inlineStr">
        <is>
          <t>Los Angeles, CA</t>
        </is>
      </c>
      <c r="Q362" s="43" t="inlineStr">
        <is>
          <t/>
        </is>
      </c>
      <c r="R362" s="114">
        <f>HYPERLINK("https://my.pitchbook.com?c=154056-52", "View company online")</f>
      </c>
    </row>
    <row r="363">
      <c r="A363" s="9" t="inlineStr">
        <is>
          <t>104349-34</t>
        </is>
      </c>
      <c r="B363" s="10" t="inlineStr">
        <is>
          <t>ViRect</t>
        </is>
      </c>
      <c r="C363" s="11" t="n">
        <v>-4.082292817219023E-4</v>
      </c>
      <c r="D363" s="12" t="n">
        <v>1.7180240641736588</v>
      </c>
      <c r="E363" s="13" t="inlineStr">
        <is>
          <t/>
        </is>
      </c>
      <c r="F363" s="14" t="n">
        <v>45.0</v>
      </c>
      <c r="G363" s="15" t="n">
        <v>2894.0</v>
      </c>
      <c r="H363" s="16" t="n">
        <v>299.0</v>
      </c>
      <c r="I363" s="17" t="n">
        <v>9.0</v>
      </c>
      <c r="J363" s="18" t="n">
        <v>0.13</v>
      </c>
      <c r="K363" s="19" t="inlineStr">
        <is>
          <t>Social/Platform Software</t>
        </is>
      </c>
      <c r="L363" s="20" t="inlineStr">
        <is>
          <t>Developer and provider of an online video search platform. The company enables video creators to manage video production by offering them the access to video professionals with verified portfolio.</t>
        </is>
      </c>
      <c r="M363" s="21" t="inlineStr">
        <is>
          <t>500 Startups</t>
        </is>
      </c>
      <c r="N363" s="22" t="inlineStr">
        <is>
          <t>Accelerator/Incubator Backed</t>
        </is>
      </c>
      <c r="O363" s="23" t="inlineStr">
        <is>
          <t>Privately Held (backing)</t>
        </is>
      </c>
      <c r="P363" s="24" t="inlineStr">
        <is>
          <t>San Francisco, CA</t>
        </is>
      </c>
      <c r="Q363" s="25" t="inlineStr">
        <is>
          <t>www.virect.com</t>
        </is>
      </c>
      <c r="R363" s="113">
        <f>HYPERLINK("https://my.pitchbook.com?c=104349-34", "View company online")</f>
      </c>
    </row>
    <row r="364">
      <c r="A364" s="27" t="inlineStr">
        <is>
          <t>169851-61</t>
        </is>
      </c>
      <c r="B364" s="28" t="inlineStr">
        <is>
          <t>Viralocity Software</t>
        </is>
      </c>
      <c r="C364" s="29" t="n">
        <v>-0.07027914806033891</v>
      </c>
      <c r="D364" s="30" t="n">
        <v>0.1585507104114326</v>
      </c>
      <c r="E364" s="31" t="inlineStr">
        <is>
          <t/>
        </is>
      </c>
      <c r="F364" s="32" t="n">
        <v>1.0</v>
      </c>
      <c r="G364" s="33" t="n">
        <v>110.0</v>
      </c>
      <c r="H364" s="34" t="n">
        <v>158.0</v>
      </c>
      <c r="I364" s="35" t="inlineStr">
        <is>
          <t/>
        </is>
      </c>
      <c r="J364" s="36" t="n">
        <v>0.27</v>
      </c>
      <c r="K364" s="37" t="inlineStr">
        <is>
          <t>Application Software</t>
        </is>
      </c>
      <c r="L364" s="38" t="inlineStr">
        <is>
          <t>Developer of a social calendar and scheduling platform designed to help employees and clients in creating, scheduling and managing events. The company's social calendar and scheduling platform Schalendar uses a simple and single intuitive interface that offers reminders, alerts and messages and transforms complicated group schedule management process avoiding group mail hassles, enabling calendar users to conveniently create, share and update events with other users.</t>
        </is>
      </c>
      <c r="M364" s="39" t="inlineStr">
        <is>
          <t/>
        </is>
      </c>
      <c r="N364" s="40" t="inlineStr">
        <is>
          <t>Angel-Backed</t>
        </is>
      </c>
      <c r="O364" s="41" t="inlineStr">
        <is>
          <t>Privately Held (backing)</t>
        </is>
      </c>
      <c r="P364" s="42" t="inlineStr">
        <is>
          <t>Mission Viejo, CA</t>
        </is>
      </c>
      <c r="Q364" s="43" t="inlineStr">
        <is>
          <t>www.heyoo.life</t>
        </is>
      </c>
      <c r="R364" s="114">
        <f>HYPERLINK("https://my.pitchbook.com?c=169851-61", "View company online")</f>
      </c>
    </row>
    <row r="365">
      <c r="A365" s="9" t="inlineStr">
        <is>
          <t>123267-79</t>
        </is>
      </c>
      <c r="B365" s="10" t="inlineStr">
        <is>
          <t>Viral Forensics</t>
        </is>
      </c>
      <c r="C365" s="11" t="n">
        <v>0.0</v>
      </c>
      <c r="D365" s="12" t="n">
        <v>0.16216216216216217</v>
      </c>
      <c r="E365" s="13" t="inlineStr">
        <is>
          <t/>
        </is>
      </c>
      <c r="F365" s="14" t="n">
        <v>6.0</v>
      </c>
      <c r="G365" s="15" t="inlineStr">
        <is>
          <t/>
        </is>
      </c>
      <c r="H365" s="16" t="inlineStr">
        <is>
          <t/>
        </is>
      </c>
      <c r="I365" s="17" t="inlineStr">
        <is>
          <t/>
        </is>
      </c>
      <c r="J365" s="18" t="inlineStr">
        <is>
          <t/>
        </is>
      </c>
      <c r="K365" s="19" t="inlineStr">
        <is>
          <t>Biotechnology</t>
        </is>
      </c>
      <c r="L365" s="20" t="inlineStr">
        <is>
          <t>Operator of a forensic examination center. The company provides forensic examination services of blood plasma samples to confirm the absence or presence of viral pathogens in blood plasma.</t>
        </is>
      </c>
      <c r="M365" s="21" t="inlineStr">
        <is>
          <t>California Institute for Quantitative Biosciences</t>
        </is>
      </c>
      <c r="N365" s="22" t="inlineStr">
        <is>
          <t>Accelerator/Incubator Backed</t>
        </is>
      </c>
      <c r="O365" s="23" t="inlineStr">
        <is>
          <t>Privately Held (backing)</t>
        </is>
      </c>
      <c r="P365" s="24" t="inlineStr">
        <is>
          <t>Berkeley, CA</t>
        </is>
      </c>
      <c r="Q365" s="25" t="inlineStr">
        <is>
          <t>www.viralforensics.com</t>
        </is>
      </c>
      <c r="R365" s="113">
        <f>HYPERLINK("https://my.pitchbook.com?c=123267-79", "View company online")</f>
      </c>
    </row>
    <row r="366">
      <c r="A366" s="27" t="inlineStr">
        <is>
          <t>103493-98</t>
        </is>
      </c>
      <c r="B366" s="28" t="inlineStr">
        <is>
          <t>Vir2us</t>
        </is>
      </c>
      <c r="C366" s="29" t="n">
        <v>0.0</v>
      </c>
      <c r="D366" s="30" t="n">
        <v>0.05405405405405406</v>
      </c>
      <c r="E366" s="31" t="inlineStr">
        <is>
          <t/>
        </is>
      </c>
      <c r="F366" s="32" t="n">
        <v>2.0</v>
      </c>
      <c r="G366" s="33" t="inlineStr">
        <is>
          <t/>
        </is>
      </c>
      <c r="H366" s="34" t="inlineStr">
        <is>
          <t/>
        </is>
      </c>
      <c r="I366" s="35" t="inlineStr">
        <is>
          <t/>
        </is>
      </c>
      <c r="J366" s="36" t="n">
        <v>3.0</v>
      </c>
      <c r="K366" s="37" t="inlineStr">
        <is>
          <t>Other Software</t>
        </is>
      </c>
      <c r="L366" s="38" t="inlineStr">
        <is>
          <t>Developer of computer security software. The company's immunity platform is a comprehensive set of fully integrated software application modules that empower information systems management professionals to achieve genuine cyber secure computing.</t>
        </is>
      </c>
      <c r="M366" s="39" t="inlineStr">
        <is>
          <t/>
        </is>
      </c>
      <c r="N366" s="40" t="inlineStr">
        <is>
          <t>Angel-Backed</t>
        </is>
      </c>
      <c r="O366" s="41" t="inlineStr">
        <is>
          <t>Privately Held (backing)</t>
        </is>
      </c>
      <c r="P366" s="42" t="inlineStr">
        <is>
          <t>Petaluma, CA</t>
        </is>
      </c>
      <c r="Q366" s="43" t="inlineStr">
        <is>
          <t>www.vir2ustechnologies.com</t>
        </is>
      </c>
      <c r="R366" s="114">
        <f>HYPERLINK("https://my.pitchbook.com?c=103493-98", "View company online")</f>
      </c>
    </row>
    <row r="367">
      <c r="A367" s="9" t="inlineStr">
        <is>
          <t>56430-01</t>
        </is>
      </c>
      <c r="B367" s="10" t="inlineStr">
        <is>
          <t>VipeCloud</t>
        </is>
      </c>
      <c r="C367" s="11" t="n">
        <v>0.0465795811993363</v>
      </c>
      <c r="D367" s="12" t="n">
        <v>0.8893918421000219</v>
      </c>
      <c r="E367" s="13" t="inlineStr">
        <is>
          <t/>
        </is>
      </c>
      <c r="F367" s="14" t="n">
        <v>51.0</v>
      </c>
      <c r="G367" s="15" t="n">
        <v>133.0</v>
      </c>
      <c r="H367" s="16" t="n">
        <v>225.0</v>
      </c>
      <c r="I367" s="17" t="inlineStr">
        <is>
          <t/>
        </is>
      </c>
      <c r="J367" s="18" t="inlineStr">
        <is>
          <t/>
        </is>
      </c>
      <c r="K367" s="19" t="inlineStr">
        <is>
          <t>Automation/Workflow Software</t>
        </is>
      </c>
      <c r="L367" s="20" t="inlineStr">
        <is>
          <t>Provider of a sales and marketing automation platform. The company's platform enables automation of sales and marketing as well as interaction with customers that enables generation of leads and sales.</t>
        </is>
      </c>
      <c r="M367" s="21" t="inlineStr">
        <is>
          <t>StartX</t>
        </is>
      </c>
      <c r="N367" s="22" t="inlineStr">
        <is>
          <t>Accelerator/Incubator Backed</t>
        </is>
      </c>
      <c r="O367" s="23" t="inlineStr">
        <is>
          <t>Privately Held (backing)</t>
        </is>
      </c>
      <c r="P367" s="24" t="inlineStr">
        <is>
          <t>Palo Alto, CA</t>
        </is>
      </c>
      <c r="Q367" s="25" t="inlineStr">
        <is>
          <t>www.vipecloud.com</t>
        </is>
      </c>
      <c r="R367" s="113">
        <f>HYPERLINK("https://my.pitchbook.com?c=56430-01", "View company online")</f>
      </c>
    </row>
    <row r="368">
      <c r="A368" s="27" t="inlineStr">
        <is>
          <t>59254-03</t>
        </is>
      </c>
      <c r="B368" s="28" t="inlineStr">
        <is>
          <t>Vionic</t>
        </is>
      </c>
      <c r="C368" s="29" t="n">
        <v>-0.018494190333136963</v>
      </c>
      <c r="D368" s="30" t="n">
        <v>9.989759566915057</v>
      </c>
      <c r="E368" s="31" t="inlineStr">
        <is>
          <t/>
        </is>
      </c>
      <c r="F368" s="32" t="n">
        <v>40.0</v>
      </c>
      <c r="G368" s="33" t="n">
        <v>11919.0</v>
      </c>
      <c r="H368" s="34" t="n">
        <v>8124.0</v>
      </c>
      <c r="I368" s="35" t="n">
        <v>16.0</v>
      </c>
      <c r="J368" s="36" t="n">
        <v>6.72</v>
      </c>
      <c r="K368" s="37" t="inlineStr">
        <is>
          <t>Social/Platform Software</t>
        </is>
      </c>
      <c r="L368" s="38" t="inlineStr">
        <is>
          <t>Provider of a social media deals platform. The company's platform enables brands to offer exclusive promotions on social networking sites.</t>
        </is>
      </c>
      <c r="M368" s="39" t="inlineStr">
        <is>
          <t>Individual Investor</t>
        </is>
      </c>
      <c r="N368" s="40" t="inlineStr">
        <is>
          <t>Angel-Backed</t>
        </is>
      </c>
      <c r="O368" s="41" t="inlineStr">
        <is>
          <t>Privately Held (backing)</t>
        </is>
      </c>
      <c r="P368" s="42" t="inlineStr">
        <is>
          <t>San Diego, CA</t>
        </is>
      </c>
      <c r="Q368" s="43" t="inlineStr">
        <is>
          <t>www.vionic.com</t>
        </is>
      </c>
      <c r="R368" s="114">
        <f>HYPERLINK("https://my.pitchbook.com?c=59254-03", "View company online")</f>
      </c>
    </row>
    <row r="369">
      <c r="A369" s="9" t="inlineStr">
        <is>
          <t>118713-07</t>
        </is>
      </c>
      <c r="B369" s="10" t="inlineStr">
        <is>
          <t>Vinz Clortho</t>
        </is>
      </c>
      <c r="C369" s="11" t="inlineStr">
        <is>
          <t/>
        </is>
      </c>
      <c r="D369" s="12" t="inlineStr">
        <is>
          <t/>
        </is>
      </c>
      <c r="E369" s="13" t="inlineStr">
        <is>
          <t/>
        </is>
      </c>
      <c r="F369" s="14" t="inlineStr">
        <is>
          <t/>
        </is>
      </c>
      <c r="G369" s="15" t="inlineStr">
        <is>
          <t/>
        </is>
      </c>
      <c r="H369" s="16" t="inlineStr">
        <is>
          <t/>
        </is>
      </c>
      <c r="I369" s="17" t="inlineStr">
        <is>
          <t/>
        </is>
      </c>
      <c r="J369" s="18" t="n">
        <v>0.05</v>
      </c>
      <c r="K369" s="19" t="inlineStr">
        <is>
          <t>Other Business Products and Services</t>
        </is>
      </c>
      <c r="L369" s="20" t="inlineStr">
        <is>
          <t>The company is currently operating in stealth mode.</t>
        </is>
      </c>
      <c r="M369" s="21" t="inlineStr">
        <is>
          <t/>
        </is>
      </c>
      <c r="N369" s="22" t="inlineStr">
        <is>
          <t>Angel-Backed</t>
        </is>
      </c>
      <c r="O369" s="23" t="inlineStr">
        <is>
          <t>Privately Held (backing)</t>
        </is>
      </c>
      <c r="P369" s="24" t="inlineStr">
        <is>
          <t>Los Angeles, CA</t>
        </is>
      </c>
      <c r="Q369" s="25" t="inlineStr">
        <is>
          <t/>
        </is>
      </c>
      <c r="R369" s="113">
        <f>HYPERLINK("https://my.pitchbook.com?c=118713-07", "View company online")</f>
      </c>
    </row>
    <row r="370">
      <c r="A370" s="27" t="inlineStr">
        <is>
          <t>113719-69</t>
        </is>
      </c>
      <c r="B370" s="28" t="inlineStr">
        <is>
          <t>Vinsight</t>
        </is>
      </c>
      <c r="C370" s="29" t="n">
        <v>1.6005785329062359</v>
      </c>
      <c r="D370" s="30" t="n">
        <v>0.6633052886553255</v>
      </c>
      <c r="E370" s="31" t="inlineStr">
        <is>
          <t/>
        </is>
      </c>
      <c r="F370" s="32" t="n">
        <v>34.0</v>
      </c>
      <c r="G370" s="33" t="n">
        <v>198.0</v>
      </c>
      <c r="H370" s="34" t="n">
        <v>181.0</v>
      </c>
      <c r="I370" s="35" t="n">
        <v>6.0</v>
      </c>
      <c r="J370" s="36" t="n">
        <v>0.62</v>
      </c>
      <c r="K370" s="37" t="inlineStr">
        <is>
          <t>Business/Productivity Software</t>
        </is>
      </c>
      <c r="L370" s="38" t="inlineStr">
        <is>
          <t>Developer of a crop forecasting software designed to provide data analytics about crops to farmers. The company's software amasses all the data that it can from growers, government agencies and other sources, analyzes the data in aggregate, enabling users with correlated information about crop yield.</t>
        </is>
      </c>
      <c r="M370" s="39" t="inlineStr">
        <is>
          <t>Michael Malin, The RoyseLaw AgTech Innovation Network, Y Combinator</t>
        </is>
      </c>
      <c r="N370" s="40" t="inlineStr">
        <is>
          <t>Accelerator/Incubator Backed</t>
        </is>
      </c>
      <c r="O370" s="41" t="inlineStr">
        <is>
          <t>Privately Held (backing)</t>
        </is>
      </c>
      <c r="P370" s="42" t="inlineStr">
        <is>
          <t>Mountain View, CA</t>
        </is>
      </c>
      <c r="Q370" s="43" t="inlineStr">
        <is>
          <t>www.vinsight.co</t>
        </is>
      </c>
      <c r="R370" s="114">
        <f>HYPERLINK("https://my.pitchbook.com?c=113719-69", "View company online")</f>
      </c>
    </row>
    <row r="371">
      <c r="A371" s="9" t="inlineStr">
        <is>
          <t>54330-76</t>
        </is>
      </c>
      <c r="B371" s="10" t="inlineStr">
        <is>
          <t>VinPerfect</t>
        </is>
      </c>
      <c r="C371" s="11" t="n">
        <v>-0.05907655425396907</v>
      </c>
      <c r="D371" s="12" t="n">
        <v>0.7428996793403573</v>
      </c>
      <c r="E371" s="13" t="inlineStr">
        <is>
          <t/>
        </is>
      </c>
      <c r="F371" s="14" t="n">
        <v>44.0</v>
      </c>
      <c r="G371" s="15" t="inlineStr">
        <is>
          <t/>
        </is>
      </c>
      <c r="H371" s="16" t="n">
        <v>105.0</v>
      </c>
      <c r="I371" s="17" t="n">
        <v>6.0</v>
      </c>
      <c r="J371" s="18" t="n">
        <v>2.04</v>
      </c>
      <c r="K371" s="19" t="inlineStr">
        <is>
          <t>Beverages</t>
        </is>
      </c>
      <c r="L371" s="20" t="inlineStr">
        <is>
          <t>Developer of screwcaps for wine bottles. The company's screwcaps keeps the wine clear of the contamination of corks and provides oxygen over time for optimum aging.</t>
        </is>
      </c>
      <c r="M371" s="21" t="inlineStr">
        <is>
          <t>Individual Investor, Keiretsu Forum, Sacramento Angels</t>
        </is>
      </c>
      <c r="N371" s="22" t="inlineStr">
        <is>
          <t>Angel-Backed</t>
        </is>
      </c>
      <c r="O371" s="23" t="inlineStr">
        <is>
          <t>Privately Held (backing)</t>
        </is>
      </c>
      <c r="P371" s="24" t="inlineStr">
        <is>
          <t>Napa, CA</t>
        </is>
      </c>
      <c r="Q371" s="25" t="inlineStr">
        <is>
          <t>www.vinperfect.com</t>
        </is>
      </c>
      <c r="R371" s="113">
        <f>HYPERLINK("https://my.pitchbook.com?c=54330-76", "View company online")</f>
      </c>
    </row>
    <row r="372">
      <c r="A372" s="27" t="inlineStr">
        <is>
          <t>127583-02</t>
        </is>
      </c>
      <c r="B372" s="28" t="inlineStr">
        <is>
          <t>Vinoshipper</t>
        </is>
      </c>
      <c r="C372" s="29" t="n">
        <v>0.05132099788691995</v>
      </c>
      <c r="D372" s="30" t="n">
        <v>5.046724690792487</v>
      </c>
      <c r="E372" s="31" t="inlineStr">
        <is>
          <t/>
        </is>
      </c>
      <c r="F372" s="32" t="n">
        <v>200.0</v>
      </c>
      <c r="G372" s="33" t="inlineStr">
        <is>
          <t/>
        </is>
      </c>
      <c r="H372" s="34" t="n">
        <v>1650.0</v>
      </c>
      <c r="I372" s="35" t="inlineStr">
        <is>
          <t/>
        </is>
      </c>
      <c r="J372" s="36" t="n">
        <v>0.61</v>
      </c>
      <c r="K372" s="37" t="inlineStr">
        <is>
          <t>Internet Retail</t>
        </is>
      </c>
      <c r="L372" s="38" t="inlineStr">
        <is>
          <t>Provider of a platform for selling wines. The company's platform offers an online marketplace that connects wine producers with buyers to sell their products.</t>
        </is>
      </c>
      <c r="M372" s="39" t="inlineStr">
        <is>
          <t>Sacramento Angels</t>
        </is>
      </c>
      <c r="N372" s="40" t="inlineStr">
        <is>
          <t>Angel-Backed</t>
        </is>
      </c>
      <c r="O372" s="41" t="inlineStr">
        <is>
          <t>Privately Held (backing)</t>
        </is>
      </c>
      <c r="P372" s="42" t="inlineStr">
        <is>
          <t>Windsor, CA</t>
        </is>
      </c>
      <c r="Q372" s="43" t="inlineStr">
        <is>
          <t>www.vinoshipper.com</t>
        </is>
      </c>
      <c r="R372" s="114">
        <f>HYPERLINK("https://my.pitchbook.com?c=127583-02", "View company online")</f>
      </c>
    </row>
    <row r="373">
      <c r="A373" s="9" t="inlineStr">
        <is>
          <t>103317-85</t>
        </is>
      </c>
      <c r="B373" s="10" t="inlineStr">
        <is>
          <t>Vinomis Laboratories</t>
        </is>
      </c>
      <c r="C373" s="11" t="n">
        <v>-1.1939567081075704</v>
      </c>
      <c r="D373" s="12" t="n">
        <v>3.5675675675675675</v>
      </c>
      <c r="E373" s="13" t="inlineStr">
        <is>
          <t/>
        </is>
      </c>
      <c r="F373" s="14" t="n">
        <v>132.0</v>
      </c>
      <c r="G373" s="15" t="inlineStr">
        <is>
          <t/>
        </is>
      </c>
      <c r="H373" s="16" t="inlineStr">
        <is>
          <t/>
        </is>
      </c>
      <c r="I373" s="17" t="inlineStr">
        <is>
          <t/>
        </is>
      </c>
      <c r="J373" s="18" t="n">
        <v>0.6</v>
      </c>
      <c r="K373" s="19" t="inlineStr">
        <is>
          <t>Biotechnology</t>
        </is>
      </c>
      <c r="L373" s="20" t="inlineStr">
        <is>
          <t>Manufacturer of Nutraceutical products. The company deals in development, promotion and supply of dietary supplement products based on the polyphenols found in red wine grapes, particularly Resveratrol, and Quercetin that helps people live longer and healthier.</t>
        </is>
      </c>
      <c r="M373" s="21" t="inlineStr">
        <is>
          <t/>
        </is>
      </c>
      <c r="N373" s="22" t="inlineStr">
        <is>
          <t>Angel-Backed</t>
        </is>
      </c>
      <c r="O373" s="23" t="inlineStr">
        <is>
          <t>Privately Held (backing)</t>
        </is>
      </c>
      <c r="P373" s="24" t="inlineStr">
        <is>
          <t>Los Angeles, CA</t>
        </is>
      </c>
      <c r="Q373" s="25" t="inlineStr">
        <is>
          <t>www.vinomis.com</t>
        </is>
      </c>
      <c r="R373" s="113">
        <f>HYPERLINK("https://my.pitchbook.com?c=103317-85", "View company online")</f>
      </c>
    </row>
    <row r="374">
      <c r="A374" s="27" t="inlineStr">
        <is>
          <t>104769-19</t>
        </is>
      </c>
      <c r="B374" s="28" t="inlineStr">
        <is>
          <t>Vinobo</t>
        </is>
      </c>
      <c r="C374" s="29" t="n">
        <v>-0.01622069201592396</v>
      </c>
      <c r="D374" s="30" t="n">
        <v>0.46892159819573226</v>
      </c>
      <c r="E374" s="31" t="inlineStr">
        <is>
          <t/>
        </is>
      </c>
      <c r="F374" s="32" t="n">
        <v>3.0</v>
      </c>
      <c r="G374" s="33" t="n">
        <v>372.0</v>
      </c>
      <c r="H374" s="34" t="n">
        <v>443.0</v>
      </c>
      <c r="I374" s="35" t="inlineStr">
        <is>
          <t/>
        </is>
      </c>
      <c r="J374" s="36" t="n">
        <v>0.14</v>
      </c>
      <c r="K374" s="37" t="inlineStr">
        <is>
          <t>Information Services (B2C)</t>
        </is>
      </c>
      <c r="L374" s="38" t="inlineStr">
        <is>
          <t>Provider of an information platform about California wine. The company offers a smartphone and desktop application that enables wine hobbyist and wine tourists to access to information, expert opinions and free online taste along with video lessons about wines in California.</t>
        </is>
      </c>
      <c r="M374" s="39" t="inlineStr">
        <is>
          <t/>
        </is>
      </c>
      <c r="N374" s="40" t="inlineStr">
        <is>
          <t>Angel-Backed</t>
        </is>
      </c>
      <c r="O374" s="41" t="inlineStr">
        <is>
          <t>Privately Held (backing)</t>
        </is>
      </c>
      <c r="P374" s="42" t="inlineStr">
        <is>
          <t>Chicago Park, CA</t>
        </is>
      </c>
      <c r="Q374" s="43" t="inlineStr">
        <is>
          <t>www.vinobo.com</t>
        </is>
      </c>
      <c r="R374" s="114">
        <f>HYPERLINK("https://my.pitchbook.com?c=104769-19", "View company online")</f>
      </c>
    </row>
    <row r="375">
      <c r="A375" s="9" t="inlineStr">
        <is>
          <t>94775-41</t>
        </is>
      </c>
      <c r="B375" s="10" t="inlineStr">
        <is>
          <t>Vincita Networks</t>
        </is>
      </c>
      <c r="C375" s="11" t="n">
        <v>0.01380332511765208</v>
      </c>
      <c r="D375" s="12" t="n">
        <v>0.9925825288389769</v>
      </c>
      <c r="E375" s="13" t="inlineStr">
        <is>
          <t/>
        </is>
      </c>
      <c r="F375" s="14" t="n">
        <v>14.0</v>
      </c>
      <c r="G375" s="15" t="n">
        <v>463.0</v>
      </c>
      <c r="H375" s="16" t="n">
        <v>933.0</v>
      </c>
      <c r="I375" s="17" t="inlineStr">
        <is>
          <t/>
        </is>
      </c>
      <c r="J375" s="18" t="n">
        <v>0.25</v>
      </c>
      <c r="K375" s="19" t="inlineStr">
        <is>
          <t>Media and Information Services (B2B)</t>
        </is>
      </c>
      <c r="L375" s="20" t="inlineStr">
        <is>
          <t>Provider of video socialization services. The company provides a platform for creating, publishing and analyzing interactive social video marketing campaigns.</t>
        </is>
      </c>
      <c r="M375" s="21" t="inlineStr">
        <is>
          <t>Ernest Hodge, Joe Morgan, Jon Lamb, Raymond Chester</t>
        </is>
      </c>
      <c r="N375" s="22" t="inlineStr">
        <is>
          <t>Angel-Backed</t>
        </is>
      </c>
      <c r="O375" s="23" t="inlineStr">
        <is>
          <t>Privately Held (backing)</t>
        </is>
      </c>
      <c r="P375" s="24" t="inlineStr">
        <is>
          <t>San Francisco, CA</t>
        </is>
      </c>
      <c r="Q375" s="25" t="inlineStr">
        <is>
          <t>www.scenechat.com</t>
        </is>
      </c>
      <c r="R375" s="113">
        <f>HYPERLINK("https://my.pitchbook.com?c=94775-41", "View company online")</f>
      </c>
    </row>
    <row r="376">
      <c r="A376" s="27" t="inlineStr">
        <is>
          <t>178719-31</t>
        </is>
      </c>
      <c r="B376" s="28" t="inlineStr">
        <is>
          <t>Villa (Toolbox)</t>
        </is>
      </c>
      <c r="C376" s="29" t="n">
        <v>0.0</v>
      </c>
      <c r="D376" s="30" t="n">
        <v>0.5135135135135135</v>
      </c>
      <c r="E376" s="31" t="inlineStr">
        <is>
          <t/>
        </is>
      </c>
      <c r="F376" s="32" t="n">
        <v>19.0</v>
      </c>
      <c r="G376" s="33" t="inlineStr">
        <is>
          <t/>
        </is>
      </c>
      <c r="H376" s="34" t="inlineStr">
        <is>
          <t/>
        </is>
      </c>
      <c r="I376" s="35" t="inlineStr">
        <is>
          <t/>
        </is>
      </c>
      <c r="J376" s="36" t="n">
        <v>0.3</v>
      </c>
      <c r="K376" s="37" t="inlineStr">
        <is>
          <t>Application Software</t>
        </is>
      </c>
      <c r="L376" s="38" t="inlineStr">
        <is>
          <t>Developer of a project collaboration application designed for analyzing and managing project communication data. The company develops a project collaboration application designed to provide project communication features, project tracker and digital payment gateway for sending end digital invoices enabling users to run business more efficiently via mobile phone.</t>
        </is>
      </c>
      <c r="M376" s="39" t="inlineStr">
        <is>
          <t>iAngels, NFX Guild</t>
        </is>
      </c>
      <c r="N376" s="40" t="inlineStr">
        <is>
          <t>Accelerator/Incubator Backed</t>
        </is>
      </c>
      <c r="O376" s="41" t="inlineStr">
        <is>
          <t>Privately Held (backing)</t>
        </is>
      </c>
      <c r="P376" s="42" t="inlineStr">
        <is>
          <t>Berkeley, CA</t>
        </is>
      </c>
      <c r="Q376" s="43" t="inlineStr">
        <is>
          <t>www.villatoolbox.com</t>
        </is>
      </c>
      <c r="R376" s="114">
        <f>HYPERLINK("https://my.pitchbook.com?c=178719-31", "View company online")</f>
      </c>
    </row>
    <row r="377">
      <c r="A377" s="9" t="inlineStr">
        <is>
          <t>118239-94</t>
        </is>
      </c>
      <c r="B377" s="10" t="inlineStr">
        <is>
          <t>ViKPiK</t>
        </is>
      </c>
      <c r="C377" s="11" t="n">
        <v>-0.040469740149677955</v>
      </c>
      <c r="D377" s="12" t="n">
        <v>1.807267170844916</v>
      </c>
      <c r="E377" s="13" t="inlineStr">
        <is>
          <t/>
        </is>
      </c>
      <c r="F377" s="14" t="n">
        <v>6.0</v>
      </c>
      <c r="G377" s="15" t="n">
        <v>2094.0</v>
      </c>
      <c r="H377" s="16" t="n">
        <v>1524.0</v>
      </c>
      <c r="I377" s="17" t="inlineStr">
        <is>
          <t/>
        </is>
      </c>
      <c r="J377" s="18" t="n">
        <v>0.15</v>
      </c>
      <c r="K377" s="19" t="inlineStr">
        <is>
          <t>Social Content</t>
        </is>
      </c>
      <c r="L377" s="20" t="inlineStr">
        <is>
          <t>Developer of a content sharing application. The company helps in creating and sharing content via social media, combining photos, privacy, and location in one application.</t>
        </is>
      </c>
      <c r="M377" s="21" t="inlineStr">
        <is>
          <t/>
        </is>
      </c>
      <c r="N377" s="22" t="inlineStr">
        <is>
          <t>Angel-Backed</t>
        </is>
      </c>
      <c r="O377" s="23" t="inlineStr">
        <is>
          <t>Privately Held (backing)</t>
        </is>
      </c>
      <c r="P377" s="24" t="inlineStr">
        <is>
          <t>San Diego, CA</t>
        </is>
      </c>
      <c r="Q377" s="25" t="inlineStr">
        <is>
          <t>www.vikpik.com</t>
        </is>
      </c>
      <c r="R377" s="113">
        <f>HYPERLINK("https://my.pitchbook.com?c=118239-94", "View company online")</f>
      </c>
    </row>
    <row r="378">
      <c r="A378" s="27" t="inlineStr">
        <is>
          <t>149195-98</t>
        </is>
      </c>
      <c r="B378" s="28" t="inlineStr">
        <is>
          <t>Viking Scientific</t>
        </is>
      </c>
      <c r="C378" s="29" t="n">
        <v>0.0</v>
      </c>
      <c r="D378" s="30" t="n">
        <v>0.05405405405405406</v>
      </c>
      <c r="E378" s="31" t="inlineStr">
        <is>
          <t/>
        </is>
      </c>
      <c r="F378" s="32" t="n">
        <v>2.0</v>
      </c>
      <c r="G378" s="33" t="inlineStr">
        <is>
          <t/>
        </is>
      </c>
      <c r="H378" s="34" t="inlineStr">
        <is>
          <t/>
        </is>
      </c>
      <c r="I378" s="35" t="inlineStr">
        <is>
          <t/>
        </is>
      </c>
      <c r="J378" s="36" t="inlineStr">
        <is>
          <t/>
        </is>
      </c>
      <c r="K378" s="37" t="inlineStr">
        <is>
          <t>Drug Discovery</t>
        </is>
      </c>
      <c r="L378" s="38" t="inlineStr">
        <is>
          <t>Provider of a drug delivery technology platform . The company offers a drug delivery platform which incorporates existing drugs and improves their results by achieving a consistent linear release pattern</t>
        </is>
      </c>
      <c r="M378" s="39" t="inlineStr">
        <is>
          <t>Bio, Tech and Beyond</t>
        </is>
      </c>
      <c r="N378" s="40" t="inlineStr">
        <is>
          <t>Accelerator/Incubator Backed</t>
        </is>
      </c>
      <c r="O378" s="41" t="inlineStr">
        <is>
          <t>Privately Held (backing)</t>
        </is>
      </c>
      <c r="P378" s="42" t="inlineStr">
        <is>
          <t>Carlsbad, CA</t>
        </is>
      </c>
      <c r="Q378" s="43" t="inlineStr">
        <is>
          <t>www.vikingscientificinc.com</t>
        </is>
      </c>
      <c r="R378" s="114">
        <f>HYPERLINK("https://my.pitchbook.com?c=149195-98", "View company online")</f>
      </c>
    </row>
    <row r="379">
      <c r="A379" s="9" t="inlineStr">
        <is>
          <t>163339-39</t>
        </is>
      </c>
      <c r="B379" s="10" t="inlineStr">
        <is>
          <t>Vigilant Web</t>
        </is>
      </c>
      <c r="C379" s="11" t="n">
        <v>0.0</v>
      </c>
      <c r="D379" s="12" t="n">
        <v>0.18361581920903955</v>
      </c>
      <c r="E379" s="13" t="inlineStr">
        <is>
          <t/>
        </is>
      </c>
      <c r="F379" s="14" t="inlineStr">
        <is>
          <t/>
        </is>
      </c>
      <c r="G379" s="15" t="inlineStr">
        <is>
          <t/>
        </is>
      </c>
      <c r="H379" s="16" t="n">
        <v>64.0</v>
      </c>
      <c r="I379" s="17" t="inlineStr">
        <is>
          <t/>
        </is>
      </c>
      <c r="J379" s="18" t="n">
        <v>0.25</v>
      </c>
      <c r="K379" s="19" t="inlineStr">
        <is>
          <t>Social/Platform Software</t>
        </is>
      </c>
      <c r="L379" s="20" t="inlineStr">
        <is>
          <t>Provider of a data search and monitoring platform. The company's platform enables users to access and gather data from various sources.</t>
        </is>
      </c>
      <c r="M379" s="21" t="inlineStr">
        <is>
          <t>The LAUNCH Incubator</t>
        </is>
      </c>
      <c r="N379" s="22" t="inlineStr">
        <is>
          <t>Accelerator/Incubator Backed</t>
        </is>
      </c>
      <c r="O379" s="23" t="inlineStr">
        <is>
          <t>Privately Held (backing)</t>
        </is>
      </c>
      <c r="P379" s="24" t="inlineStr">
        <is>
          <t>Sacramento, CA</t>
        </is>
      </c>
      <c r="Q379" s="25" t="inlineStr">
        <is>
          <t>www.vigilant.cc</t>
        </is>
      </c>
      <c r="R379" s="113">
        <f>HYPERLINK("https://my.pitchbook.com?c=163339-39", "View company online")</f>
      </c>
    </row>
    <row r="380">
      <c r="A380" s="27" t="inlineStr">
        <is>
          <t>103025-53</t>
        </is>
      </c>
      <c r="B380" s="28" t="inlineStr">
        <is>
          <t>ViFlux</t>
        </is>
      </c>
      <c r="C380" s="29" t="n">
        <v>0.003921066508037984</v>
      </c>
      <c r="D380" s="30" t="n">
        <v>1.6681305950650094</v>
      </c>
      <c r="E380" s="31" t="inlineStr">
        <is>
          <t/>
        </is>
      </c>
      <c r="F380" s="32" t="n">
        <v>43.0</v>
      </c>
      <c r="G380" s="33" t="n">
        <v>2003.0</v>
      </c>
      <c r="H380" s="34" t="n">
        <v>658.0</v>
      </c>
      <c r="I380" s="35" t="n">
        <v>5.0</v>
      </c>
      <c r="J380" s="36" t="n">
        <v>0.03</v>
      </c>
      <c r="K380" s="37" t="inlineStr">
        <is>
          <t>Social/Platform Software</t>
        </is>
      </c>
      <c r="L380" s="38" t="inlineStr">
        <is>
          <t>Developer and provider of an online platform for video production. The company offers an online marketplace for audiovisual professionals, brands, agencies, productions companies, freelancers, publishers and small businesses to create, share and collaborate audiovisual productions.</t>
        </is>
      </c>
      <c r="M380" s="39" t="inlineStr">
        <is>
          <t>NXTP Labs</t>
        </is>
      </c>
      <c r="N380" s="40" t="inlineStr">
        <is>
          <t>Accelerator/Incubator Backed</t>
        </is>
      </c>
      <c r="O380" s="41" t="inlineStr">
        <is>
          <t>Privately Held (backing)</t>
        </is>
      </c>
      <c r="P380" s="42" t="inlineStr">
        <is>
          <t>Santa Monica, CA</t>
        </is>
      </c>
      <c r="Q380" s="43" t="inlineStr">
        <is>
          <t>www.viflux.com</t>
        </is>
      </c>
      <c r="R380" s="114">
        <f>HYPERLINK("https://my.pitchbook.com?c=103025-53", "View company online")</f>
      </c>
    </row>
    <row r="381">
      <c r="A381" s="9" t="inlineStr">
        <is>
          <t>157320-82</t>
        </is>
      </c>
      <c r="B381" s="10" t="inlineStr">
        <is>
          <t>ViewSay</t>
        </is>
      </c>
      <c r="C381" s="11" t="n">
        <v>-0.018946543434592206</v>
      </c>
      <c r="D381" s="12" t="n">
        <v>14.018185650646961</v>
      </c>
      <c r="E381" s="13" t="inlineStr">
        <is>
          <t/>
        </is>
      </c>
      <c r="F381" s="14" t="n">
        <v>19.0</v>
      </c>
      <c r="G381" s="15" t="n">
        <v>8400.0</v>
      </c>
      <c r="H381" s="16" t="n">
        <v>15758.0</v>
      </c>
      <c r="I381" s="17" t="inlineStr">
        <is>
          <t/>
        </is>
      </c>
      <c r="J381" s="18" t="inlineStr">
        <is>
          <t/>
        </is>
      </c>
      <c r="K381" s="19" t="inlineStr">
        <is>
          <t>Social Content</t>
        </is>
      </c>
      <c r="L381" s="20" t="inlineStr">
        <is>
          <t>Provider of an online video streaming platform. The company offers a Web-based video streaming platform that enables viewers to add or share comments that highlight specific moments of internet videos.</t>
        </is>
      </c>
      <c r="M381" s="21" t="inlineStr">
        <is>
          <t>Hubraum</t>
        </is>
      </c>
      <c r="N381" s="22" t="inlineStr">
        <is>
          <t>Accelerator/Incubator Backed</t>
        </is>
      </c>
      <c r="O381" s="23" t="inlineStr">
        <is>
          <t>Privately Held (backing)</t>
        </is>
      </c>
      <c r="P381" s="24" t="inlineStr">
        <is>
          <t>San Francisco, CA</t>
        </is>
      </c>
      <c r="Q381" s="25" t="inlineStr">
        <is>
          <t>www.viewsay.com</t>
        </is>
      </c>
      <c r="R381" s="113">
        <f>HYPERLINK("https://my.pitchbook.com?c=157320-82", "View company online")</f>
      </c>
    </row>
    <row r="382">
      <c r="A382" s="27" t="inlineStr">
        <is>
          <t>148730-41</t>
        </is>
      </c>
      <c r="B382" s="28" t="inlineStr">
        <is>
          <t>Vidlet</t>
        </is>
      </c>
      <c r="C382" s="29" t="n">
        <v>7.842910611719353</v>
      </c>
      <c r="D382" s="30" t="n">
        <v>6.161589555657352</v>
      </c>
      <c r="E382" s="31" t="inlineStr">
        <is>
          <t/>
        </is>
      </c>
      <c r="F382" s="32" t="n">
        <v>269.0</v>
      </c>
      <c r="G382" s="33" t="inlineStr">
        <is>
          <t/>
        </is>
      </c>
      <c r="H382" s="34" t="n">
        <v>1473.0</v>
      </c>
      <c r="I382" s="35" t="inlineStr">
        <is>
          <t/>
        </is>
      </c>
      <c r="J382" s="36" t="n">
        <v>3.15</v>
      </c>
      <c r="K382" s="37" t="inlineStr">
        <is>
          <t>Application Software</t>
        </is>
      </c>
      <c r="L382" s="38" t="inlineStr">
        <is>
          <t>Developer of a mobile video platform created to transform how companies capture and communicate insights with customers and employees. The company's mobile application makes it easy for brands to use mobile video for a wide range of business communication enabling researchers to send a script to the firm's app on any number of mobile devices and within minutes receives responses directly from users in the form of short mobile videos.</t>
        </is>
      </c>
      <c r="M382" s="39" t="inlineStr">
        <is>
          <t/>
        </is>
      </c>
      <c r="N382" s="40" t="inlineStr">
        <is>
          <t>Angel-Backed</t>
        </is>
      </c>
      <c r="O382" s="41" t="inlineStr">
        <is>
          <t>Privately Held (backing)</t>
        </is>
      </c>
      <c r="P382" s="42" t="inlineStr">
        <is>
          <t>San Francisco, CA</t>
        </is>
      </c>
      <c r="Q382" s="43" t="inlineStr">
        <is>
          <t>www.vidlet.com</t>
        </is>
      </c>
      <c r="R382" s="114">
        <f>HYPERLINK("https://my.pitchbook.com?c=148730-41", "View company online")</f>
      </c>
    </row>
    <row r="383">
      <c r="A383" s="9" t="inlineStr">
        <is>
          <t>97269-40</t>
        </is>
      </c>
      <c r="B383" s="10" t="inlineStr">
        <is>
          <t>Vidiam</t>
        </is>
      </c>
      <c r="C383" s="11" t="n">
        <v>0.0</v>
      </c>
      <c r="D383" s="12" t="n">
        <v>0.3783783783783784</v>
      </c>
      <c r="E383" s="13" t="inlineStr">
        <is>
          <t/>
        </is>
      </c>
      <c r="F383" s="14" t="n">
        <v>14.0</v>
      </c>
      <c r="G383" s="15" t="inlineStr">
        <is>
          <t/>
        </is>
      </c>
      <c r="H383" s="16" t="inlineStr">
        <is>
          <t/>
        </is>
      </c>
      <c r="I383" s="17" t="n">
        <v>8.0</v>
      </c>
      <c r="J383" s="18" t="n">
        <v>0.35</v>
      </c>
      <c r="K383" s="19" t="inlineStr">
        <is>
          <t>Movies, Music and Entertainment</t>
        </is>
      </c>
      <c r="L383" s="20" t="inlineStr">
        <is>
          <t>Provider of a content and media platform. The companty offers a content platform that brings the online traffic that artists create while promoting their work, such as podcasts, videos and tracks, into digital and mobile experiences, thereby creating opportunity for all levels of aspiring artists and media influencers.</t>
        </is>
      </c>
      <c r="M383" s="21" t="inlineStr">
        <is>
          <t/>
        </is>
      </c>
      <c r="N383" s="22" t="inlineStr">
        <is>
          <t>Angel-Backed</t>
        </is>
      </c>
      <c r="O383" s="23" t="inlineStr">
        <is>
          <t>Privately Held (backing)</t>
        </is>
      </c>
      <c r="P383" s="24" t="inlineStr">
        <is>
          <t>Los Angeles, CA</t>
        </is>
      </c>
      <c r="Q383" s="25" t="inlineStr">
        <is>
          <t>www.vidi.am</t>
        </is>
      </c>
      <c r="R383" s="113">
        <f>HYPERLINK("https://my.pitchbook.com?c=97269-40", "View company online")</f>
      </c>
    </row>
    <row r="384">
      <c r="A384" s="27" t="inlineStr">
        <is>
          <t>151486-39</t>
        </is>
      </c>
      <c r="B384" s="28" t="inlineStr">
        <is>
          <t>VidFluent</t>
        </is>
      </c>
      <c r="C384" s="29" t="n">
        <v>-0.009093852749074847</v>
      </c>
      <c r="D384" s="30" t="n">
        <v>7.1190258054664834</v>
      </c>
      <c r="E384" s="31" t="inlineStr">
        <is>
          <t/>
        </is>
      </c>
      <c r="F384" s="32" t="n">
        <v>4.0</v>
      </c>
      <c r="G384" s="33" t="inlineStr">
        <is>
          <t/>
        </is>
      </c>
      <c r="H384" s="34" t="n">
        <v>5002.0</v>
      </c>
      <c r="I384" s="35" t="inlineStr">
        <is>
          <t/>
        </is>
      </c>
      <c r="J384" s="36" t="n">
        <v>0.05</v>
      </c>
      <c r="K384" s="37" t="inlineStr">
        <is>
          <t>Social/Platform Software</t>
        </is>
      </c>
      <c r="L384" s="38" t="inlineStr">
        <is>
          <t>Provider of a video based platform for campaigning services. The company provides a video based platform which offers organization to share their story for customer engagement to drive sales.</t>
        </is>
      </c>
      <c r="M384" s="39" t="inlineStr">
        <is>
          <t>Acceleprise</t>
        </is>
      </c>
      <c r="N384" s="40" t="inlineStr">
        <is>
          <t>Accelerator/Incubator Backed</t>
        </is>
      </c>
      <c r="O384" s="41" t="inlineStr">
        <is>
          <t>Privately Held (backing)</t>
        </is>
      </c>
      <c r="P384" s="42" t="inlineStr">
        <is>
          <t>San Francisco, CA</t>
        </is>
      </c>
      <c r="Q384" s="43" t="inlineStr">
        <is>
          <t>www.vidfluent.com</t>
        </is>
      </c>
      <c r="R384" s="114">
        <f>HYPERLINK("https://my.pitchbook.com?c=151486-39", "View company online")</f>
      </c>
    </row>
    <row r="385">
      <c r="A385" s="9" t="inlineStr">
        <is>
          <t>104457-97</t>
        </is>
      </c>
      <c r="B385" s="10" t="inlineStr">
        <is>
          <t>Viderian</t>
        </is>
      </c>
      <c r="C385" s="85">
        <f>HYPERLINK("https://my.pitchbook.com?rrp=104457-97&amp;type=c", "This Company's information is not available to download. Need this Company? Request availability")</f>
      </c>
      <c r="D385" s="12" t="inlineStr">
        <is>
          <t/>
        </is>
      </c>
      <c r="E385" s="13" t="inlineStr">
        <is>
          <t/>
        </is>
      </c>
      <c r="F385" s="14" t="inlineStr">
        <is>
          <t/>
        </is>
      </c>
      <c r="G385" s="15" t="inlineStr">
        <is>
          <t/>
        </is>
      </c>
      <c r="H385" s="16" t="inlineStr">
        <is>
          <t/>
        </is>
      </c>
      <c r="I385" s="17" t="inlineStr">
        <is>
          <t/>
        </is>
      </c>
      <c r="J385" s="18" t="inlineStr">
        <is>
          <t/>
        </is>
      </c>
      <c r="K385" s="19" t="inlineStr">
        <is>
          <t/>
        </is>
      </c>
      <c r="L385" s="20" t="inlineStr">
        <is>
          <t/>
        </is>
      </c>
      <c r="M385" s="21" t="inlineStr">
        <is>
          <t/>
        </is>
      </c>
      <c r="N385" s="22" t="inlineStr">
        <is>
          <t/>
        </is>
      </c>
      <c r="O385" s="23" t="inlineStr">
        <is>
          <t/>
        </is>
      </c>
      <c r="P385" s="24" t="inlineStr">
        <is>
          <t/>
        </is>
      </c>
      <c r="Q385" s="25" t="inlineStr">
        <is>
          <t/>
        </is>
      </c>
      <c r="R385" s="26" t="inlineStr">
        <is>
          <t/>
        </is>
      </c>
    </row>
    <row r="386">
      <c r="A386" s="27" t="inlineStr">
        <is>
          <t>57583-90</t>
        </is>
      </c>
      <c r="B386" s="28" t="inlineStr">
        <is>
          <t>VideoMining</t>
        </is>
      </c>
      <c r="C386" s="86">
        <f>HYPERLINK("https://my.pitchbook.com?rrp=57583-90&amp;type=c", "This Company's information is not available to download. Need this Company? Request availability")</f>
      </c>
      <c r="D386" s="30" t="inlineStr">
        <is>
          <t/>
        </is>
      </c>
      <c r="E386" s="31" t="inlineStr">
        <is>
          <t/>
        </is>
      </c>
      <c r="F386" s="32" t="inlineStr">
        <is>
          <t/>
        </is>
      </c>
      <c r="G386" s="33" t="inlineStr">
        <is>
          <t/>
        </is>
      </c>
      <c r="H386" s="34" t="inlineStr">
        <is>
          <t/>
        </is>
      </c>
      <c r="I386" s="35" t="inlineStr">
        <is>
          <t/>
        </is>
      </c>
      <c r="J386" s="36" t="inlineStr">
        <is>
          <t/>
        </is>
      </c>
      <c r="K386" s="37" t="inlineStr">
        <is>
          <t/>
        </is>
      </c>
      <c r="L386" s="38" t="inlineStr">
        <is>
          <t/>
        </is>
      </c>
      <c r="M386" s="39" t="inlineStr">
        <is>
          <t/>
        </is>
      </c>
      <c r="N386" s="40" t="inlineStr">
        <is>
          <t/>
        </is>
      </c>
      <c r="O386" s="41" t="inlineStr">
        <is>
          <t/>
        </is>
      </c>
      <c r="P386" s="42" t="inlineStr">
        <is>
          <t/>
        </is>
      </c>
      <c r="Q386" s="43" t="inlineStr">
        <is>
          <t/>
        </is>
      </c>
      <c r="R386" s="44" t="inlineStr">
        <is>
          <t/>
        </is>
      </c>
    </row>
    <row r="387">
      <c r="A387" s="9" t="inlineStr">
        <is>
          <t>98915-68</t>
        </is>
      </c>
      <c r="B387" s="10" t="inlineStr">
        <is>
          <t>Videolla</t>
        </is>
      </c>
      <c r="C387" s="11" t="n">
        <v>-0.07615991771670061</v>
      </c>
      <c r="D387" s="12" t="n">
        <v>0.25311265576556663</v>
      </c>
      <c r="E387" s="13" t="inlineStr">
        <is>
          <t/>
        </is>
      </c>
      <c r="F387" s="14" t="n">
        <v>9.0</v>
      </c>
      <c r="G387" s="15" t="n">
        <v>196.0</v>
      </c>
      <c r="H387" s="16" t="n">
        <v>100.0</v>
      </c>
      <c r="I387" s="17" t="n">
        <v>1.0</v>
      </c>
      <c r="J387" s="18" t="n">
        <v>0.6</v>
      </c>
      <c r="K387" s="19" t="inlineStr">
        <is>
          <t>Entertainment Software</t>
        </is>
      </c>
      <c r="L387" s="20" t="inlineStr">
        <is>
          <t>Provider of an online marketplace for videos. The company's platform connects indie video producers, bloggers, advertisers and viewers to help them make video production and distribution sustainable and fair business.</t>
        </is>
      </c>
      <c r="M387" s="21" t="inlineStr">
        <is>
          <t>Startup Sauna, Vladimir Gurgov</t>
        </is>
      </c>
      <c r="N387" s="22" t="inlineStr">
        <is>
          <t>Accelerator/Incubator Backed</t>
        </is>
      </c>
      <c r="O387" s="23" t="inlineStr">
        <is>
          <t>Privately Held (backing)</t>
        </is>
      </c>
      <c r="P387" s="24" t="inlineStr">
        <is>
          <t>Mountain View, CA</t>
        </is>
      </c>
      <c r="Q387" s="25" t="inlineStr">
        <is>
          <t>www.videolla.com</t>
        </is>
      </c>
      <c r="R387" s="113">
        <f>HYPERLINK("https://my.pitchbook.com?c=98915-68", "View company online")</f>
      </c>
    </row>
    <row r="388">
      <c r="A388" s="27" t="inlineStr">
        <is>
          <t>106840-36</t>
        </is>
      </c>
      <c r="B388" s="28" t="inlineStr">
        <is>
          <t>VideoKall</t>
        </is>
      </c>
      <c r="C388" s="29" t="n">
        <v>0.0</v>
      </c>
      <c r="D388" s="30" t="n">
        <v>0.8378378378378378</v>
      </c>
      <c r="E388" s="31" t="inlineStr">
        <is>
          <t/>
        </is>
      </c>
      <c r="F388" s="32" t="n">
        <v>31.0</v>
      </c>
      <c r="G388" s="33" t="inlineStr">
        <is>
          <t/>
        </is>
      </c>
      <c r="H388" s="34" t="inlineStr">
        <is>
          <t/>
        </is>
      </c>
      <c r="I388" s="35" t="inlineStr">
        <is>
          <t/>
        </is>
      </c>
      <c r="J388" s="36" t="n">
        <v>0.5</v>
      </c>
      <c r="K388" s="37" t="inlineStr">
        <is>
          <t>Clinics/Outpatient Services</t>
        </is>
      </c>
      <c r="L388" s="38" t="inlineStr">
        <is>
          <t>Developer of a healthcare service platform. The company offers self-service micro-clinics and outpatient services wherever satellite coverage or fiber access exist such as at drug stores, supermarkets, corporate buildings, universities, senior housing projects, work locations, self-insured companies, oil fields and airports in partnership with hospital affiliated medical call centers.</t>
        </is>
      </c>
      <c r="M388" s="39" t="inlineStr">
        <is>
          <t>Benjamin Berg, Bill Allen, Chesapeake Innovation Center, Govindan Gopinathan, Jay Middleton, John Hanou, Nick Shipley</t>
        </is>
      </c>
      <c r="N388" s="40" t="inlineStr">
        <is>
          <t>Accelerator/Incubator Backed</t>
        </is>
      </c>
      <c r="O388" s="41" t="inlineStr">
        <is>
          <t>Privately Held (backing)</t>
        </is>
      </c>
      <c r="P388" s="42" t="inlineStr">
        <is>
          <t>Ventura, CA</t>
        </is>
      </c>
      <c r="Q388" s="43" t="inlineStr">
        <is>
          <t>www.medexspot.com</t>
        </is>
      </c>
      <c r="R388" s="114">
        <f>HYPERLINK("https://my.pitchbook.com?c=106840-36", "View company online")</f>
      </c>
    </row>
    <row r="389">
      <c r="A389" s="9" t="inlineStr">
        <is>
          <t>103432-24</t>
        </is>
      </c>
      <c r="B389" s="10" t="inlineStr">
        <is>
          <t>Video Analytics</t>
        </is>
      </c>
      <c r="C389" s="11" t="n">
        <v>6.0691000592548667E-5</v>
      </c>
      <c r="D389" s="12" t="n">
        <v>0.3107268759442673</v>
      </c>
      <c r="E389" s="13" t="inlineStr">
        <is>
          <t/>
        </is>
      </c>
      <c r="F389" s="14" t="n">
        <v>3.0</v>
      </c>
      <c r="G389" s="15" t="n">
        <v>435.0</v>
      </c>
      <c r="H389" s="16" t="inlineStr">
        <is>
          <t/>
        </is>
      </c>
      <c r="I389" s="17" t="n">
        <v>11.0</v>
      </c>
      <c r="J389" s="18" t="n">
        <v>0.1</v>
      </c>
      <c r="K389" s="19" t="inlineStr">
        <is>
          <t>Entertainment Software</t>
        </is>
      </c>
      <c r="L389" s="20" t="inlineStr">
        <is>
          <t>Provider of video management platform. The company's platform helps to tag videos, store them in the cloud and create private groups and communities for sharing.</t>
        </is>
      </c>
      <c r="M389" s="21" t="inlineStr">
        <is>
          <t>Joe Chernesky</t>
        </is>
      </c>
      <c r="N389" s="22" t="inlineStr">
        <is>
          <t>Angel-Backed</t>
        </is>
      </c>
      <c r="O389" s="23" t="inlineStr">
        <is>
          <t>Privately Held (backing)</t>
        </is>
      </c>
      <c r="P389" s="24" t="inlineStr">
        <is>
          <t>Santa Clara, CA</t>
        </is>
      </c>
      <c r="Q389" s="25" t="inlineStr">
        <is>
          <t>www.viblio.com</t>
        </is>
      </c>
      <c r="R389" s="113">
        <f>HYPERLINK("https://my.pitchbook.com?c=103432-24", "View company online")</f>
      </c>
    </row>
    <row r="390">
      <c r="A390" s="27" t="inlineStr">
        <is>
          <t>61699-33</t>
        </is>
      </c>
      <c r="B390" s="28" t="inlineStr">
        <is>
          <t>Videable</t>
        </is>
      </c>
      <c r="C390" s="29" t="n">
        <v>0.0</v>
      </c>
      <c r="D390" s="30" t="n">
        <v>0.9480073293632616</v>
      </c>
      <c r="E390" s="31" t="inlineStr">
        <is>
          <t/>
        </is>
      </c>
      <c r="F390" s="32" t="n">
        <v>61.0</v>
      </c>
      <c r="G390" s="33" t="inlineStr">
        <is>
          <t/>
        </is>
      </c>
      <c r="H390" s="34" t="n">
        <v>78.0</v>
      </c>
      <c r="I390" s="35" t="n">
        <v>3.0</v>
      </c>
      <c r="J390" s="36" t="inlineStr">
        <is>
          <t/>
        </is>
      </c>
      <c r="K390" s="37" t="inlineStr">
        <is>
          <t>Communication Software</t>
        </is>
      </c>
      <c r="L390" s="38" t="inlineStr">
        <is>
          <t>Developer of a push-to-talk video chat platform. The company has developed a platform for co-workers in an organization to video chat with each other. It also provides a system to create and manage email lists.</t>
        </is>
      </c>
      <c r="M390" s="39" t="inlineStr">
        <is>
          <t>Y Combinator</t>
        </is>
      </c>
      <c r="N390" s="40" t="inlineStr">
        <is>
          <t>Accelerator/Incubator Backed</t>
        </is>
      </c>
      <c r="O390" s="41" t="inlineStr">
        <is>
          <t>Privately Held (backing)</t>
        </is>
      </c>
      <c r="P390" s="42" t="inlineStr">
        <is>
          <t>San Francisco, CA</t>
        </is>
      </c>
      <c r="Q390" s="43" t="inlineStr">
        <is>
          <t>www.quicklychat.com</t>
        </is>
      </c>
      <c r="R390" s="114">
        <f>HYPERLINK("https://my.pitchbook.com?c=61699-33", "View company online")</f>
      </c>
    </row>
    <row r="391">
      <c r="A391" s="9" t="inlineStr">
        <is>
          <t>95979-61</t>
        </is>
      </c>
      <c r="B391" s="10" t="inlineStr">
        <is>
          <t>Victory Sports &amp; Entertainment</t>
        </is>
      </c>
      <c r="C391" s="11" t="n">
        <v>-0.05495316129555647</v>
      </c>
      <c r="D391" s="12" t="n">
        <v>1.1407170408644247</v>
      </c>
      <c r="E391" s="13" t="inlineStr">
        <is>
          <t/>
        </is>
      </c>
      <c r="F391" s="14" t="n">
        <v>16.0</v>
      </c>
      <c r="G391" s="15" t="n">
        <v>430.0</v>
      </c>
      <c r="H391" s="16" t="n">
        <v>1120.0</v>
      </c>
      <c r="I391" s="17" t="n">
        <v>11.0</v>
      </c>
      <c r="J391" s="18" t="n">
        <v>2.0</v>
      </c>
      <c r="K391" s="19" t="inlineStr">
        <is>
          <t>Other Services (B2C Non-Financial)</t>
        </is>
      </c>
      <c r="L391" s="20" t="inlineStr">
        <is>
          <t>Organizer of fantasy sports contests. The company conducts daily and weekly contests for cash prizes related to sports including NFL, MLB, NBA, NHL, PGA, NASCAR and FC.</t>
        </is>
      </c>
      <c r="M391" s="21" t="inlineStr">
        <is>
          <t/>
        </is>
      </c>
      <c r="N391" s="22" t="inlineStr">
        <is>
          <t>Angel-Backed</t>
        </is>
      </c>
      <c r="O391" s="23" t="inlineStr">
        <is>
          <t>Privately Held (backing)</t>
        </is>
      </c>
      <c r="P391" s="24" t="inlineStr">
        <is>
          <t>Santa Monica, CA</t>
        </is>
      </c>
      <c r="Q391" s="25" t="inlineStr">
        <is>
          <t>www.draftster.com</t>
        </is>
      </c>
      <c r="R391" s="113">
        <f>HYPERLINK("https://my.pitchbook.com?c=95979-61", "View company online")</f>
      </c>
    </row>
    <row r="392">
      <c r="A392" s="27" t="inlineStr">
        <is>
          <t>103552-48</t>
        </is>
      </c>
      <c r="B392" s="28" t="inlineStr">
        <is>
          <t>Vicejar</t>
        </is>
      </c>
      <c r="C392" s="29" t="n">
        <v>-0.008206775529806547</v>
      </c>
      <c r="D392" s="30" t="n">
        <v>1.3052653954090947</v>
      </c>
      <c r="E392" s="31" t="inlineStr">
        <is>
          <t/>
        </is>
      </c>
      <c r="F392" s="32" t="n">
        <v>5.0</v>
      </c>
      <c r="G392" s="33" t="n">
        <v>2980.0</v>
      </c>
      <c r="H392" s="34" t="n">
        <v>443.0</v>
      </c>
      <c r="I392" s="35" t="inlineStr">
        <is>
          <t/>
        </is>
      </c>
      <c r="J392" s="36" t="n">
        <v>0.2</v>
      </c>
      <c r="K392" s="37" t="inlineStr">
        <is>
          <t>Application Software</t>
        </is>
      </c>
      <c r="L392" s="38" t="inlineStr">
        <is>
          <t>Provider of a behavioral change tracking application. The company offers an online application that uses monetary and social motivation to promote health and fitness and encourage users to quit smocking.</t>
        </is>
      </c>
      <c r="M392" s="39" t="inlineStr">
        <is>
          <t/>
        </is>
      </c>
      <c r="N392" s="40" t="inlineStr">
        <is>
          <t>Angel-Backed</t>
        </is>
      </c>
      <c r="O392" s="41" t="inlineStr">
        <is>
          <t>Privately Held (backing)</t>
        </is>
      </c>
      <c r="P392" s="42" t="inlineStr">
        <is>
          <t>Santa Monica, CA</t>
        </is>
      </c>
      <c r="Q392" s="43" t="inlineStr">
        <is>
          <t>www.thevicejar.com</t>
        </is>
      </c>
      <c r="R392" s="114">
        <f>HYPERLINK("https://my.pitchbook.com?c=103552-48", "View company online")</f>
      </c>
    </row>
    <row r="393">
      <c r="A393" s="9" t="inlineStr">
        <is>
          <t>170436-79</t>
        </is>
      </c>
      <c r="B393" s="10" t="inlineStr">
        <is>
          <t>Vibedration</t>
        </is>
      </c>
      <c r="C393" s="11" t="n">
        <v>1.8817872722413884</v>
      </c>
      <c r="D393" s="12" t="n">
        <v>24.67924015709572</v>
      </c>
      <c r="E393" s="13" t="inlineStr">
        <is>
          <t/>
        </is>
      </c>
      <c r="F393" s="14" t="n">
        <v>8.0</v>
      </c>
      <c r="G393" s="15" t="n">
        <v>74601.0</v>
      </c>
      <c r="H393" s="16" t="n">
        <v>1775.0</v>
      </c>
      <c r="I393" s="17" t="inlineStr">
        <is>
          <t/>
        </is>
      </c>
      <c r="J393" s="18" t="n">
        <v>0.79</v>
      </c>
      <c r="K393" s="19" t="inlineStr">
        <is>
          <t>Accessories</t>
        </is>
      </c>
      <c r="L393" s="20" t="inlineStr">
        <is>
          <t>Seller and designer of backpacks intended to carry hydration products during emergency. The company design and develops backpacks specially designed to carry hydration products like water bottles, juice bottles or any other liquid products along with rave gear and festival wear and sells them online, enabling party lovers or adventure lovers to have backup supply for water or any hydration product.</t>
        </is>
      </c>
      <c r="M393" s="21" t="inlineStr">
        <is>
          <t/>
        </is>
      </c>
      <c r="N393" s="22" t="inlineStr">
        <is>
          <t>Angel-Backed</t>
        </is>
      </c>
      <c r="O393" s="23" t="inlineStr">
        <is>
          <t>Privately Held (backing)</t>
        </is>
      </c>
      <c r="P393" s="24" t="inlineStr">
        <is>
          <t>Santa Monica, CA</t>
        </is>
      </c>
      <c r="Q393" s="25" t="inlineStr">
        <is>
          <t>www.vibedration.com</t>
        </is>
      </c>
      <c r="R393" s="113">
        <f>HYPERLINK("https://my.pitchbook.com?c=170436-79", "View company online")</f>
      </c>
    </row>
    <row r="394">
      <c r="A394" s="27" t="inlineStr">
        <is>
          <t>55464-04</t>
        </is>
      </c>
      <c r="B394" s="28" t="inlineStr">
        <is>
          <t>Vibease</t>
        </is>
      </c>
      <c r="C394" s="29" t="n">
        <v>-0.11251604682704494</v>
      </c>
      <c r="D394" s="30" t="n">
        <v>11.560376293758756</v>
      </c>
      <c r="E394" s="31" t="inlineStr">
        <is>
          <t/>
        </is>
      </c>
      <c r="F394" s="32" t="n">
        <v>585.0</v>
      </c>
      <c r="G394" s="33" t="n">
        <v>3003.0</v>
      </c>
      <c r="H394" s="34" t="n">
        <v>3879.0</v>
      </c>
      <c r="I394" s="35" t="inlineStr">
        <is>
          <t/>
        </is>
      </c>
      <c r="J394" s="36" t="n">
        <v>1.24</v>
      </c>
      <c r="K394" s="37" t="inlineStr">
        <is>
          <t>Electronics (B2C)</t>
        </is>
      </c>
      <c r="L394" s="38" t="inlineStr">
        <is>
          <t>Developer of a massager application. The company develops an application that allows the users to connect to the external massager through bluetooth connection and control it with an iPhone or Android phone.</t>
        </is>
      </c>
      <c r="M394" s="39" t="inlineStr">
        <is>
          <t>FocusTech Ventures, Founder Institute, Individual Investor, Kelvin Ong, Quest Ventures, SOSV</t>
        </is>
      </c>
      <c r="N394" s="40" t="inlineStr">
        <is>
          <t>Angel-Backed</t>
        </is>
      </c>
      <c r="O394" s="41" t="inlineStr">
        <is>
          <t>Privately Held (backing)</t>
        </is>
      </c>
      <c r="P394" s="42" t="inlineStr">
        <is>
          <t>San Francisco, CA</t>
        </is>
      </c>
      <c r="Q394" s="43" t="inlineStr">
        <is>
          <t>www.vibease.com</t>
        </is>
      </c>
      <c r="R394" s="114">
        <f>HYPERLINK("https://my.pitchbook.com?c=55464-04", "View company online")</f>
      </c>
    </row>
    <row r="395">
      <c r="A395" s="9" t="inlineStr">
        <is>
          <t>170978-77</t>
        </is>
      </c>
      <c r="B395" s="10" t="inlineStr">
        <is>
          <t>Viasys Intelligent Video</t>
        </is>
      </c>
      <c r="C395" s="11" t="n">
        <v>0.0</v>
      </c>
      <c r="D395" s="12" t="n">
        <v>1.0181635051200268</v>
      </c>
      <c r="E395" s="13" t="inlineStr">
        <is>
          <t/>
        </is>
      </c>
      <c r="F395" s="14" t="n">
        <v>73.0</v>
      </c>
      <c r="G395" s="15" t="n">
        <v>51.0</v>
      </c>
      <c r="H395" s="16" t="inlineStr">
        <is>
          <t/>
        </is>
      </c>
      <c r="I395" s="17" t="inlineStr">
        <is>
          <t/>
        </is>
      </c>
      <c r="J395" s="18" t="inlineStr">
        <is>
          <t/>
        </is>
      </c>
      <c r="K395" s="19" t="inlineStr">
        <is>
          <t>Other Commercial Products</t>
        </is>
      </c>
      <c r="L395" s="20" t="inlineStr">
        <is>
          <t>Developer of a video alarm system intended to protect utility scale solar world wide. The company's video alarm system speaks to the special needs of solar farms that have long perimeters in isolated areas with few network and power resources, thermal imaging cameras are placed with interlocking fields of view around the perimeter and when a person crosses a virtual tripwire, images with a red box around the event are sent to the central station for response enabling solar farms to prevent outages caused by theft and vandalism.</t>
        </is>
      </c>
      <c r="M395" s="21" t="inlineStr">
        <is>
          <t>Mujinzo Labs</t>
        </is>
      </c>
      <c r="N395" s="22" t="inlineStr">
        <is>
          <t>Accelerator/Incubator Backed</t>
        </is>
      </c>
      <c r="O395" s="23" t="inlineStr">
        <is>
          <t>Privately Held (backing)</t>
        </is>
      </c>
      <c r="P395" s="24" t="inlineStr">
        <is>
          <t>Frankfurt, Germany</t>
        </is>
      </c>
      <c r="Q395" s="25" t="inlineStr">
        <is>
          <t>www.viasys-iv.com</t>
        </is>
      </c>
      <c r="R395" s="113">
        <f>HYPERLINK("https://my.pitchbook.com?c=170978-77", "View company online")</f>
      </c>
    </row>
    <row r="396">
      <c r="A396" s="27" t="inlineStr">
        <is>
          <t>99219-61</t>
        </is>
      </c>
      <c r="B396" s="28" t="inlineStr">
        <is>
          <t>Vianza</t>
        </is>
      </c>
      <c r="C396" s="29" t="n">
        <v>-0.04531803644991596</v>
      </c>
      <c r="D396" s="30" t="n">
        <v>1.2159108260803175</v>
      </c>
      <c r="E396" s="31" t="inlineStr">
        <is>
          <t/>
        </is>
      </c>
      <c r="F396" s="32" t="n">
        <v>35.0</v>
      </c>
      <c r="G396" s="33" t="n">
        <v>213.0</v>
      </c>
      <c r="H396" s="34" t="n">
        <v>526.0</v>
      </c>
      <c r="I396" s="35" t="n">
        <v>12.0</v>
      </c>
      <c r="J396" s="36" t="n">
        <v>0.03</v>
      </c>
      <c r="K396" s="37" t="inlineStr">
        <is>
          <t>Internet Retail</t>
        </is>
      </c>
      <c r="L396" s="38" t="inlineStr">
        <is>
          <t>Provider of curated commerce platform for retailers and brands. The company offers online wholesale storefronts that enables buyers to assort their products, buy wholesale products and manage their orders.</t>
        </is>
      </c>
      <c r="M396" s="39" t="inlineStr">
        <is>
          <t>Acceleprise</t>
        </is>
      </c>
      <c r="N396" s="40" t="inlineStr">
        <is>
          <t>Accelerator/Incubator Backed</t>
        </is>
      </c>
      <c r="O396" s="41" t="inlineStr">
        <is>
          <t>Privately Held (backing)</t>
        </is>
      </c>
      <c r="P396" s="42" t="inlineStr">
        <is>
          <t>San Francisco, CA</t>
        </is>
      </c>
      <c r="Q396" s="43" t="inlineStr">
        <is>
          <t>www.vianza.com</t>
        </is>
      </c>
      <c r="R396" s="114">
        <f>HYPERLINK("https://my.pitchbook.com?c=99219-61", "View company online")</f>
      </c>
    </row>
    <row r="397">
      <c r="A397" s="9" t="inlineStr">
        <is>
          <t>169313-14</t>
        </is>
      </c>
      <c r="B397" s="10" t="inlineStr">
        <is>
          <t>ViaeX Technology</t>
        </is>
      </c>
      <c r="C397" s="11" t="n">
        <v>0.0</v>
      </c>
      <c r="D397" s="12" t="n">
        <v>0.15360080577471882</v>
      </c>
      <c r="E397" s="13" t="inlineStr">
        <is>
          <t/>
        </is>
      </c>
      <c r="F397" s="14" t="n">
        <v>7.0</v>
      </c>
      <c r="G397" s="15" t="n">
        <v>93.0</v>
      </c>
      <c r="H397" s="16" t="inlineStr">
        <is>
          <t/>
        </is>
      </c>
      <c r="I397" s="17" t="inlineStr">
        <is>
          <t/>
        </is>
      </c>
      <c r="J397" s="18" t="n">
        <v>0.05</v>
      </c>
      <c r="K397" s="19" t="inlineStr">
        <is>
          <t>Environmental Services (B2B)</t>
        </is>
      </c>
      <c r="L397" s="20" t="inlineStr">
        <is>
          <t>Provider of biological nano filtration systems for water and air preservation. The company is engaged in developing a nano filtration technology that helps in removing all pollutants from the air and water with no environmental impacts.</t>
        </is>
      </c>
      <c r="M397" s="21" t="inlineStr">
        <is>
          <t>Big Ideas, SOSV</t>
        </is>
      </c>
      <c r="N397" s="22" t="inlineStr">
        <is>
          <t>Accelerator/Incubator Backed</t>
        </is>
      </c>
      <c r="O397" s="23" t="inlineStr">
        <is>
          <t>Privately Held (backing)</t>
        </is>
      </c>
      <c r="P397" s="24" t="inlineStr">
        <is>
          <t>San Francisco, CA</t>
        </is>
      </c>
      <c r="Q397" s="25" t="inlineStr">
        <is>
          <t>www.viaextechnologies.com</t>
        </is>
      </c>
      <c r="R397" s="113">
        <f>HYPERLINK("https://my.pitchbook.com?c=169313-14", "View company online")</f>
      </c>
    </row>
    <row r="398">
      <c r="A398" s="27" t="inlineStr">
        <is>
          <t>103551-67</t>
        </is>
      </c>
      <c r="B398" s="28" t="inlineStr">
        <is>
          <t>ViaClix</t>
        </is>
      </c>
      <c r="C398" s="29" t="n">
        <v>-0.01992879900010056</v>
      </c>
      <c r="D398" s="30" t="n">
        <v>0.3852571252165946</v>
      </c>
      <c r="E398" s="31" t="inlineStr">
        <is>
          <t/>
        </is>
      </c>
      <c r="F398" s="32" t="n">
        <v>19.0</v>
      </c>
      <c r="G398" s="33" t="n">
        <v>175.0</v>
      </c>
      <c r="H398" s="34" t="n">
        <v>105.0</v>
      </c>
      <c r="I398" s="35" t="n">
        <v>15.0</v>
      </c>
      <c r="J398" s="36" t="n">
        <v>9.1</v>
      </c>
      <c r="K398" s="37" t="inlineStr">
        <is>
          <t>Information Services (B2C)</t>
        </is>
      </c>
      <c r="L398" s="38" t="inlineStr">
        <is>
          <t>Developer of web browsing software. The company's software offers web browsing services through the channel network where users can browse by moving channel up and down or with a swipe of the finger.</t>
        </is>
      </c>
      <c r="M398" s="39" t="inlineStr">
        <is>
          <t/>
        </is>
      </c>
      <c r="N398" s="40" t="inlineStr">
        <is>
          <t>Angel-Backed</t>
        </is>
      </c>
      <c r="O398" s="41" t="inlineStr">
        <is>
          <t>Privately Held (backing)</t>
        </is>
      </c>
      <c r="P398" s="42" t="inlineStr">
        <is>
          <t>Los Gatos, CA</t>
        </is>
      </c>
      <c r="Q398" s="43" t="inlineStr">
        <is>
          <t>www.viaclix.com</t>
        </is>
      </c>
      <c r="R398" s="114">
        <f>HYPERLINK("https://my.pitchbook.com?c=103551-67", "View company online")</f>
      </c>
    </row>
    <row r="399">
      <c r="A399" s="9" t="inlineStr">
        <is>
          <t>150700-78</t>
        </is>
      </c>
      <c r="B399" s="10" t="inlineStr">
        <is>
          <t>viaChat</t>
        </is>
      </c>
      <c r="C399" s="11" t="n">
        <v>0.020515239901934636</v>
      </c>
      <c r="D399" s="12" t="n">
        <v>0.13030281044282518</v>
      </c>
      <c r="E399" s="13" t="inlineStr">
        <is>
          <t/>
        </is>
      </c>
      <c r="F399" s="14" t="n">
        <v>2.0</v>
      </c>
      <c r="G399" s="15" t="n">
        <v>328.0</v>
      </c>
      <c r="H399" s="16" t="n">
        <v>2.0</v>
      </c>
      <c r="I399" s="17" t="inlineStr">
        <is>
          <t/>
        </is>
      </c>
      <c r="J399" s="18" t="n">
        <v>0.2</v>
      </c>
      <c r="K399" s="19" t="inlineStr">
        <is>
          <t>Communication Software</t>
        </is>
      </c>
      <c r="L399" s="20" t="inlineStr">
        <is>
          <t>Developer of a communication platform. The company's software allows users and customers to request for information via a calling and messaging systems and also allows business and corporates to revert back via the same channel.</t>
        </is>
      </c>
      <c r="M399" s="21" t="inlineStr">
        <is>
          <t/>
        </is>
      </c>
      <c r="N399" s="22" t="inlineStr">
        <is>
          <t>Angel-Backed</t>
        </is>
      </c>
      <c r="O399" s="23" t="inlineStr">
        <is>
          <t>Privately Held (backing)</t>
        </is>
      </c>
      <c r="P399" s="24" t="inlineStr">
        <is>
          <t>Irvine, CA</t>
        </is>
      </c>
      <c r="Q399" s="25" t="inlineStr">
        <is>
          <t>www.viachat.co</t>
        </is>
      </c>
      <c r="R399" s="113">
        <f>HYPERLINK("https://my.pitchbook.com?c=150700-78", "View company online")</f>
      </c>
    </row>
    <row r="400">
      <c r="A400" s="27" t="inlineStr">
        <is>
          <t>110513-44</t>
        </is>
      </c>
      <c r="B400" s="28" t="inlineStr">
        <is>
          <t>Via Analytics</t>
        </is>
      </c>
      <c r="C400" s="29" t="n">
        <v>-0.05892673845922339</v>
      </c>
      <c r="D400" s="30" t="n">
        <v>0.20881050542067492</v>
      </c>
      <c r="E400" s="31" t="inlineStr">
        <is>
          <t/>
        </is>
      </c>
      <c r="F400" s="32" t="n">
        <v>5.0</v>
      </c>
      <c r="G400" s="33" t="inlineStr">
        <is>
          <t/>
        </is>
      </c>
      <c r="H400" s="34" t="n">
        <v>100.0</v>
      </c>
      <c r="I400" s="35" t="n">
        <v>4.0</v>
      </c>
      <c r="J400" s="36" t="inlineStr">
        <is>
          <t/>
        </is>
      </c>
      <c r="K400" s="37" t="inlineStr">
        <is>
          <t>Social/Platform Software</t>
        </is>
      </c>
      <c r="L400" s="38" t="inlineStr">
        <is>
          <t>Developer of a platform for the improvement of transits through the research and deployment of innovative solutions. The company also provides VIZ, a free, open-source AVL, passenger information, analytics, report generation platform.</t>
        </is>
      </c>
      <c r="M400" s="39" t="inlineStr">
        <is>
          <t>Skydeck | Berkeley</t>
        </is>
      </c>
      <c r="N400" s="40" t="inlineStr">
        <is>
          <t>Accelerator/Incubator Backed</t>
        </is>
      </c>
      <c r="O400" s="41" t="inlineStr">
        <is>
          <t>Privately Held (backing)</t>
        </is>
      </c>
      <c r="P400" s="42" t="inlineStr">
        <is>
          <t>Berkeley, CA</t>
        </is>
      </c>
      <c r="Q400" s="43" t="inlineStr">
        <is>
          <t>www.v-a.io</t>
        </is>
      </c>
      <c r="R400" s="114">
        <f>HYPERLINK("https://my.pitchbook.com?c=110513-44", "View company online")</f>
      </c>
    </row>
    <row r="401">
      <c r="A401" s="9" t="inlineStr">
        <is>
          <t>103021-57</t>
        </is>
      </c>
      <c r="B401" s="10" t="inlineStr">
        <is>
          <t>Vetter Software</t>
        </is>
      </c>
      <c r="C401" s="85">
        <f>HYPERLINK("https://my.pitchbook.com?rrp=103021-57&amp;type=c", "This Company's information is not available to download. Need this Company? Request availability")</f>
      </c>
      <c r="D401" s="12" t="inlineStr">
        <is>
          <t/>
        </is>
      </c>
      <c r="E401" s="13" t="inlineStr">
        <is>
          <t/>
        </is>
      </c>
      <c r="F401" s="14" t="inlineStr">
        <is>
          <t/>
        </is>
      </c>
      <c r="G401" s="15" t="inlineStr">
        <is>
          <t/>
        </is>
      </c>
      <c r="H401" s="16" t="inlineStr">
        <is>
          <t/>
        </is>
      </c>
      <c r="I401" s="17" t="inlineStr">
        <is>
          <t/>
        </is>
      </c>
      <c r="J401" s="18" t="inlineStr">
        <is>
          <t/>
        </is>
      </c>
      <c r="K401" s="19" t="inlineStr">
        <is>
          <t/>
        </is>
      </c>
      <c r="L401" s="20" t="inlineStr">
        <is>
          <t/>
        </is>
      </c>
      <c r="M401" s="21" t="inlineStr">
        <is>
          <t/>
        </is>
      </c>
      <c r="N401" s="22" t="inlineStr">
        <is>
          <t/>
        </is>
      </c>
      <c r="O401" s="23" t="inlineStr">
        <is>
          <t/>
        </is>
      </c>
      <c r="P401" s="24" t="inlineStr">
        <is>
          <t/>
        </is>
      </c>
      <c r="Q401" s="25" t="inlineStr">
        <is>
          <t/>
        </is>
      </c>
      <c r="R401" s="26" t="inlineStr">
        <is>
          <t/>
        </is>
      </c>
    </row>
    <row r="402">
      <c r="A402" s="27" t="inlineStr">
        <is>
          <t>172559-26</t>
        </is>
      </c>
      <c r="B402" s="28" t="inlineStr">
        <is>
          <t>VetShare</t>
        </is>
      </c>
      <c r="C402" s="86">
        <f>HYPERLINK("https://my.pitchbook.com?rrp=172559-26&amp;type=c", "This Company's information is not available to download. Need this Company? Request availability")</f>
      </c>
      <c r="D402" s="30" t="inlineStr">
        <is>
          <t/>
        </is>
      </c>
      <c r="E402" s="31" t="inlineStr">
        <is>
          <t/>
        </is>
      </c>
      <c r="F402" s="32" t="inlineStr">
        <is>
          <t/>
        </is>
      </c>
      <c r="G402" s="33" t="inlineStr">
        <is>
          <t/>
        </is>
      </c>
      <c r="H402" s="34" t="inlineStr">
        <is>
          <t/>
        </is>
      </c>
      <c r="I402" s="35" t="inlineStr">
        <is>
          <t/>
        </is>
      </c>
      <c r="J402" s="36" t="inlineStr">
        <is>
          <t/>
        </is>
      </c>
      <c r="K402" s="37" t="inlineStr">
        <is>
          <t/>
        </is>
      </c>
      <c r="L402" s="38" t="inlineStr">
        <is>
          <t/>
        </is>
      </c>
      <c r="M402" s="39" t="inlineStr">
        <is>
          <t/>
        </is>
      </c>
      <c r="N402" s="40" t="inlineStr">
        <is>
          <t/>
        </is>
      </c>
      <c r="O402" s="41" t="inlineStr">
        <is>
          <t/>
        </is>
      </c>
      <c r="P402" s="42" t="inlineStr">
        <is>
          <t/>
        </is>
      </c>
      <c r="Q402" s="43" t="inlineStr">
        <is>
          <t/>
        </is>
      </c>
      <c r="R402" s="44" t="inlineStr">
        <is>
          <t/>
        </is>
      </c>
    </row>
    <row r="403">
      <c r="A403" s="9" t="inlineStr">
        <is>
          <t>103404-61</t>
        </is>
      </c>
      <c r="B403" s="10" t="inlineStr">
        <is>
          <t>VetCompare</t>
        </is>
      </c>
      <c r="C403" s="11" t="n">
        <v>0.0</v>
      </c>
      <c r="D403" s="12" t="n">
        <v>0.063652314278696</v>
      </c>
      <c r="E403" s="13" t="inlineStr">
        <is>
          <t/>
        </is>
      </c>
      <c r="F403" s="14" t="inlineStr">
        <is>
          <t/>
        </is>
      </c>
      <c r="G403" s="15" t="n">
        <v>57.0</v>
      </c>
      <c r="H403" s="16" t="n">
        <v>20.0</v>
      </c>
      <c r="I403" s="17" t="inlineStr">
        <is>
          <t/>
        </is>
      </c>
      <c r="J403" s="18" t="inlineStr">
        <is>
          <t/>
        </is>
      </c>
      <c r="K403" s="19" t="inlineStr">
        <is>
          <t>Social/Platform Software</t>
        </is>
      </c>
      <c r="L403" s="20" t="inlineStr">
        <is>
          <t>Provider of an online price comparison platform for veterinary services. The company offers a web-based platform that allows users to choose a vet based on price, distance, and quality.</t>
        </is>
      </c>
      <c r="M403" s="21" t="inlineStr">
        <is>
          <t>Plug and Play Tech Center</t>
        </is>
      </c>
      <c r="N403" s="22" t="inlineStr">
        <is>
          <t>Accelerator/Incubator Backed</t>
        </is>
      </c>
      <c r="O403" s="23" t="inlineStr">
        <is>
          <t>Privately Held (backing)</t>
        </is>
      </c>
      <c r="P403" s="24" t="inlineStr">
        <is>
          <t>Sunnyvale, CA</t>
        </is>
      </c>
      <c r="Q403" s="25" t="inlineStr">
        <is>
          <t>www.vetcompare.co</t>
        </is>
      </c>
      <c r="R403" s="113">
        <f>HYPERLINK("https://my.pitchbook.com?c=103404-61", "View company online")</f>
      </c>
    </row>
    <row r="404">
      <c r="A404" s="27" t="inlineStr">
        <is>
          <t>102614-95</t>
        </is>
      </c>
      <c r="B404" s="28" t="inlineStr">
        <is>
          <t>Vessix</t>
        </is>
      </c>
      <c r="C404" s="29" t="n">
        <v>0.0</v>
      </c>
      <c r="D404" s="30" t="n">
        <v>0.4594594594594595</v>
      </c>
      <c r="E404" s="31" t="inlineStr">
        <is>
          <t/>
        </is>
      </c>
      <c r="F404" s="32" t="n">
        <v>17.0</v>
      </c>
      <c r="G404" s="33" t="inlineStr">
        <is>
          <t/>
        </is>
      </c>
      <c r="H404" s="34" t="inlineStr">
        <is>
          <t/>
        </is>
      </c>
      <c r="I404" s="35" t="n">
        <v>5.0</v>
      </c>
      <c r="J404" s="36" t="n">
        <v>1.09</v>
      </c>
      <c r="K404" s="37" t="inlineStr">
        <is>
          <t>Business/Productivity Software</t>
        </is>
      </c>
      <c r="L404" s="38" t="inlineStr">
        <is>
          <t>Provider of business management services for the airport operations industry. The company provides scheduling and fuel inventory management application that helps operators to schedule facilities, process payments, track aviation taxes and fuel inventories in time.</t>
        </is>
      </c>
      <c r="M404" s="39" t="inlineStr">
        <is>
          <t>Launchpad LA</t>
        </is>
      </c>
      <c r="N404" s="40" t="inlineStr">
        <is>
          <t>Accelerator/Incubator Backed</t>
        </is>
      </c>
      <c r="O404" s="41" t="inlineStr">
        <is>
          <t>Privately Held (backing)</t>
        </is>
      </c>
      <c r="P404" s="42" t="inlineStr">
        <is>
          <t>West Hollywood, CA</t>
        </is>
      </c>
      <c r="Q404" s="43" t="inlineStr">
        <is>
          <t>www.vessix.com</t>
        </is>
      </c>
      <c r="R404" s="114">
        <f>HYPERLINK("https://my.pitchbook.com?c=102614-95", "View company online")</f>
      </c>
    </row>
    <row r="405">
      <c r="A405" s="9" t="inlineStr">
        <is>
          <t>121427-29</t>
        </is>
      </c>
      <c r="B405" s="10" t="inlineStr">
        <is>
          <t>Vervid</t>
        </is>
      </c>
      <c r="C405" s="11" t="n">
        <v>0.05107810635952603</v>
      </c>
      <c r="D405" s="12" t="n">
        <v>0.48259276225377923</v>
      </c>
      <c r="E405" s="13" t="inlineStr">
        <is>
          <t/>
        </is>
      </c>
      <c r="F405" s="14" t="n">
        <v>10.0</v>
      </c>
      <c r="G405" s="15" t="inlineStr">
        <is>
          <t/>
        </is>
      </c>
      <c r="H405" s="16" t="n">
        <v>246.0</v>
      </c>
      <c r="I405" s="17" t="inlineStr">
        <is>
          <t/>
        </is>
      </c>
      <c r="J405" s="18" t="n">
        <v>0.03</v>
      </c>
      <c r="K405" s="19" t="inlineStr">
        <is>
          <t>Social/Platform Software</t>
        </is>
      </c>
      <c r="L405" s="20" t="inlineStr">
        <is>
          <t>Developer of a mobile video editing application. The company develops a mobile application for playing and editing mobile video shots in a vertical format.</t>
        </is>
      </c>
      <c r="M405" s="21" t="inlineStr">
        <is>
          <t>Coolhouse Labs</t>
        </is>
      </c>
      <c r="N405" s="22" t="inlineStr">
        <is>
          <t>Accelerator/Incubator Backed</t>
        </is>
      </c>
      <c r="O405" s="23" t="inlineStr">
        <is>
          <t>Privately Held (backing)</t>
        </is>
      </c>
      <c r="P405" s="24" t="inlineStr">
        <is>
          <t>San Jose, CA</t>
        </is>
      </c>
      <c r="Q405" s="25" t="inlineStr">
        <is>
          <t>www.vervid.com</t>
        </is>
      </c>
      <c r="R405" s="113">
        <f>HYPERLINK("https://my.pitchbook.com?c=121427-29", "View company online")</f>
      </c>
    </row>
    <row r="406">
      <c r="A406" s="27" t="inlineStr">
        <is>
          <t>177667-75</t>
        </is>
      </c>
      <c r="B406" s="28" t="inlineStr">
        <is>
          <t>Veruca</t>
        </is>
      </c>
      <c r="C406" s="86">
        <f>HYPERLINK("https://my.pitchbook.com?rrp=177667-75&amp;type=c", "This Company's information is not available to download. Need this Company? Request availability")</f>
      </c>
      <c r="D406" s="30" t="inlineStr">
        <is>
          <t/>
        </is>
      </c>
      <c r="E406" s="31" t="inlineStr">
        <is>
          <t/>
        </is>
      </c>
      <c r="F406" s="32" t="inlineStr">
        <is>
          <t/>
        </is>
      </c>
      <c r="G406" s="33" t="inlineStr">
        <is>
          <t/>
        </is>
      </c>
      <c r="H406" s="34" t="inlineStr">
        <is>
          <t/>
        </is>
      </c>
      <c r="I406" s="35" t="inlineStr">
        <is>
          <t/>
        </is>
      </c>
      <c r="J406" s="36" t="inlineStr">
        <is>
          <t/>
        </is>
      </c>
      <c r="K406" s="37" t="inlineStr">
        <is>
          <t/>
        </is>
      </c>
      <c r="L406" s="38" t="inlineStr">
        <is>
          <t/>
        </is>
      </c>
      <c r="M406" s="39" t="inlineStr">
        <is>
          <t/>
        </is>
      </c>
      <c r="N406" s="40" t="inlineStr">
        <is>
          <t/>
        </is>
      </c>
      <c r="O406" s="41" t="inlineStr">
        <is>
          <t/>
        </is>
      </c>
      <c r="P406" s="42" t="inlineStr">
        <is>
          <t/>
        </is>
      </c>
      <c r="Q406" s="43" t="inlineStr">
        <is>
          <t/>
        </is>
      </c>
      <c r="R406" s="44" t="inlineStr">
        <is>
          <t/>
        </is>
      </c>
    </row>
    <row r="407">
      <c r="A407" s="9" t="inlineStr">
        <is>
          <t>62015-05</t>
        </is>
      </c>
      <c r="B407" s="10" t="inlineStr">
        <is>
          <t>VerticaLive</t>
        </is>
      </c>
      <c r="C407" s="11" t="n">
        <v>0.027814128715529973</v>
      </c>
      <c r="D407" s="12" t="n">
        <v>0.523900334696208</v>
      </c>
      <c r="E407" s="13" t="inlineStr">
        <is>
          <t/>
        </is>
      </c>
      <c r="F407" s="14" t="n">
        <v>29.0</v>
      </c>
      <c r="G407" s="15" t="n">
        <v>45.0</v>
      </c>
      <c r="H407" s="16" t="n">
        <v>147.0</v>
      </c>
      <c r="I407" s="17" t="n">
        <v>15.0</v>
      </c>
      <c r="J407" s="18" t="n">
        <v>1.0</v>
      </c>
      <c r="K407" s="19" t="inlineStr">
        <is>
          <t>Application Software</t>
        </is>
      </c>
      <c r="L407" s="20" t="inlineStr">
        <is>
          <t>Provider of a vertical cloud platform and development technologies. The company provides VL Business Framework that helps to create and monetize applications for startup cloud ventures and established technology companies.</t>
        </is>
      </c>
      <c r="M407" s="21" t="inlineStr">
        <is>
          <t>Investment Partners of McMinnville</t>
        </is>
      </c>
      <c r="N407" s="22" t="inlineStr">
        <is>
          <t>Angel-Backed</t>
        </is>
      </c>
      <c r="O407" s="23" t="inlineStr">
        <is>
          <t>Privately Held (backing)</t>
        </is>
      </c>
      <c r="P407" s="24" t="inlineStr">
        <is>
          <t>Houma, LA</t>
        </is>
      </c>
      <c r="Q407" s="25" t="inlineStr">
        <is>
          <t>www.verticalive.com</t>
        </is>
      </c>
      <c r="R407" s="113">
        <f>HYPERLINK("https://my.pitchbook.com?c=62015-05", "View company online")</f>
      </c>
    </row>
    <row r="408">
      <c r="A408" s="27" t="inlineStr">
        <is>
          <t>58571-65</t>
        </is>
      </c>
      <c r="B408" s="28" t="inlineStr">
        <is>
          <t>Vertical Point Solutions</t>
        </is>
      </c>
      <c r="C408" s="29" t="n">
        <v>0.0</v>
      </c>
      <c r="D408" s="30" t="n">
        <v>0.07886700259581617</v>
      </c>
      <c r="E408" s="31" t="inlineStr">
        <is>
          <t/>
        </is>
      </c>
      <c r="F408" s="32" t="n">
        <v>5.0</v>
      </c>
      <c r="G408" s="33" t="inlineStr">
        <is>
          <t/>
        </is>
      </c>
      <c r="H408" s="34" t="n">
        <v>8.0</v>
      </c>
      <c r="I408" s="35" t="inlineStr">
        <is>
          <t/>
        </is>
      </c>
      <c r="J408" s="36" t="n">
        <v>1.23</v>
      </c>
      <c r="K408" s="37" t="inlineStr">
        <is>
          <t>Other Commercial Services</t>
        </is>
      </c>
      <c r="L408" s="38" t="inlineStr">
        <is>
          <t>Provider of legal process management services. The company offers services such as organizing corporate content and improving legal process management.</t>
        </is>
      </c>
      <c r="M408" s="39" t="inlineStr">
        <is>
          <t/>
        </is>
      </c>
      <c r="N408" s="40" t="inlineStr">
        <is>
          <t>Angel-Backed</t>
        </is>
      </c>
      <c r="O408" s="41" t="inlineStr">
        <is>
          <t>Privately Held (backing)</t>
        </is>
      </c>
      <c r="P408" s="42" t="inlineStr">
        <is>
          <t>Newport Beach, CA</t>
        </is>
      </c>
      <c r="Q408" s="43" t="inlineStr">
        <is>
          <t>www.verticalpoint.net</t>
        </is>
      </c>
      <c r="R408" s="114">
        <f>HYPERLINK("https://my.pitchbook.com?c=58571-65", "View company online")</f>
      </c>
    </row>
    <row r="409">
      <c r="A409" s="9" t="inlineStr">
        <is>
          <t>171817-30</t>
        </is>
      </c>
      <c r="B409" s="10" t="inlineStr">
        <is>
          <t>Vertex Promotional</t>
        </is>
      </c>
      <c r="C409" s="85">
        <f>HYPERLINK("https://my.pitchbook.com?rrp=171817-30&amp;type=c", "This Company's information is not available to download. Need this Company? Request availability")</f>
      </c>
      <c r="D409" s="12" t="inlineStr">
        <is>
          <t/>
        </is>
      </c>
      <c r="E409" s="13" t="inlineStr">
        <is>
          <t/>
        </is>
      </c>
      <c r="F409" s="14" t="inlineStr">
        <is>
          <t/>
        </is>
      </c>
      <c r="G409" s="15" t="inlineStr">
        <is>
          <t/>
        </is>
      </c>
      <c r="H409" s="16" t="inlineStr">
        <is>
          <t/>
        </is>
      </c>
      <c r="I409" s="17" t="inlineStr">
        <is>
          <t/>
        </is>
      </c>
      <c r="J409" s="18" t="inlineStr">
        <is>
          <t/>
        </is>
      </c>
      <c r="K409" s="19" t="inlineStr">
        <is>
          <t/>
        </is>
      </c>
      <c r="L409" s="20" t="inlineStr">
        <is>
          <t/>
        </is>
      </c>
      <c r="M409" s="21" t="inlineStr">
        <is>
          <t/>
        </is>
      </c>
      <c r="N409" s="22" t="inlineStr">
        <is>
          <t/>
        </is>
      </c>
      <c r="O409" s="23" t="inlineStr">
        <is>
          <t/>
        </is>
      </c>
      <c r="P409" s="24" t="inlineStr">
        <is>
          <t/>
        </is>
      </c>
      <c r="Q409" s="25" t="inlineStr">
        <is>
          <t/>
        </is>
      </c>
      <c r="R409" s="26" t="inlineStr">
        <is>
          <t/>
        </is>
      </c>
    </row>
    <row r="410">
      <c r="A410" s="27" t="inlineStr">
        <is>
          <t>133482-79</t>
        </is>
      </c>
      <c r="B410" s="28" t="inlineStr">
        <is>
          <t>Vertechs Enterprises</t>
        </is>
      </c>
      <c r="C410" s="29" t="n">
        <v>0.0</v>
      </c>
      <c r="D410" s="30" t="n">
        <v>0.08108108108108109</v>
      </c>
      <c r="E410" s="31" t="inlineStr">
        <is>
          <t/>
        </is>
      </c>
      <c r="F410" s="32" t="n">
        <v>3.0</v>
      </c>
      <c r="G410" s="33" t="inlineStr">
        <is>
          <t/>
        </is>
      </c>
      <c r="H410" s="34" t="inlineStr">
        <is>
          <t/>
        </is>
      </c>
      <c r="I410" s="35" t="inlineStr">
        <is>
          <t/>
        </is>
      </c>
      <c r="J410" s="36" t="n">
        <v>1.86</v>
      </c>
      <c r="K410" s="37" t="inlineStr">
        <is>
          <t>Industrial Supplies and Parts</t>
        </is>
      </c>
      <c r="L410" s="38" t="inlineStr">
        <is>
          <t>Provider of lightweight sandwich structures to the aerospace industry. The company specializes in in complex sheet metal and machined aerospace components that include environmentally controlled welding processes and superplastic forming of titanium.</t>
        </is>
      </c>
      <c r="M410" s="39" t="inlineStr">
        <is>
          <t/>
        </is>
      </c>
      <c r="N410" s="40" t="inlineStr">
        <is>
          <t>Angel-Backed</t>
        </is>
      </c>
      <c r="O410" s="41" t="inlineStr">
        <is>
          <t>Privately Held (backing)</t>
        </is>
      </c>
      <c r="P410" s="42" t="inlineStr">
        <is>
          <t>El Cajon, CA</t>
        </is>
      </c>
      <c r="Q410" s="43" t="inlineStr">
        <is>
          <t>www.vertechsusa.com</t>
        </is>
      </c>
      <c r="R410" s="114">
        <f>HYPERLINK("https://my.pitchbook.com?c=133482-79", "View company online")</f>
      </c>
    </row>
    <row r="411">
      <c r="A411" s="9" t="inlineStr">
        <is>
          <t>166340-35</t>
        </is>
      </c>
      <c r="B411" s="10" t="inlineStr">
        <is>
          <t>Vertebrae</t>
        </is>
      </c>
      <c r="C411" s="11" t="n">
        <v>1.2576947476440743</v>
      </c>
      <c r="D411" s="12" t="n">
        <v>3.5797949096585797</v>
      </c>
      <c r="E411" s="13" t="inlineStr">
        <is>
          <t/>
        </is>
      </c>
      <c r="F411" s="14" t="n">
        <v>119.0</v>
      </c>
      <c r="G411" s="15" t="n">
        <v>387.0</v>
      </c>
      <c r="H411" s="16" t="n">
        <v>2563.0</v>
      </c>
      <c r="I411" s="17" t="inlineStr">
        <is>
          <t/>
        </is>
      </c>
      <c r="J411" s="18" t="n">
        <v>10.0</v>
      </c>
      <c r="K411" s="19" t="inlineStr">
        <is>
          <t>Media and Information Services (B2B)</t>
        </is>
      </c>
      <c r="L411" s="20" t="inlineStr">
        <is>
          <t>Developer of a virtual reality advertising platform designed to connects advertisers with developers and publishers to deliver 360 video advertising experiences. The company's virtual reality advertising platform offers interactivity and distribution tools along with powerful analytics and mobile engaging advertising experience between brands and audiences, enabling virtual reality gaming and content developers to monetizing their creations with 3D brand advertising videos and helps brands to reach to their consumers through advertisements</t>
        </is>
      </c>
      <c r="M411" s="21" t="inlineStr">
        <is>
          <t>Vive X Accelerator</t>
        </is>
      </c>
      <c r="N411" s="22" t="inlineStr">
        <is>
          <t>Accelerator/Incubator Backed</t>
        </is>
      </c>
      <c r="O411" s="23" t="inlineStr">
        <is>
          <t>Privately Held (backing)</t>
        </is>
      </c>
      <c r="P411" s="24" t="inlineStr">
        <is>
          <t>Santa Monica, CA</t>
        </is>
      </c>
      <c r="Q411" s="25" t="inlineStr">
        <is>
          <t>www.vertebrae.io</t>
        </is>
      </c>
      <c r="R411" s="113">
        <f>HYPERLINK("https://my.pitchbook.com?c=166340-35", "View company online")</f>
      </c>
    </row>
    <row r="412">
      <c r="A412" s="27" t="inlineStr">
        <is>
          <t>176380-75</t>
        </is>
      </c>
      <c r="B412" s="28" t="inlineStr">
        <is>
          <t>Versafit</t>
        </is>
      </c>
      <c r="C412" s="86">
        <f>HYPERLINK("https://my.pitchbook.com?rrp=176380-75&amp;type=c", "This Company's information is not available to download. Need this Company? Request availability")</f>
      </c>
      <c r="D412" s="30" t="inlineStr">
        <is>
          <t/>
        </is>
      </c>
      <c r="E412" s="31" t="inlineStr">
        <is>
          <t/>
        </is>
      </c>
      <c r="F412" s="32" t="inlineStr">
        <is>
          <t/>
        </is>
      </c>
      <c r="G412" s="33" t="inlineStr">
        <is>
          <t/>
        </is>
      </c>
      <c r="H412" s="34" t="inlineStr">
        <is>
          <t/>
        </is>
      </c>
      <c r="I412" s="35" t="inlineStr">
        <is>
          <t/>
        </is>
      </c>
      <c r="J412" s="36" t="inlineStr">
        <is>
          <t/>
        </is>
      </c>
      <c r="K412" s="37" t="inlineStr">
        <is>
          <t/>
        </is>
      </c>
      <c r="L412" s="38" t="inlineStr">
        <is>
          <t/>
        </is>
      </c>
      <c r="M412" s="39" t="inlineStr">
        <is>
          <t/>
        </is>
      </c>
      <c r="N412" s="40" t="inlineStr">
        <is>
          <t/>
        </is>
      </c>
      <c r="O412" s="41" t="inlineStr">
        <is>
          <t/>
        </is>
      </c>
      <c r="P412" s="42" t="inlineStr">
        <is>
          <t/>
        </is>
      </c>
      <c r="Q412" s="43" t="inlineStr">
        <is>
          <t/>
        </is>
      </c>
      <c r="R412" s="44" t="inlineStr">
        <is>
          <t/>
        </is>
      </c>
    </row>
    <row r="413">
      <c r="A413" s="9" t="inlineStr">
        <is>
          <t>122346-64</t>
        </is>
      </c>
      <c r="B413" s="10" t="inlineStr">
        <is>
          <t>Vernox Labs</t>
        </is>
      </c>
      <c r="C413" s="11" t="n">
        <v>0.0</v>
      </c>
      <c r="D413" s="12" t="n">
        <v>0.7027027027027027</v>
      </c>
      <c r="E413" s="13" t="inlineStr">
        <is>
          <t/>
        </is>
      </c>
      <c r="F413" s="14" t="n">
        <v>26.0</v>
      </c>
      <c r="G413" s="15" t="inlineStr">
        <is>
          <t/>
        </is>
      </c>
      <c r="H413" s="16" t="inlineStr">
        <is>
          <t/>
        </is>
      </c>
      <c r="I413" s="17" t="inlineStr">
        <is>
          <t/>
        </is>
      </c>
      <c r="J413" s="18" t="n">
        <v>0.12</v>
      </c>
      <c r="K413" s="19" t="inlineStr">
        <is>
          <t>Other Commercial Services</t>
        </is>
      </c>
      <c r="L413" s="20" t="inlineStr">
        <is>
          <t>Owner and operator of a company that provides a platform to analyze data from construction projects. The comapny provides services to analyze data from construction projects to figure out how to sidestep building errors for developers and contractors.</t>
        </is>
      </c>
      <c r="M413" s="21" t="inlineStr">
        <is>
          <t>Y Combinator</t>
        </is>
      </c>
      <c r="N413" s="22" t="inlineStr">
        <is>
          <t>Accelerator/Incubator Backed</t>
        </is>
      </c>
      <c r="O413" s="23" t="inlineStr">
        <is>
          <t>Privately Held (backing)</t>
        </is>
      </c>
      <c r="P413" s="24" t="inlineStr">
        <is>
          <t>Berkeley, CA</t>
        </is>
      </c>
      <c r="Q413" s="25" t="inlineStr">
        <is>
          <t>www.vernoxlabs.com</t>
        </is>
      </c>
      <c r="R413" s="113">
        <f>HYPERLINK("https://my.pitchbook.com?c=122346-64", "View company online")</f>
      </c>
    </row>
    <row r="414">
      <c r="A414" s="27" t="inlineStr">
        <is>
          <t>104232-34</t>
        </is>
      </c>
      <c r="B414" s="28" t="inlineStr">
        <is>
          <t>VeriTainer Asset Holding</t>
        </is>
      </c>
      <c r="C414" s="29" t="n">
        <v>0.0</v>
      </c>
      <c r="D414" s="30" t="n">
        <v>0.2550444854792681</v>
      </c>
      <c r="E414" s="31" t="inlineStr">
        <is>
          <t/>
        </is>
      </c>
      <c r="F414" s="32" t="n">
        <v>18.0</v>
      </c>
      <c r="G414" s="33" t="n">
        <v>19.0</v>
      </c>
      <c r="H414" s="34" t="inlineStr">
        <is>
          <t/>
        </is>
      </c>
      <c r="I414" s="35" t="n">
        <v>11.0</v>
      </c>
      <c r="J414" s="36" t="n">
        <v>17.09</v>
      </c>
      <c r="K414" s="37" t="inlineStr">
        <is>
          <t>Electronic Equipment and Instruments</t>
        </is>
      </c>
      <c r="L414" s="38" t="inlineStr">
        <is>
          <t>Developer and designer of crane based radiation detection technology. The company develops a technology for scanning of shipping containers to ensure that the ports are free from nuclear terrorism.</t>
        </is>
      </c>
      <c r="M414" s="39" t="inlineStr">
        <is>
          <t/>
        </is>
      </c>
      <c r="N414" s="40" t="inlineStr">
        <is>
          <t>Angel-Backed</t>
        </is>
      </c>
      <c r="O414" s="41" t="inlineStr">
        <is>
          <t>Privately Held (backing)</t>
        </is>
      </c>
      <c r="P414" s="42" t="inlineStr">
        <is>
          <t>Saint Helena, CA</t>
        </is>
      </c>
      <c r="Q414" s="43" t="inlineStr">
        <is>
          <t>www.veritainer.com</t>
        </is>
      </c>
      <c r="R414" s="114">
        <f>HYPERLINK("https://my.pitchbook.com?c=104232-34", "View company online")</f>
      </c>
    </row>
    <row r="415">
      <c r="A415" s="9" t="inlineStr">
        <is>
          <t>172379-62</t>
        </is>
      </c>
      <c r="B415" s="10" t="inlineStr">
        <is>
          <t>Verigio Communications</t>
        </is>
      </c>
      <c r="C415" s="85">
        <f>HYPERLINK("https://my.pitchbook.com?rrp=172379-62&amp;type=c", "This Company's information is not available to download. Need this Company? Request availability")</f>
      </c>
      <c r="D415" s="12" t="inlineStr">
        <is>
          <t/>
        </is>
      </c>
      <c r="E415" s="13" t="inlineStr">
        <is>
          <t/>
        </is>
      </c>
      <c r="F415" s="14" t="inlineStr">
        <is>
          <t/>
        </is>
      </c>
      <c r="G415" s="15" t="inlineStr">
        <is>
          <t/>
        </is>
      </c>
      <c r="H415" s="16" t="inlineStr">
        <is>
          <t/>
        </is>
      </c>
      <c r="I415" s="17" t="inlineStr">
        <is>
          <t/>
        </is>
      </c>
      <c r="J415" s="18" t="inlineStr">
        <is>
          <t/>
        </is>
      </c>
      <c r="K415" s="19" t="inlineStr">
        <is>
          <t/>
        </is>
      </c>
      <c r="L415" s="20" t="inlineStr">
        <is>
          <t/>
        </is>
      </c>
      <c r="M415" s="21" t="inlineStr">
        <is>
          <t/>
        </is>
      </c>
      <c r="N415" s="22" t="inlineStr">
        <is>
          <t/>
        </is>
      </c>
      <c r="O415" s="23" t="inlineStr">
        <is>
          <t/>
        </is>
      </c>
      <c r="P415" s="24" t="inlineStr">
        <is>
          <t/>
        </is>
      </c>
      <c r="Q415" s="25" t="inlineStr">
        <is>
          <t/>
        </is>
      </c>
      <c r="R415" s="26" t="inlineStr">
        <is>
          <t/>
        </is>
      </c>
    </row>
    <row r="416">
      <c r="A416" s="27" t="inlineStr">
        <is>
          <t>158696-56</t>
        </is>
      </c>
      <c r="B416" s="28" t="inlineStr">
        <is>
          <t>VerifiR</t>
        </is>
      </c>
      <c r="C416" s="29" t="n">
        <v>-0.07943517246957119</v>
      </c>
      <c r="D416" s="30" t="n">
        <v>0.5619421058072493</v>
      </c>
      <c r="E416" s="31" t="inlineStr">
        <is>
          <t/>
        </is>
      </c>
      <c r="F416" s="32" t="n">
        <v>2.0</v>
      </c>
      <c r="G416" s="33" t="n">
        <v>1.0</v>
      </c>
      <c r="H416" s="34" t="n">
        <v>758.0</v>
      </c>
      <c r="I416" s="35" t="inlineStr">
        <is>
          <t/>
        </is>
      </c>
      <c r="J416" s="36" t="inlineStr">
        <is>
          <t/>
        </is>
      </c>
      <c r="K416" s="37" t="inlineStr">
        <is>
          <t>Network Management Software</t>
        </is>
      </c>
      <c r="L416" s="38" t="inlineStr">
        <is>
          <t>Provider of anti-counterfeiting services for businesses. The company specializes in combining near field communication (NFC) with bitcoin block chain technology to allow consumers to authenticate products and documents.</t>
        </is>
      </c>
      <c r="M416" s="39" t="inlineStr">
        <is>
          <t>CONNECT (Accelerator)</t>
        </is>
      </c>
      <c r="N416" s="40" t="inlineStr">
        <is>
          <t>Accelerator/Incubator Backed</t>
        </is>
      </c>
      <c r="O416" s="41" t="inlineStr">
        <is>
          <t>Privately Held (backing)</t>
        </is>
      </c>
      <c r="P416" s="42" t="inlineStr">
        <is>
          <t>San Diego, CA</t>
        </is>
      </c>
      <c r="Q416" s="43" t="inlineStr">
        <is>
          <t>www.verifir.com</t>
        </is>
      </c>
      <c r="R416" s="114">
        <f>HYPERLINK("https://my.pitchbook.com?c=158696-56", "View company online")</f>
      </c>
    </row>
    <row r="417">
      <c r="A417" s="9" t="inlineStr">
        <is>
          <t>178225-75</t>
        </is>
      </c>
      <c r="B417" s="10" t="inlineStr">
        <is>
          <t>VeriComply</t>
        </is>
      </c>
      <c r="C417" s="85">
        <f>HYPERLINK("https://my.pitchbook.com?rrp=178225-75&amp;type=c", "This Company's information is not available to download. Need this Company? Request availability")</f>
      </c>
      <c r="D417" s="12" t="inlineStr">
        <is>
          <t/>
        </is>
      </c>
      <c r="E417" s="13" t="inlineStr">
        <is>
          <t/>
        </is>
      </c>
      <c r="F417" s="14" t="inlineStr">
        <is>
          <t/>
        </is>
      </c>
      <c r="G417" s="15" t="inlineStr">
        <is>
          <t/>
        </is>
      </c>
      <c r="H417" s="16" t="inlineStr">
        <is>
          <t/>
        </is>
      </c>
      <c r="I417" s="17" t="inlineStr">
        <is>
          <t/>
        </is>
      </c>
      <c r="J417" s="18" t="inlineStr">
        <is>
          <t/>
        </is>
      </c>
      <c r="K417" s="19" t="inlineStr">
        <is>
          <t/>
        </is>
      </c>
      <c r="L417" s="20" t="inlineStr">
        <is>
          <t/>
        </is>
      </c>
      <c r="M417" s="21" t="inlineStr">
        <is>
          <t/>
        </is>
      </c>
      <c r="N417" s="22" t="inlineStr">
        <is>
          <t/>
        </is>
      </c>
      <c r="O417" s="23" t="inlineStr">
        <is>
          <t/>
        </is>
      </c>
      <c r="P417" s="24" t="inlineStr">
        <is>
          <t/>
        </is>
      </c>
      <c r="Q417" s="25" t="inlineStr">
        <is>
          <t/>
        </is>
      </c>
      <c r="R417" s="26" t="inlineStr">
        <is>
          <t/>
        </is>
      </c>
    </row>
    <row r="418">
      <c r="A418" s="27" t="inlineStr">
        <is>
          <t>152103-25</t>
        </is>
      </c>
      <c r="B418" s="28" t="inlineStr">
        <is>
          <t>Verdiseno</t>
        </is>
      </c>
      <c r="C418" s="29" t="n">
        <v>0.20317076019564229</v>
      </c>
      <c r="D418" s="30" t="n">
        <v>1.4833964978769696</v>
      </c>
      <c r="E418" s="31" t="inlineStr">
        <is>
          <t/>
        </is>
      </c>
      <c r="F418" s="32" t="inlineStr">
        <is>
          <t/>
        </is>
      </c>
      <c r="G418" s="33" t="n">
        <v>1108.0</v>
      </c>
      <c r="H418" s="34" t="n">
        <v>563.0</v>
      </c>
      <c r="I418" s="35" t="inlineStr">
        <is>
          <t/>
        </is>
      </c>
      <c r="J418" s="36" t="n">
        <v>0.03</v>
      </c>
      <c r="K418" s="37" t="inlineStr">
        <is>
          <t>Other Software</t>
        </is>
      </c>
      <c r="L418" s="38" t="inlineStr">
        <is>
          <t>Provider of solar design tools. The company specializes in designing and developing design application for solar professionals that enables them to create preliminary designs and layouts for bids using 3D models based on aerial and satellite imagery.</t>
        </is>
      </c>
      <c r="M418" s="39" t="inlineStr">
        <is>
          <t>Thomas Varghese</t>
        </is>
      </c>
      <c r="N418" s="40" t="inlineStr">
        <is>
          <t>Angel-Backed</t>
        </is>
      </c>
      <c r="O418" s="41" t="inlineStr">
        <is>
          <t>Privately Held (backing)</t>
        </is>
      </c>
      <c r="P418" s="42" t="inlineStr">
        <is>
          <t>Santa Cruz, CA</t>
        </is>
      </c>
      <c r="Q418" s="43" t="inlineStr">
        <is>
          <t>get.solardesigntool.com</t>
        </is>
      </c>
      <c r="R418" s="114">
        <f>HYPERLINK("https://my.pitchbook.com?c=152103-25", "View company online")</f>
      </c>
    </row>
    <row r="419">
      <c r="A419" s="9" t="inlineStr">
        <is>
          <t>169294-60</t>
        </is>
      </c>
      <c r="B419" s="10" t="inlineStr">
        <is>
          <t>Verdical</t>
        </is>
      </c>
      <c r="C419" s="11" t="inlineStr">
        <is>
          <t/>
        </is>
      </c>
      <c r="D419" s="12" t="inlineStr">
        <is>
          <t/>
        </is>
      </c>
      <c r="E419" s="13" t="inlineStr">
        <is>
          <t/>
        </is>
      </c>
      <c r="F419" s="14" t="inlineStr">
        <is>
          <t/>
        </is>
      </c>
      <c r="G419" s="15" t="inlineStr">
        <is>
          <t/>
        </is>
      </c>
      <c r="H419" s="16" t="inlineStr">
        <is>
          <t/>
        </is>
      </c>
      <c r="I419" s="17" t="inlineStr">
        <is>
          <t/>
        </is>
      </c>
      <c r="J419" s="18" t="inlineStr">
        <is>
          <t/>
        </is>
      </c>
      <c r="K419" s="19" t="inlineStr">
        <is>
          <t>Electronics (B2C)</t>
        </is>
      </c>
      <c r="L419" s="20" t="inlineStr">
        <is>
          <t>Developer of an indoor food growing system. The company designs and develops a vertical hydroponic indoor farming system that uses horticultural LED's and temperature controlling sensors to grow fruits and vegetables at homes.</t>
        </is>
      </c>
      <c r="M419" s="21" t="inlineStr">
        <is>
          <t>Skydeck | Berkeley</t>
        </is>
      </c>
      <c r="N419" s="22" t="inlineStr">
        <is>
          <t>Accelerator/Incubator Backed</t>
        </is>
      </c>
      <c r="O419" s="23" t="inlineStr">
        <is>
          <t>Privately Held (backing)</t>
        </is>
      </c>
      <c r="P419" s="24" t="inlineStr">
        <is>
          <t>Berkeley, CA</t>
        </is>
      </c>
      <c r="Q419" s="25" t="inlineStr">
        <is>
          <t>www.verdical.io</t>
        </is>
      </c>
      <c r="R419" s="113">
        <f>HYPERLINK("https://my.pitchbook.com?c=169294-60", "View company online")</f>
      </c>
    </row>
    <row r="420">
      <c r="A420" s="27" t="inlineStr">
        <is>
          <t>123639-40</t>
        </is>
      </c>
      <c r="B420" s="28" t="inlineStr">
        <is>
          <t>Verbatm</t>
        </is>
      </c>
      <c r="C420" s="29" t="n">
        <v>-0.06679758548989356</v>
      </c>
      <c r="D420" s="30" t="n">
        <v>0.11806136065531792</v>
      </c>
      <c r="E420" s="31" t="inlineStr">
        <is>
          <t/>
        </is>
      </c>
      <c r="F420" s="32" t="n">
        <v>1.0</v>
      </c>
      <c r="G420" s="33" t="n">
        <v>323.0</v>
      </c>
      <c r="H420" s="34" t="n">
        <v>6.0</v>
      </c>
      <c r="I420" s="35" t="inlineStr">
        <is>
          <t/>
        </is>
      </c>
      <c r="J420" s="36" t="n">
        <v>0.05</v>
      </c>
      <c r="K420" s="37" t="inlineStr">
        <is>
          <t>Application Software</t>
        </is>
      </c>
      <c r="L420" s="38" t="inlineStr">
        <is>
          <t>Developer and provider of a mobile based citizen journalism application. The company provides an application which helps the millennial generation to transform first person perspectives into multimedia to be shared and disseminated among the users.</t>
        </is>
      </c>
      <c r="M420" s="39" t="inlineStr">
        <is>
          <t>Matter Ventures, Pear Ventures</t>
        </is>
      </c>
      <c r="N420" s="40" t="inlineStr">
        <is>
          <t>Accelerator/Incubator Backed</t>
        </is>
      </c>
      <c r="O420" s="41" t="inlineStr">
        <is>
          <t>Privately Held (backing)</t>
        </is>
      </c>
      <c r="P420" s="42" t="inlineStr">
        <is>
          <t>San Francisco, CA</t>
        </is>
      </c>
      <c r="Q420" s="43" t="inlineStr">
        <is>
          <t>www.myverbatm.com</t>
        </is>
      </c>
      <c r="R420" s="114">
        <f>HYPERLINK("https://my.pitchbook.com?c=123639-40", "View company online")</f>
      </c>
    </row>
    <row r="421">
      <c r="A421" s="9" t="inlineStr">
        <is>
          <t>104761-54</t>
        </is>
      </c>
      <c r="B421" s="10" t="inlineStr">
        <is>
          <t>Venyooz</t>
        </is>
      </c>
      <c r="C421" s="11" t="n">
        <v>-0.042420125490552046</v>
      </c>
      <c r="D421" s="12" t="n">
        <v>0.7797476073820951</v>
      </c>
      <c r="E421" s="13" t="inlineStr">
        <is>
          <t/>
        </is>
      </c>
      <c r="F421" s="14" t="n">
        <v>43.0</v>
      </c>
      <c r="G421" s="15" t="n">
        <v>194.0</v>
      </c>
      <c r="H421" s="16" t="n">
        <v>196.0</v>
      </c>
      <c r="I421" s="17" t="n">
        <v>1.0</v>
      </c>
      <c r="J421" s="18" t="n">
        <v>0.11</v>
      </c>
      <c r="K421" s="19" t="inlineStr">
        <is>
          <t>Social/Platform Software</t>
        </is>
      </c>
      <c r="L421" s="20" t="inlineStr">
        <is>
          <t>Provider of an online marketplace that allows users to find and rent spaces. The company offers an online peer to peer marketplace that works with schools, churches, community centers and other businesses to rent spaces for everyday activities, such as playgroups, meetups, fitness classes and workshops.</t>
        </is>
      </c>
      <c r="M421" s="21" t="inlineStr">
        <is>
          <t/>
        </is>
      </c>
      <c r="N421" s="22" t="inlineStr">
        <is>
          <t>Angel-Backed</t>
        </is>
      </c>
      <c r="O421" s="23" t="inlineStr">
        <is>
          <t>Privately Held (backing)</t>
        </is>
      </c>
      <c r="P421" s="24" t="inlineStr">
        <is>
          <t>Santa Monica, CA</t>
        </is>
      </c>
      <c r="Q421" s="25" t="inlineStr">
        <is>
          <t>www.venyooz.com</t>
        </is>
      </c>
      <c r="R421" s="113">
        <f>HYPERLINK("https://my.pitchbook.com?c=104761-54", "View company online")</f>
      </c>
    </row>
    <row r="422">
      <c r="A422" s="27" t="inlineStr">
        <is>
          <t>171944-02</t>
        </is>
      </c>
      <c r="B422" s="28" t="inlineStr">
        <is>
          <t>Venuelytics</t>
        </is>
      </c>
      <c r="C422" s="86">
        <f>HYPERLINK("https://my.pitchbook.com?rrp=171944-02&amp;type=c", "This Company's information is not available to download. Need this Company? Request availability")</f>
      </c>
      <c r="D422" s="30" t="inlineStr">
        <is>
          <t/>
        </is>
      </c>
      <c r="E422" s="31" t="inlineStr">
        <is>
          <t/>
        </is>
      </c>
      <c r="F422" s="32" t="inlineStr">
        <is>
          <t/>
        </is>
      </c>
      <c r="G422" s="33" t="inlineStr">
        <is>
          <t/>
        </is>
      </c>
      <c r="H422" s="34" t="inlineStr">
        <is>
          <t/>
        </is>
      </c>
      <c r="I422" s="35" t="inlineStr">
        <is>
          <t/>
        </is>
      </c>
      <c r="J422" s="36" t="inlineStr">
        <is>
          <t/>
        </is>
      </c>
      <c r="K422" s="37" t="inlineStr">
        <is>
          <t/>
        </is>
      </c>
      <c r="L422" s="38" t="inlineStr">
        <is>
          <t/>
        </is>
      </c>
      <c r="M422" s="39" t="inlineStr">
        <is>
          <t/>
        </is>
      </c>
      <c r="N422" s="40" t="inlineStr">
        <is>
          <t/>
        </is>
      </c>
      <c r="O422" s="41" t="inlineStr">
        <is>
          <t/>
        </is>
      </c>
      <c r="P422" s="42" t="inlineStr">
        <is>
          <t/>
        </is>
      </c>
      <c r="Q422" s="43" t="inlineStr">
        <is>
          <t/>
        </is>
      </c>
      <c r="R422" s="44" t="inlineStr">
        <is>
          <t/>
        </is>
      </c>
    </row>
    <row r="423">
      <c r="A423" s="9" t="inlineStr">
        <is>
          <t>97188-85</t>
        </is>
      </c>
      <c r="B423" s="10" t="inlineStr">
        <is>
          <t>Venue Report</t>
        </is>
      </c>
      <c r="C423" s="11" t="n">
        <v>0.9205968274386994</v>
      </c>
      <c r="D423" s="12" t="n">
        <v>86.72169642797867</v>
      </c>
      <c r="E423" s="13" t="inlineStr">
        <is>
          <t/>
        </is>
      </c>
      <c r="F423" s="14" t="n">
        <v>1153.0</v>
      </c>
      <c r="G423" s="15" t="n">
        <v>213970.0</v>
      </c>
      <c r="H423" s="16" t="n">
        <v>5906.0</v>
      </c>
      <c r="I423" s="17" t="n">
        <v>9.0</v>
      </c>
      <c r="J423" s="18" t="n">
        <v>1.86</v>
      </c>
      <c r="K423" s="19" t="inlineStr">
        <is>
          <t>Other Services (B2C Non-Financial)</t>
        </is>
      </c>
      <c r="L423" s="20" t="inlineStr">
        <is>
          <t>Provider of an online platform for event venues. The company provides a web-based, curated guide to gathering locations and events across the globe.</t>
        </is>
      </c>
      <c r="M423" s="21" t="inlineStr">
        <is>
          <t>Tech Coast Angels</t>
        </is>
      </c>
      <c r="N423" s="22" t="inlineStr">
        <is>
          <t>Angel-Backed</t>
        </is>
      </c>
      <c r="O423" s="23" t="inlineStr">
        <is>
          <t>Privately Held (backing)</t>
        </is>
      </c>
      <c r="P423" s="24" t="inlineStr">
        <is>
          <t>Encinitas, CA</t>
        </is>
      </c>
      <c r="Q423" s="25" t="inlineStr">
        <is>
          <t>www.venuereport.com</t>
        </is>
      </c>
      <c r="R423" s="113">
        <f>HYPERLINK("https://my.pitchbook.com?c=97188-85", "View company online")</f>
      </c>
    </row>
    <row r="424">
      <c r="A424" s="27" t="inlineStr">
        <is>
          <t>176821-66</t>
        </is>
      </c>
      <c r="B424" s="28" t="inlineStr">
        <is>
          <t>Venture West Funding</t>
        </is>
      </c>
      <c r="C424" s="86">
        <f>HYPERLINK("https://my.pitchbook.com?rrp=176821-66&amp;type=c", "This Company's information is not available to download. Need this Company? Request availability")</f>
      </c>
      <c r="D424" s="30" t="inlineStr">
        <is>
          <t/>
        </is>
      </c>
      <c r="E424" s="31" t="inlineStr">
        <is>
          <t/>
        </is>
      </c>
      <c r="F424" s="32" t="inlineStr">
        <is>
          <t/>
        </is>
      </c>
      <c r="G424" s="33" t="inlineStr">
        <is>
          <t/>
        </is>
      </c>
      <c r="H424" s="34" t="inlineStr">
        <is>
          <t/>
        </is>
      </c>
      <c r="I424" s="35" t="inlineStr">
        <is>
          <t/>
        </is>
      </c>
      <c r="J424" s="36" t="inlineStr">
        <is>
          <t/>
        </is>
      </c>
      <c r="K424" s="37" t="inlineStr">
        <is>
          <t/>
        </is>
      </c>
      <c r="L424" s="38" t="inlineStr">
        <is>
          <t/>
        </is>
      </c>
      <c r="M424" s="39" t="inlineStr">
        <is>
          <t/>
        </is>
      </c>
      <c r="N424" s="40" t="inlineStr">
        <is>
          <t/>
        </is>
      </c>
      <c r="O424" s="41" t="inlineStr">
        <is>
          <t/>
        </is>
      </c>
      <c r="P424" s="42" t="inlineStr">
        <is>
          <t/>
        </is>
      </c>
      <c r="Q424" s="43" t="inlineStr">
        <is>
          <t/>
        </is>
      </c>
      <c r="R424" s="44" t="inlineStr">
        <is>
          <t/>
        </is>
      </c>
    </row>
    <row r="425">
      <c r="A425" s="9" t="inlineStr">
        <is>
          <t>173922-67</t>
        </is>
      </c>
      <c r="B425" s="10" t="inlineStr">
        <is>
          <t>Ventura County Office of Education</t>
        </is>
      </c>
      <c r="C425" s="85">
        <f>HYPERLINK("https://my.pitchbook.com?rrp=173922-67&amp;type=c", "This Company's information is not available to download. Need this Company? Request availability")</f>
      </c>
      <c r="D425" s="12" t="inlineStr">
        <is>
          <t/>
        </is>
      </c>
      <c r="E425" s="13" t="inlineStr">
        <is>
          <t/>
        </is>
      </c>
      <c r="F425" s="14" t="inlineStr">
        <is>
          <t/>
        </is>
      </c>
      <c r="G425" s="15" t="inlineStr">
        <is>
          <t/>
        </is>
      </c>
      <c r="H425" s="16" t="inlineStr">
        <is>
          <t/>
        </is>
      </c>
      <c r="I425" s="17" t="inlineStr">
        <is>
          <t/>
        </is>
      </c>
      <c r="J425" s="18" t="inlineStr">
        <is>
          <t/>
        </is>
      </c>
      <c r="K425" s="19" t="inlineStr">
        <is>
          <t/>
        </is>
      </c>
      <c r="L425" s="20" t="inlineStr">
        <is>
          <t/>
        </is>
      </c>
      <c r="M425" s="21" t="inlineStr">
        <is>
          <t/>
        </is>
      </c>
      <c r="N425" s="22" t="inlineStr">
        <is>
          <t/>
        </is>
      </c>
      <c r="O425" s="23" t="inlineStr">
        <is>
          <t/>
        </is>
      </c>
      <c r="P425" s="24" t="inlineStr">
        <is>
          <t/>
        </is>
      </c>
      <c r="Q425" s="25" t="inlineStr">
        <is>
          <t/>
        </is>
      </c>
      <c r="R425" s="26" t="inlineStr">
        <is>
          <t/>
        </is>
      </c>
    </row>
    <row r="426">
      <c r="A426" s="27" t="inlineStr">
        <is>
          <t>63605-17</t>
        </is>
      </c>
      <c r="B426" s="28" t="inlineStr">
        <is>
          <t>Venovate</t>
        </is>
      </c>
      <c r="C426" s="29" t="n">
        <v>0.02826171949037236</v>
      </c>
      <c r="D426" s="30" t="n">
        <v>0.5503379208242878</v>
      </c>
      <c r="E426" s="31" t="inlineStr">
        <is>
          <t/>
        </is>
      </c>
      <c r="F426" s="32" t="n">
        <v>13.0</v>
      </c>
      <c r="G426" s="33" t="n">
        <v>315.0</v>
      </c>
      <c r="H426" s="34" t="n">
        <v>393.0</v>
      </c>
      <c r="I426" s="35" t="n">
        <v>12.0</v>
      </c>
      <c r="J426" s="36" t="inlineStr">
        <is>
          <t/>
        </is>
      </c>
      <c r="K426" s="37" t="inlineStr">
        <is>
          <t>Social/Platform Software</t>
        </is>
      </c>
      <c r="L426" s="38" t="inlineStr">
        <is>
          <t>Provider of an online financial platform. The company's software helps accredited investors and institutions to invest and trade alternative assets, which include private equity, hedge funds, real estate, natural resources and venture capital.</t>
        </is>
      </c>
      <c r="M426" s="39" t="inlineStr">
        <is>
          <t>YouWeb</t>
        </is>
      </c>
      <c r="N426" s="40" t="inlineStr">
        <is>
          <t>Accelerator/Incubator Backed</t>
        </is>
      </c>
      <c r="O426" s="41" t="inlineStr">
        <is>
          <t>Privately Held (backing)</t>
        </is>
      </c>
      <c r="P426" s="42" t="inlineStr">
        <is>
          <t>San Francisco, CA</t>
        </is>
      </c>
      <c r="Q426" s="43" t="inlineStr">
        <is>
          <t>www.venovate.com</t>
        </is>
      </c>
      <c r="R426" s="114">
        <f>HYPERLINK("https://my.pitchbook.com?c=63605-17", "View company online")</f>
      </c>
    </row>
    <row r="427">
      <c r="A427" s="9" t="inlineStr">
        <is>
          <t>169312-51</t>
        </is>
      </c>
      <c r="B427" s="10" t="inlineStr">
        <is>
          <t>Venomyx Therapeutics</t>
        </is>
      </c>
      <c r="C427" s="11" t="n">
        <v>0.5586237372497349</v>
      </c>
      <c r="D427" s="12" t="n">
        <v>0.419214706337035</v>
      </c>
      <c r="E427" s="13" t="inlineStr">
        <is>
          <t/>
        </is>
      </c>
      <c r="F427" s="14" t="n">
        <v>21.0</v>
      </c>
      <c r="G427" s="15" t="n">
        <v>119.0</v>
      </c>
      <c r="H427" s="16" t="n">
        <v>139.0</v>
      </c>
      <c r="I427" s="17" t="inlineStr">
        <is>
          <t/>
        </is>
      </c>
      <c r="J427" s="18" t="n">
        <v>0.2</v>
      </c>
      <c r="K427" s="19" t="inlineStr">
        <is>
          <t>Drug Discovery</t>
        </is>
      </c>
      <c r="L427" s="20" t="inlineStr">
        <is>
          <t>Developer of antivenom. The company has created toxin-specific snake antivenom.</t>
        </is>
      </c>
      <c r="M427" s="21" t="inlineStr">
        <is>
          <t>SOSV</t>
        </is>
      </c>
      <c r="N427" s="22" t="inlineStr">
        <is>
          <t>Accelerator/Incubator Backed</t>
        </is>
      </c>
      <c r="O427" s="23" t="inlineStr">
        <is>
          <t>Privately Held (backing)</t>
        </is>
      </c>
      <c r="P427" s="24" t="inlineStr">
        <is>
          <t>San Francisco, CA</t>
        </is>
      </c>
      <c r="Q427" s="25" t="inlineStr">
        <is>
          <t>www.venomyx.com</t>
        </is>
      </c>
      <c r="R427" s="113">
        <f>HYPERLINK("https://my.pitchbook.com?c=169312-51", "View company online")</f>
      </c>
    </row>
    <row r="428">
      <c r="A428" s="27" t="inlineStr">
        <is>
          <t>118598-77</t>
        </is>
      </c>
      <c r="B428" s="28" t="inlineStr">
        <is>
          <t>Vendri</t>
        </is>
      </c>
      <c r="C428" s="29" t="n">
        <v>0.0</v>
      </c>
      <c r="D428" s="30" t="n">
        <v>0.07906778238392093</v>
      </c>
      <c r="E428" s="31" t="inlineStr">
        <is>
          <t/>
        </is>
      </c>
      <c r="F428" s="32" t="n">
        <v>1.0</v>
      </c>
      <c r="G428" s="33" t="n">
        <v>61.0</v>
      </c>
      <c r="H428" s="34" t="n">
        <v>66.0</v>
      </c>
      <c r="I428" s="35" t="n">
        <v>12.0</v>
      </c>
      <c r="J428" s="36" t="inlineStr">
        <is>
          <t/>
        </is>
      </c>
      <c r="K428" s="37" t="inlineStr">
        <is>
          <t>Network Management Software</t>
        </is>
      </c>
      <c r="L428" s="38" t="inlineStr">
        <is>
          <t>Developer of an online media files management system. The company helps to deliver, stream, protect, record, and play owned and third party media and monetize with ads using any technology on any device and browser.</t>
        </is>
      </c>
      <c r="M428" s="39" t="inlineStr">
        <is>
          <t>Carthona Capital, Chris Hulls, Founder.org, Wharton Venture Initiation Program</t>
        </is>
      </c>
      <c r="N428" s="40" t="inlineStr">
        <is>
          <t>Accelerator/Incubator Backed</t>
        </is>
      </c>
      <c r="O428" s="41" t="inlineStr">
        <is>
          <t>Privately Held (backing)</t>
        </is>
      </c>
      <c r="P428" s="42" t="inlineStr">
        <is>
          <t>San Francisco, CA</t>
        </is>
      </c>
      <c r="Q428" s="43" t="inlineStr">
        <is>
          <t>www.vendri.com</t>
        </is>
      </c>
      <c r="R428" s="114">
        <f>HYPERLINK("https://my.pitchbook.com?c=118598-77", "View company online")</f>
      </c>
    </row>
    <row r="429">
      <c r="A429" s="9" t="inlineStr">
        <is>
          <t>104760-28</t>
        </is>
      </c>
      <c r="B429" s="10" t="inlineStr">
        <is>
          <t>VendOp</t>
        </is>
      </c>
      <c r="C429" s="11" t="n">
        <v>0.3633978479682172</v>
      </c>
      <c r="D429" s="12" t="n">
        <v>2.0022522522522523</v>
      </c>
      <c r="E429" s="13" t="inlineStr">
        <is>
          <t/>
        </is>
      </c>
      <c r="F429" s="14" t="n">
        <v>104.0</v>
      </c>
      <c r="G429" s="15" t="inlineStr">
        <is>
          <t/>
        </is>
      </c>
      <c r="H429" s="16" t="n">
        <v>413.0</v>
      </c>
      <c r="I429" s="17" t="n">
        <v>8.0</v>
      </c>
      <c r="J429" s="18" t="n">
        <v>1.1</v>
      </c>
      <c r="K429" s="19" t="inlineStr">
        <is>
          <t>Social/Platform Software</t>
        </is>
      </c>
      <c r="L429" s="20" t="inlineStr">
        <is>
          <t>Provider of a platform for professionals to share ratings and reviews of business and industrial vendors. The company allows professionals to get first-hand insights on all types of vendors injection molding, component suppliers, 3D printers, precision vises and also share their experiences and opinions with other professionals in the community.</t>
        </is>
      </c>
      <c r="M429" s="21" t="inlineStr">
        <is>
          <t>Dan Bruckner, Leonard Lodish, Martin Lautman, Steve Katz</t>
        </is>
      </c>
      <c r="N429" s="22" t="inlineStr">
        <is>
          <t>Angel-Backed</t>
        </is>
      </c>
      <c r="O429" s="23" t="inlineStr">
        <is>
          <t>Privately Held (backing)</t>
        </is>
      </c>
      <c r="P429" s="24" t="inlineStr">
        <is>
          <t>San Francisco, CA</t>
        </is>
      </c>
      <c r="Q429" s="25" t="inlineStr">
        <is>
          <t>www.vendop.com</t>
        </is>
      </c>
      <c r="R429" s="113">
        <f>HYPERLINK("https://my.pitchbook.com?c=104760-28", "View company online")</f>
      </c>
    </row>
    <row r="430">
      <c r="A430" s="27" t="inlineStr">
        <is>
          <t>103400-83</t>
        </is>
      </c>
      <c r="B430" s="28" t="inlineStr">
        <is>
          <t>Vendigi</t>
        </is>
      </c>
      <c r="C430" s="29" t="n">
        <v>0.0</v>
      </c>
      <c r="D430" s="30" t="n">
        <v>0.05405405405405406</v>
      </c>
      <c r="E430" s="31" t="inlineStr">
        <is>
          <t/>
        </is>
      </c>
      <c r="F430" s="32" t="n">
        <v>2.0</v>
      </c>
      <c r="G430" s="33" t="inlineStr">
        <is>
          <t/>
        </is>
      </c>
      <c r="H430" s="34" t="inlineStr">
        <is>
          <t/>
        </is>
      </c>
      <c r="I430" s="35" t="inlineStr">
        <is>
          <t/>
        </is>
      </c>
      <c r="J430" s="36" t="inlineStr">
        <is>
          <t/>
        </is>
      </c>
      <c r="K430" s="37" t="inlineStr">
        <is>
          <t>Social/Platform Software</t>
        </is>
      </c>
      <c r="L430" s="38" t="inlineStr">
        <is>
          <t>Provider of digital marketing and advertisement services. The company offers a real estate technology platform that enables marketers to market and promote their real estate business and connect with home owners and lenders.</t>
        </is>
      </c>
      <c r="M430" s="39" t="inlineStr">
        <is>
          <t/>
        </is>
      </c>
      <c r="N430" s="40" t="inlineStr">
        <is>
          <t>Angel-Backed</t>
        </is>
      </c>
      <c r="O430" s="41" t="inlineStr">
        <is>
          <t>Privately Held (backing)</t>
        </is>
      </c>
      <c r="P430" s="42" t="inlineStr">
        <is>
          <t>San Diego, CA</t>
        </is>
      </c>
      <c r="Q430" s="43" t="inlineStr">
        <is>
          <t>www.vendigi.com</t>
        </is>
      </c>
      <c r="R430" s="114">
        <f>HYPERLINK("https://my.pitchbook.com?c=103400-83", "View company online")</f>
      </c>
    </row>
    <row r="431">
      <c r="A431" s="9" t="inlineStr">
        <is>
          <t>103355-29</t>
        </is>
      </c>
      <c r="B431" s="10" t="inlineStr">
        <is>
          <t>Vencosba</t>
        </is>
      </c>
      <c r="C431" s="11" t="n">
        <v>0.0</v>
      </c>
      <c r="D431" s="12" t="n">
        <v>0.08108108108108109</v>
      </c>
      <c r="E431" s="13" t="inlineStr">
        <is>
          <t/>
        </is>
      </c>
      <c r="F431" s="14" t="n">
        <v>3.0</v>
      </c>
      <c r="G431" s="15" t="inlineStr">
        <is>
          <t/>
        </is>
      </c>
      <c r="H431" s="16" t="inlineStr">
        <is>
          <t/>
        </is>
      </c>
      <c r="I431" s="17" t="n">
        <v>1.0</v>
      </c>
      <c r="J431" s="18" t="n">
        <v>0.01</v>
      </c>
      <c r="K431" s="19" t="inlineStr">
        <is>
          <t>Consulting Services (B2B)</t>
        </is>
      </c>
      <c r="L431" s="20" t="inlineStr">
        <is>
          <t>Operator of a performance based consulting firm. The company provides venture development, investment holdings, angel investment services for small businesses and start up entrepreneurs.</t>
        </is>
      </c>
      <c r="M431" s="21" t="inlineStr">
        <is>
          <t>The Lights on Lab</t>
        </is>
      </c>
      <c r="N431" s="22" t="inlineStr">
        <is>
          <t>Accelerator/Incubator Backed</t>
        </is>
      </c>
      <c r="O431" s="23" t="inlineStr">
        <is>
          <t>Privately Held (backing)</t>
        </is>
      </c>
      <c r="P431" s="24" t="inlineStr">
        <is>
          <t>Oxnard, CA</t>
        </is>
      </c>
      <c r="Q431" s="25" t="inlineStr">
        <is>
          <t>www.vencosba.com</t>
        </is>
      </c>
      <c r="R431" s="113">
        <f>HYPERLINK("https://my.pitchbook.com?c=103355-29", "View company online")</f>
      </c>
    </row>
    <row r="432">
      <c r="A432" s="27" t="inlineStr">
        <is>
          <t>171815-95</t>
        </is>
      </c>
      <c r="B432" s="28" t="inlineStr">
        <is>
          <t>Vence</t>
        </is>
      </c>
      <c r="C432" s="29" t="inlineStr">
        <is>
          <t/>
        </is>
      </c>
      <c r="D432" s="30" t="inlineStr">
        <is>
          <t/>
        </is>
      </c>
      <c r="E432" s="31" t="inlineStr">
        <is>
          <t/>
        </is>
      </c>
      <c r="F432" s="32" t="inlineStr">
        <is>
          <t/>
        </is>
      </c>
      <c r="G432" s="33" t="inlineStr">
        <is>
          <t/>
        </is>
      </c>
      <c r="H432" s="34" t="inlineStr">
        <is>
          <t/>
        </is>
      </c>
      <c r="I432" s="35" t="inlineStr">
        <is>
          <t/>
        </is>
      </c>
      <c r="J432" s="36" t="inlineStr">
        <is>
          <t/>
        </is>
      </c>
      <c r="K432" s="37" t="inlineStr">
        <is>
          <t>Business/Productivity Software</t>
        </is>
      </c>
      <c r="L432" s="38" t="inlineStr">
        <is>
          <t>Developer of a livestock management system designed to increase stocking rate and farm yields. The company's livestock management system creates automation of rotational grazing, creates virtual paddocks and maximize the utilization of land and monitors the health and fertility of animals and send alerts, enabling farm owners to increase revenues, eliminate fencing costs and reduce labor expenses.</t>
        </is>
      </c>
      <c r="M432" s="39" t="inlineStr">
        <is>
          <t>MassChallenge</t>
        </is>
      </c>
      <c r="N432" s="40" t="inlineStr">
        <is>
          <t>Accelerator/Incubator Backed</t>
        </is>
      </c>
      <c r="O432" s="41" t="inlineStr">
        <is>
          <t>Privately Held (backing)</t>
        </is>
      </c>
      <c r="P432" s="42" t="inlineStr">
        <is>
          <t>Menlo Park, CA</t>
        </is>
      </c>
      <c r="Q432" s="43" t="inlineStr">
        <is>
          <t>www.vence.io</t>
        </is>
      </c>
      <c r="R432" s="114">
        <f>HYPERLINK("https://my.pitchbook.com?c=171815-95", "View company online")</f>
      </c>
    </row>
    <row r="433">
      <c r="A433" s="9" t="inlineStr">
        <is>
          <t>167195-26</t>
        </is>
      </c>
      <c r="B433" s="10" t="inlineStr">
        <is>
          <t>VENA (atmosperic water generation technology company)</t>
        </is>
      </c>
      <c r="C433" s="11" t="n">
        <v>-3.2504033423422266E-5</v>
      </c>
      <c r="D433" s="12" t="n">
        <v>32.73277843850799</v>
      </c>
      <c r="E433" s="13" t="inlineStr">
        <is>
          <t/>
        </is>
      </c>
      <c r="F433" s="14" t="n">
        <v>7.0</v>
      </c>
      <c r="G433" s="15" t="n">
        <v>47.0</v>
      </c>
      <c r="H433" s="16" t="n">
        <v>46193.0</v>
      </c>
      <c r="I433" s="17" t="inlineStr">
        <is>
          <t/>
        </is>
      </c>
      <c r="J433" s="18" t="n">
        <v>0.3</v>
      </c>
      <c r="K433" s="19" t="inlineStr">
        <is>
          <t>Other Commercial Products</t>
        </is>
      </c>
      <c r="L433" s="20" t="inlineStr">
        <is>
          <t>Developer of atmospheric water generators. The company specializes in developing low cost atmospheric water generators and power-free water condensers that helps in providing water for people living in arid conditions.</t>
        </is>
      </c>
      <c r="M433" s="21" t="inlineStr">
        <is>
          <t>Los Angeles Cleantech Incubator, SDSU Zahn Innovation Center</t>
        </is>
      </c>
      <c r="N433" s="22" t="inlineStr">
        <is>
          <t>Accelerator/Incubator Backed</t>
        </is>
      </c>
      <c r="O433" s="23" t="inlineStr">
        <is>
          <t>Privately Held (backing)</t>
        </is>
      </c>
      <c r="P433" s="24" t="inlineStr">
        <is>
          <t>Los Angeles, CA</t>
        </is>
      </c>
      <c r="Q433" s="25" t="inlineStr">
        <is>
          <t>www.venawater.com</t>
        </is>
      </c>
      <c r="R433" s="113">
        <f>HYPERLINK("https://my.pitchbook.com?c=167195-26", "View company online")</f>
      </c>
    </row>
    <row r="434">
      <c r="A434" s="27" t="inlineStr">
        <is>
          <t>122547-52</t>
        </is>
      </c>
      <c r="B434" s="28" t="inlineStr">
        <is>
          <t>Velocity Signs</t>
        </is>
      </c>
      <c r="C434" s="29" t="n">
        <v>0.09398924829336136</v>
      </c>
      <c r="D434" s="30" t="n">
        <v>1.3732461880766964</v>
      </c>
      <c r="E434" s="31" t="inlineStr">
        <is>
          <t/>
        </is>
      </c>
      <c r="F434" s="32" t="n">
        <v>68.0</v>
      </c>
      <c r="G434" s="33" t="n">
        <v>414.0</v>
      </c>
      <c r="H434" s="34" t="n">
        <v>423.0</v>
      </c>
      <c r="I434" s="35" t="n">
        <v>3.0</v>
      </c>
      <c r="J434" s="36" t="n">
        <v>0.23</v>
      </c>
      <c r="K434" s="37" t="inlineStr">
        <is>
          <t>Electrical Equipment</t>
        </is>
      </c>
      <c r="L434" s="38" t="inlineStr">
        <is>
          <t>Manufacturer of portable and rechargeable sign-waving machines. The company manufactures battery operated, portable and durable sign-waving machines that help businesses to improve their sales by directing and informing customers about the businesses.</t>
        </is>
      </c>
      <c r="M434" s="39" t="inlineStr">
        <is>
          <t>Kevin O'Leary, Mark Cuban, Robert Herjavec</t>
        </is>
      </c>
      <c r="N434" s="40" t="inlineStr">
        <is>
          <t>Angel-Backed</t>
        </is>
      </c>
      <c r="O434" s="41" t="inlineStr">
        <is>
          <t>Privately Held (backing)</t>
        </is>
      </c>
      <c r="P434" s="42" t="inlineStr">
        <is>
          <t>Sacramento, CA</t>
        </is>
      </c>
      <c r="Q434" s="43" t="inlineStr">
        <is>
          <t>www.velocitysigns.com</t>
        </is>
      </c>
      <c r="R434" s="114">
        <f>HYPERLINK("https://my.pitchbook.com?c=122547-52", "View company online")</f>
      </c>
    </row>
    <row r="435">
      <c r="A435" s="9" t="inlineStr">
        <is>
          <t>106980-22</t>
        </is>
      </c>
      <c r="B435" s="10" t="inlineStr">
        <is>
          <t>Velo3D</t>
        </is>
      </c>
      <c r="C435" s="11" t="inlineStr">
        <is>
          <t/>
        </is>
      </c>
      <c r="D435" s="12" t="inlineStr">
        <is>
          <t/>
        </is>
      </c>
      <c r="E435" s="13" t="inlineStr">
        <is>
          <t/>
        </is>
      </c>
      <c r="F435" s="14" t="inlineStr">
        <is>
          <t/>
        </is>
      </c>
      <c r="G435" s="15" t="inlineStr">
        <is>
          <t/>
        </is>
      </c>
      <c r="H435" s="16" t="inlineStr">
        <is>
          <t/>
        </is>
      </c>
      <c r="I435" s="17" t="inlineStr">
        <is>
          <t/>
        </is>
      </c>
      <c r="J435" s="18" t="n">
        <v>22.09</v>
      </c>
      <c r="K435" s="19" t="inlineStr">
        <is>
          <t>Other Business Products and Services</t>
        </is>
      </c>
      <c r="L435" s="20" t="inlineStr">
        <is>
          <t>The company is currently operating in Stealth mode.</t>
        </is>
      </c>
      <c r="M435" s="21" t="inlineStr">
        <is>
          <t>Flextronics Lab IX, Khosla Ventures</t>
        </is>
      </c>
      <c r="N435" s="22" t="inlineStr">
        <is>
          <t>Accelerator/Incubator Backed</t>
        </is>
      </c>
      <c r="O435" s="23" t="inlineStr">
        <is>
          <t>Privately Held (backing)</t>
        </is>
      </c>
      <c r="P435" s="24" t="inlineStr">
        <is>
          <t>Santa Clara, CA</t>
        </is>
      </c>
      <c r="Q435" s="25" t="inlineStr">
        <is>
          <t/>
        </is>
      </c>
      <c r="R435" s="113">
        <f>HYPERLINK("https://my.pitchbook.com?c=106980-22", "View company online")</f>
      </c>
    </row>
    <row r="436">
      <c r="A436" s="27" t="inlineStr">
        <is>
          <t>112730-32</t>
        </is>
      </c>
      <c r="B436" s="28" t="inlineStr">
        <is>
          <t>Vega Energy Systems</t>
        </is>
      </c>
      <c r="C436" s="29" t="inlineStr">
        <is>
          <t/>
        </is>
      </c>
      <c r="D436" s="30" t="inlineStr">
        <is>
          <t/>
        </is>
      </c>
      <c r="E436" s="31" t="inlineStr">
        <is>
          <t/>
        </is>
      </c>
      <c r="F436" s="32" t="inlineStr">
        <is>
          <t/>
        </is>
      </c>
      <c r="G436" s="33" t="inlineStr">
        <is>
          <t/>
        </is>
      </c>
      <c r="H436" s="34" t="inlineStr">
        <is>
          <t/>
        </is>
      </c>
      <c r="I436" s="35" t="n">
        <v>3.0</v>
      </c>
      <c r="J436" s="36" t="n">
        <v>0.18</v>
      </c>
      <c r="K436" s="37" t="inlineStr">
        <is>
          <t>Alternative Energy Equipment</t>
        </is>
      </c>
      <c r="L436" s="38" t="inlineStr">
        <is>
          <t>Manufacturer of clean energy products. The company specializes in manufacturing a clean energy electrode by using carbon nano-tube technology.</t>
        </is>
      </c>
      <c r="M436" s="39" t="inlineStr">
        <is>
          <t/>
        </is>
      </c>
      <c r="N436" s="40" t="inlineStr">
        <is>
          <t>Angel-Backed</t>
        </is>
      </c>
      <c r="O436" s="41" t="inlineStr">
        <is>
          <t>Privately Held (backing)</t>
        </is>
      </c>
      <c r="P436" s="42" t="inlineStr">
        <is>
          <t>San Jose, CA</t>
        </is>
      </c>
      <c r="Q436" s="43" t="inlineStr">
        <is>
          <t>www.vegaenergysystems.com</t>
        </is>
      </c>
      <c r="R436" s="114">
        <f>HYPERLINK("https://my.pitchbook.com?c=112730-32", "View company online")</f>
      </c>
    </row>
    <row r="437">
      <c r="A437" s="9" t="inlineStr">
        <is>
          <t>102953-89</t>
        </is>
      </c>
      <c r="B437" s="10" t="inlineStr">
        <is>
          <t>Veestro</t>
        </is>
      </c>
      <c r="C437" s="11" t="n">
        <v>0.7037970105089992</v>
      </c>
      <c r="D437" s="12" t="n">
        <v>31.60996195426925</v>
      </c>
      <c r="E437" s="13" t="inlineStr">
        <is>
          <t/>
        </is>
      </c>
      <c r="F437" s="14" t="n">
        <v>402.0</v>
      </c>
      <c r="G437" s="15" t="n">
        <v>71437.0</v>
      </c>
      <c r="H437" s="16" t="n">
        <v>5527.0</v>
      </c>
      <c r="I437" s="17" t="n">
        <v>35.0</v>
      </c>
      <c r="J437" s="18" t="n">
        <v>5.8</v>
      </c>
      <c r="K437" s="19" t="inlineStr">
        <is>
          <t>Internet Retail</t>
        </is>
      </c>
      <c r="L437" s="20" t="inlineStr">
        <is>
          <t>Provider of a gourmet plant-based meal delivery service. The company's online service delivers meals directly to a nationwide customer base.</t>
        </is>
      </c>
      <c r="M437" s="21" t="inlineStr">
        <is>
          <t>Carlos Garcia de Paredes, Oliver Preuss</t>
        </is>
      </c>
      <c r="N437" s="22" t="inlineStr">
        <is>
          <t>Angel-Backed</t>
        </is>
      </c>
      <c r="O437" s="23" t="inlineStr">
        <is>
          <t>Privately Held (backing)</t>
        </is>
      </c>
      <c r="P437" s="24" t="inlineStr">
        <is>
          <t>Los Angeles, CA</t>
        </is>
      </c>
      <c r="Q437" s="25" t="inlineStr">
        <is>
          <t>www.veestro.com</t>
        </is>
      </c>
      <c r="R437" s="113">
        <f>HYPERLINK("https://my.pitchbook.com?c=102953-89", "View company online")</f>
      </c>
    </row>
    <row r="438">
      <c r="A438" s="27" t="inlineStr">
        <is>
          <t>177568-93</t>
        </is>
      </c>
      <c r="B438" s="28" t="inlineStr">
        <is>
          <t>VeepWorks</t>
        </is>
      </c>
      <c r="C438" s="86">
        <f>HYPERLINK("https://my.pitchbook.com?rrp=177568-93&amp;type=c", "This Company's information is not available to download. Need this Company? Request availability")</f>
      </c>
      <c r="D438" s="30" t="inlineStr">
        <is>
          <t/>
        </is>
      </c>
      <c r="E438" s="31" t="inlineStr">
        <is>
          <t/>
        </is>
      </c>
      <c r="F438" s="32" t="inlineStr">
        <is>
          <t/>
        </is>
      </c>
      <c r="G438" s="33" t="inlineStr">
        <is>
          <t/>
        </is>
      </c>
      <c r="H438" s="34" t="inlineStr">
        <is>
          <t/>
        </is>
      </c>
      <c r="I438" s="35" t="inlineStr">
        <is>
          <t/>
        </is>
      </c>
      <c r="J438" s="36" t="inlineStr">
        <is>
          <t/>
        </is>
      </c>
      <c r="K438" s="37" t="inlineStr">
        <is>
          <t/>
        </is>
      </c>
      <c r="L438" s="38" t="inlineStr">
        <is>
          <t/>
        </is>
      </c>
      <c r="M438" s="39" t="inlineStr">
        <is>
          <t/>
        </is>
      </c>
      <c r="N438" s="40" t="inlineStr">
        <is>
          <t/>
        </is>
      </c>
      <c r="O438" s="41" t="inlineStr">
        <is>
          <t/>
        </is>
      </c>
      <c r="P438" s="42" t="inlineStr">
        <is>
          <t/>
        </is>
      </c>
      <c r="Q438" s="43" t="inlineStr">
        <is>
          <t/>
        </is>
      </c>
      <c r="R438" s="44" t="inlineStr">
        <is>
          <t/>
        </is>
      </c>
    </row>
    <row r="439">
      <c r="A439" s="9" t="inlineStr">
        <is>
          <t>98445-07</t>
        </is>
      </c>
      <c r="B439" s="10" t="inlineStr">
        <is>
          <t>Veebot</t>
        </is>
      </c>
      <c r="C439" s="11" t="n">
        <v>-0.3630769915027165</v>
      </c>
      <c r="D439" s="12" t="n">
        <v>2.972972972972973</v>
      </c>
      <c r="E439" s="13" t="inlineStr">
        <is>
          <t/>
        </is>
      </c>
      <c r="F439" s="14" t="n">
        <v>110.0</v>
      </c>
      <c r="G439" s="15" t="inlineStr">
        <is>
          <t/>
        </is>
      </c>
      <c r="H439" s="16" t="inlineStr">
        <is>
          <t/>
        </is>
      </c>
      <c r="I439" s="17" t="n">
        <v>3.0</v>
      </c>
      <c r="J439" s="18" t="inlineStr">
        <is>
          <t/>
        </is>
      </c>
      <c r="K439" s="19" t="inlineStr">
        <is>
          <t>Diagnostic Equipment</t>
        </is>
      </c>
      <c r="L439" s="20" t="inlineStr">
        <is>
          <t>Developer of a robotic device for automating venipuncture. The company develops a robotic device which automates the procedure of blood sampling of venous blood through computer vision.</t>
        </is>
      </c>
      <c r="M439" s="21" t="inlineStr">
        <is>
          <t>Business Association of Stanford Entrepreneurial Students, StartX</t>
        </is>
      </c>
      <c r="N439" s="22" t="inlineStr">
        <is>
          <t>Accelerator/Incubator Backed</t>
        </is>
      </c>
      <c r="O439" s="23" t="inlineStr">
        <is>
          <t>Privately Held (backing)</t>
        </is>
      </c>
      <c r="P439" s="24" t="inlineStr">
        <is>
          <t>Mountain View, CA</t>
        </is>
      </c>
      <c r="Q439" s="25" t="inlineStr">
        <is>
          <t>www.veebot.com</t>
        </is>
      </c>
      <c r="R439" s="113">
        <f>HYPERLINK("https://my.pitchbook.com?c=98445-07", "View company online")</f>
      </c>
    </row>
    <row r="440">
      <c r="A440" s="27" t="inlineStr">
        <is>
          <t>157896-73</t>
        </is>
      </c>
      <c r="B440" s="28" t="inlineStr">
        <is>
          <t>Vector Space Systems</t>
        </is>
      </c>
      <c r="C440" s="29" t="n">
        <v>2.2145773519695244</v>
      </c>
      <c r="D440" s="30" t="n">
        <v>6.1105595989715376</v>
      </c>
      <c r="E440" s="31" t="inlineStr">
        <is>
          <t/>
        </is>
      </c>
      <c r="F440" s="32" t="n">
        <v>94.0</v>
      </c>
      <c r="G440" s="33" t="n">
        <v>7954.0</v>
      </c>
      <c r="H440" s="34" t="n">
        <v>3293.0</v>
      </c>
      <c r="I440" s="35" t="inlineStr">
        <is>
          <t/>
        </is>
      </c>
      <c r="J440" s="36" t="n">
        <v>4.1</v>
      </c>
      <c r="K440" s="37" t="inlineStr">
        <is>
          <t>Aerospace and Defense</t>
        </is>
      </c>
      <c r="L440" s="38" t="inlineStr">
        <is>
          <t>Developer of low-cost micro satellites designed to space startups with space access. The company services micro satellites through low-cost frequent launches and software defined satellites to lower the barrier of entry to innovation and commerce in outer space enabling startups to focus on their innovations and reduce launch costs.</t>
        </is>
      </c>
      <c r="M440" s="39" t="inlineStr">
        <is>
          <t>daVinci Capital Group, Defense Advanced Research Projects Agency, Kanematsu, Make In LA, Matthew Conover, Matthew Keezer, NASA Ames Research Center, Nick Karangelan, Shaun Coleman, Space Angels Network</t>
        </is>
      </c>
      <c r="N440" s="40" t="inlineStr">
        <is>
          <t>Angel-Backed</t>
        </is>
      </c>
      <c r="O440" s="41" t="inlineStr">
        <is>
          <t>Privately Held (backing)</t>
        </is>
      </c>
      <c r="P440" s="42" t="inlineStr">
        <is>
          <t>Los Angeles, CA</t>
        </is>
      </c>
      <c r="Q440" s="43" t="inlineStr">
        <is>
          <t>www.vectorspacesystems.com</t>
        </is>
      </c>
      <c r="R440" s="114">
        <f>HYPERLINK("https://my.pitchbook.com?c=157896-73", "View company online")</f>
      </c>
    </row>
    <row r="441">
      <c r="A441" s="9" t="inlineStr">
        <is>
          <t>51502-87</t>
        </is>
      </c>
      <c r="B441" s="10" t="inlineStr">
        <is>
          <t>vChatter</t>
        </is>
      </c>
      <c r="C441" s="11" t="n">
        <v>0.00467037962227164</v>
      </c>
      <c r="D441" s="12" t="n">
        <v>1.5982588020170925</v>
      </c>
      <c r="E441" s="13" t="inlineStr">
        <is>
          <t/>
        </is>
      </c>
      <c r="F441" s="14" t="n">
        <v>96.0</v>
      </c>
      <c r="G441" s="15" t="n">
        <v>960.0</v>
      </c>
      <c r="H441" s="16" t="n">
        <v>4.0</v>
      </c>
      <c r="I441" s="17" t="n">
        <v>5.0</v>
      </c>
      <c r="J441" s="18" t="n">
        <v>0.6</v>
      </c>
      <c r="K441" s="19" t="inlineStr">
        <is>
          <t>Application Software</t>
        </is>
      </c>
      <c r="L441" s="20" t="inlineStr">
        <is>
          <t>Provider of a live video chat application to connect with friends and family on Facebook.</t>
        </is>
      </c>
      <c r="M441" s="21" t="inlineStr">
        <is>
          <t>Individual Investor</t>
        </is>
      </c>
      <c r="N441" s="22" t="inlineStr">
        <is>
          <t>Angel-Backed</t>
        </is>
      </c>
      <c r="O441" s="23" t="inlineStr">
        <is>
          <t>Privately Held (backing)</t>
        </is>
      </c>
      <c r="P441" s="24" t="inlineStr">
        <is>
          <t>Menlo Park, CA</t>
        </is>
      </c>
      <c r="Q441" s="25" t="inlineStr">
        <is>
          <t>www.vchatter.com</t>
        </is>
      </c>
      <c r="R441" s="113">
        <f>HYPERLINK("https://my.pitchbook.com?c=51502-87", "View company online")</f>
      </c>
    </row>
    <row r="442">
      <c r="A442" s="27" t="inlineStr">
        <is>
          <t>102570-85</t>
        </is>
      </c>
      <c r="B442" s="28" t="inlineStr">
        <is>
          <t>Vascular Designs</t>
        </is>
      </c>
      <c r="C442" s="29" t="n">
        <v>-0.0015909840931486886</v>
      </c>
      <c r="D442" s="30" t="n">
        <v>1.338316503681279</v>
      </c>
      <c r="E442" s="31" t="inlineStr">
        <is>
          <t/>
        </is>
      </c>
      <c r="F442" s="32" t="n">
        <v>36.0</v>
      </c>
      <c r="G442" s="33" t="n">
        <v>196.0</v>
      </c>
      <c r="H442" s="34" t="n">
        <v>1120.0</v>
      </c>
      <c r="I442" s="35" t="n">
        <v>10.0</v>
      </c>
      <c r="J442" s="36" t="n">
        <v>1.98</v>
      </c>
      <c r="K442" s="37" t="inlineStr">
        <is>
          <t>Therapeutic Devices</t>
        </is>
      </c>
      <c r="L442" s="38" t="inlineStr">
        <is>
          <t>Developer of a drug infusion system for the people suffering from cancer. The company develops and markets an endovascular device which provides direct drug delivery to tumors and other delivery applications.</t>
        </is>
      </c>
      <c r="M442" s="39" t="inlineStr">
        <is>
          <t/>
        </is>
      </c>
      <c r="N442" s="40" t="inlineStr">
        <is>
          <t>Angel-Backed</t>
        </is>
      </c>
      <c r="O442" s="41" t="inlineStr">
        <is>
          <t>Privately Held (backing)</t>
        </is>
      </c>
      <c r="P442" s="42" t="inlineStr">
        <is>
          <t>San Jose, CA</t>
        </is>
      </c>
      <c r="Q442" s="43" t="inlineStr">
        <is>
          <t>www.vasculardesigns.com</t>
        </is>
      </c>
      <c r="R442" s="114">
        <f>HYPERLINK("https://my.pitchbook.com?c=102570-85", "View company online")</f>
      </c>
    </row>
    <row r="443">
      <c r="A443" s="9" t="inlineStr">
        <is>
          <t>109453-78</t>
        </is>
      </c>
      <c r="B443" s="10" t="inlineStr">
        <is>
          <t>Vasari Energy</t>
        </is>
      </c>
      <c r="C443" s="11" t="n">
        <v>-0.029071017619553427</v>
      </c>
      <c r="D443" s="12" t="n">
        <v>1.5792504711259316</v>
      </c>
      <c r="E443" s="13" t="inlineStr">
        <is>
          <t/>
        </is>
      </c>
      <c r="F443" s="14" t="n">
        <v>60.0</v>
      </c>
      <c r="G443" s="15" t="n">
        <v>522.0</v>
      </c>
      <c r="H443" s="16" t="n">
        <v>859.0</v>
      </c>
      <c r="I443" s="17" t="n">
        <v>3.0</v>
      </c>
      <c r="J443" s="18" t="n">
        <v>3.06</v>
      </c>
      <c r="K443" s="19" t="inlineStr">
        <is>
          <t>Alternative Energy Equipment</t>
        </is>
      </c>
      <c r="L443" s="20" t="inlineStr">
        <is>
          <t>Developer of utility-scale electric power plants designed to produce clean energy. The company develops, engineers, finances and constructs solar power-generating facilities worldwide enabling users to have access to clean energy all around the clock.</t>
        </is>
      </c>
      <c r="M443" s="21" t="inlineStr">
        <is>
          <t>John Lyons</t>
        </is>
      </c>
      <c r="N443" s="22" t="inlineStr">
        <is>
          <t>Angel-Backed</t>
        </is>
      </c>
      <c r="O443" s="23" t="inlineStr">
        <is>
          <t>Privately Held (backing)</t>
        </is>
      </c>
      <c r="P443" s="24" t="inlineStr">
        <is>
          <t>Irvine, CA</t>
        </is>
      </c>
      <c r="Q443" s="25" t="inlineStr">
        <is>
          <t>www.vasarienergy.com</t>
        </is>
      </c>
      <c r="R443" s="113">
        <f>HYPERLINK("https://my.pitchbook.com?c=109453-78", "View company online")</f>
      </c>
    </row>
    <row r="444">
      <c r="A444" s="27" t="inlineStr">
        <is>
          <t>98419-96</t>
        </is>
      </c>
      <c r="B444" s="28" t="inlineStr">
        <is>
          <t>Varinode</t>
        </is>
      </c>
      <c r="C444" s="29" t="n">
        <v>0.057246068145568846</v>
      </c>
      <c r="D444" s="30" t="n">
        <v>0.174527569995514</v>
      </c>
      <c r="E444" s="31" t="inlineStr">
        <is>
          <t/>
        </is>
      </c>
      <c r="F444" s="32" t="n">
        <v>7.0</v>
      </c>
      <c r="G444" s="33" t="n">
        <v>221.0</v>
      </c>
      <c r="H444" s="34" t="n">
        <v>16.0</v>
      </c>
      <c r="I444" s="35" t="inlineStr">
        <is>
          <t/>
        </is>
      </c>
      <c r="J444" s="36" t="inlineStr">
        <is>
          <t/>
        </is>
      </c>
      <c r="K444" s="37" t="inlineStr">
        <is>
          <t>Internet Retail</t>
        </is>
      </c>
      <c r="L444" s="38" t="inlineStr">
        <is>
          <t>Provider of an online shopping streamline platform. The company offers an application program interface that enables users to shop from multiple retailers without redirecting to retailer's website.</t>
        </is>
      </c>
      <c r="M444" s="39" t="inlineStr">
        <is>
          <t>Plug and Play Tech Center</t>
        </is>
      </c>
      <c r="N444" s="40" t="inlineStr">
        <is>
          <t>Accelerator/Incubator Backed</t>
        </is>
      </c>
      <c r="O444" s="41" t="inlineStr">
        <is>
          <t>Privately Held (backing)</t>
        </is>
      </c>
      <c r="P444" s="42" t="inlineStr">
        <is>
          <t>San Jose, CA</t>
        </is>
      </c>
      <c r="Q444" s="43" t="inlineStr">
        <is>
          <t>www.varinode.com</t>
        </is>
      </c>
      <c r="R444" s="114">
        <f>HYPERLINK("https://my.pitchbook.com?c=98419-96", "View company online")</f>
      </c>
    </row>
    <row r="445">
      <c r="A445" s="9" t="inlineStr">
        <is>
          <t>119565-82</t>
        </is>
      </c>
      <c r="B445" s="10" t="inlineStr">
        <is>
          <t>VapeXhale</t>
        </is>
      </c>
      <c r="C445" s="11" t="n">
        <v>0.41262391666128234</v>
      </c>
      <c r="D445" s="12" t="n">
        <v>7.551076500229042</v>
      </c>
      <c r="E445" s="13" t="inlineStr">
        <is>
          <t/>
        </is>
      </c>
      <c r="F445" s="14" t="n">
        <v>289.0</v>
      </c>
      <c r="G445" s="15" t="inlineStr">
        <is>
          <t/>
        </is>
      </c>
      <c r="H445" s="16" t="n">
        <v>2560.0</v>
      </c>
      <c r="I445" s="17" t="n">
        <v>6.0</v>
      </c>
      <c r="J445" s="18" t="n">
        <v>0.14</v>
      </c>
      <c r="K445" s="19" t="inlineStr">
        <is>
          <t>Other Pharmaceuticals and Biotechnology</t>
        </is>
      </c>
      <c r="L445" s="20" t="inlineStr">
        <is>
          <t>Manufacturer of vaporizers for medical industry. The company designs, engineers, manufactures and distributes vaporization products for medical companies.</t>
        </is>
      </c>
      <c r="M445" s="21" t="inlineStr">
        <is>
          <t>Shariq Minhas, Wearable IoT World</t>
        </is>
      </c>
      <c r="N445" s="22" t="inlineStr">
        <is>
          <t>Accelerator/Incubator Backed</t>
        </is>
      </c>
      <c r="O445" s="23" t="inlineStr">
        <is>
          <t>Privately Held (backing)</t>
        </is>
      </c>
      <c r="P445" s="24" t="inlineStr">
        <is>
          <t>San Francisco, CA</t>
        </is>
      </c>
      <c r="Q445" s="25" t="inlineStr">
        <is>
          <t>www.vapexhale.com</t>
        </is>
      </c>
      <c r="R445" s="113">
        <f>HYPERLINK("https://my.pitchbook.com?c=119565-82", "View company online")</f>
      </c>
    </row>
    <row r="446">
      <c r="A446" s="27" t="inlineStr">
        <is>
          <t>102895-39</t>
        </is>
      </c>
      <c r="B446" s="28" t="inlineStr">
        <is>
          <t>Vantage.TV</t>
        </is>
      </c>
      <c r="C446" s="29" t="n">
        <v>-2.7444654491924427</v>
      </c>
      <c r="D446" s="30" t="n">
        <v>2.203406854585926</v>
      </c>
      <c r="E446" s="31" t="inlineStr">
        <is>
          <t/>
        </is>
      </c>
      <c r="F446" s="32" t="n">
        <v>92.0</v>
      </c>
      <c r="G446" s="33" t="n">
        <v>955.0</v>
      </c>
      <c r="H446" s="34" t="n">
        <v>1054.0</v>
      </c>
      <c r="I446" s="35" t="n">
        <v>2.0</v>
      </c>
      <c r="J446" s="36" t="n">
        <v>0.1</v>
      </c>
      <c r="K446" s="37" t="inlineStr">
        <is>
          <t>Social/Platform Software</t>
        </is>
      </c>
      <c r="L446" s="38" t="inlineStr">
        <is>
          <t>Provider of an event management platform. The company's software enables its users to get access to all virtual reality events offering live events viewing experience.</t>
        </is>
      </c>
      <c r="M446" s="39" t="inlineStr">
        <is>
          <t>River</t>
        </is>
      </c>
      <c r="N446" s="40" t="inlineStr">
        <is>
          <t>Accelerator/Incubator Backed</t>
        </is>
      </c>
      <c r="O446" s="41" t="inlineStr">
        <is>
          <t>Privately Held (backing)</t>
        </is>
      </c>
      <c r="P446" s="42" t="inlineStr">
        <is>
          <t>San Francisco, CA</t>
        </is>
      </c>
      <c r="Q446" s="43" t="inlineStr">
        <is>
          <t>www.vantage.tv</t>
        </is>
      </c>
      <c r="R446" s="114">
        <f>HYPERLINK("https://my.pitchbook.com?c=102895-39", "View company online")</f>
      </c>
    </row>
    <row r="447">
      <c r="A447" s="9" t="inlineStr">
        <is>
          <t>122183-38</t>
        </is>
      </c>
      <c r="B447" s="10" t="inlineStr">
        <is>
          <t>Vantage Point Group Holding Company</t>
        </is>
      </c>
      <c r="C447" s="11" t="inlineStr">
        <is>
          <t/>
        </is>
      </c>
      <c r="D447" s="12" t="inlineStr">
        <is>
          <t/>
        </is>
      </c>
      <c r="E447" s="13" t="inlineStr">
        <is>
          <t/>
        </is>
      </c>
      <c r="F447" s="14" t="inlineStr">
        <is>
          <t/>
        </is>
      </c>
      <c r="G447" s="15" t="inlineStr">
        <is>
          <t/>
        </is>
      </c>
      <c r="H447" s="16" t="inlineStr">
        <is>
          <t/>
        </is>
      </c>
      <c r="I447" s="17" t="inlineStr">
        <is>
          <t/>
        </is>
      </c>
      <c r="J447" s="18" t="n">
        <v>1.0</v>
      </c>
      <c r="K447" s="19" t="inlineStr">
        <is>
          <t>Other Business Products and Services</t>
        </is>
      </c>
      <c r="L447" s="20" t="inlineStr">
        <is>
          <t>The company is currently operating in Stealth mode.</t>
        </is>
      </c>
      <c r="M447" s="21" t="inlineStr">
        <is>
          <t/>
        </is>
      </c>
      <c r="N447" s="22" t="inlineStr">
        <is>
          <t>Angel-Backed</t>
        </is>
      </c>
      <c r="O447" s="23" t="inlineStr">
        <is>
          <t>Privately Held (backing)</t>
        </is>
      </c>
      <c r="P447" s="24" t="inlineStr">
        <is>
          <t>Diamond Bar, CA</t>
        </is>
      </c>
      <c r="Q447" s="25" t="inlineStr">
        <is>
          <t/>
        </is>
      </c>
      <c r="R447" s="113">
        <f>HYPERLINK("https://my.pitchbook.com?c=122183-38", "View company online")</f>
      </c>
    </row>
    <row r="448">
      <c r="A448" s="27" t="inlineStr">
        <is>
          <t>109937-71</t>
        </is>
      </c>
      <c r="B448" s="28" t="inlineStr">
        <is>
          <t>Vantage Partners (Executive Search)</t>
        </is>
      </c>
      <c r="C448" s="29" t="n">
        <v>-0.015549064916539165</v>
      </c>
      <c r="D448" s="30" t="n">
        <v>2.6227548845824455</v>
      </c>
      <c r="E448" s="31" t="inlineStr">
        <is>
          <t/>
        </is>
      </c>
      <c r="F448" s="32" t="n">
        <v>10.0</v>
      </c>
      <c r="G448" s="33" t="n">
        <v>42.0</v>
      </c>
      <c r="H448" s="34" t="n">
        <v>3503.0</v>
      </c>
      <c r="I448" s="35" t="inlineStr">
        <is>
          <t/>
        </is>
      </c>
      <c r="J448" s="36" t="inlineStr">
        <is>
          <t/>
        </is>
      </c>
      <c r="K448" s="37" t="inlineStr">
        <is>
          <t>Human Capital Services</t>
        </is>
      </c>
      <c r="L448" s="38" t="inlineStr">
        <is>
          <t>Provider of an online platform to search executives. The company focuses on executive search specializing in building executive management teams for other organizations and venture-backed start-ups.</t>
        </is>
      </c>
      <c r="M448" s="39" t="inlineStr">
        <is>
          <t>Hen House Ventures</t>
        </is>
      </c>
      <c r="N448" s="40" t="inlineStr">
        <is>
          <t>Accelerator/Incubator Backed</t>
        </is>
      </c>
      <c r="O448" s="41" t="inlineStr">
        <is>
          <t>Privately Held (backing)</t>
        </is>
      </c>
      <c r="P448" s="42" t="inlineStr">
        <is>
          <t>San Francisco, CA</t>
        </is>
      </c>
      <c r="Q448" s="43" t="inlineStr">
        <is>
          <t>www.vantagepartners.net</t>
        </is>
      </c>
      <c r="R448" s="114">
        <f>HYPERLINK("https://my.pitchbook.com?c=109937-71", "View company online")</f>
      </c>
    </row>
    <row r="449">
      <c r="A449" s="9" t="inlineStr">
        <is>
          <t>110541-07</t>
        </is>
      </c>
      <c r="B449" s="10" t="inlineStr">
        <is>
          <t>Vanguard Therapeutics</t>
        </is>
      </c>
      <c r="C449" s="11" t="inlineStr">
        <is>
          <t/>
        </is>
      </c>
      <c r="D449" s="12" t="inlineStr">
        <is>
          <t/>
        </is>
      </c>
      <c r="E449" s="13" t="inlineStr">
        <is>
          <t/>
        </is>
      </c>
      <c r="F449" s="14" t="inlineStr">
        <is>
          <t/>
        </is>
      </c>
      <c r="G449" s="15" t="inlineStr">
        <is>
          <t/>
        </is>
      </c>
      <c r="H449" s="16" t="inlineStr">
        <is>
          <t/>
        </is>
      </c>
      <c r="I449" s="17" t="n">
        <v>2.0</v>
      </c>
      <c r="J449" s="18" t="inlineStr">
        <is>
          <t/>
        </is>
      </c>
      <c r="K449" s="19" t="inlineStr">
        <is>
          <t>Drug Discovery</t>
        </is>
      </c>
      <c r="L449" s="20" t="inlineStr">
        <is>
          <t>Developer of therapy for sickle cell disease that targets the process that drives sickle cell disease -- abnormal blood flow. The company's oral drug that blocks the cell adhesion molecule P-selectin addresses the problem of sickle red blood cells sticking to the vascular endothelium, helping to improve blood flow, mitigate acute painful crises, and improve the quality of life of patients with sickle cell disease.</t>
        </is>
      </c>
      <c r="M449" s="21" t="inlineStr">
        <is>
          <t>BayBio FAST, California Institute for Quantitative Biosciences, U.S. Department of Health and Human Services</t>
        </is>
      </c>
      <c r="N449" s="22" t="inlineStr">
        <is>
          <t>Accelerator/Incubator Backed</t>
        </is>
      </c>
      <c r="O449" s="23" t="inlineStr">
        <is>
          <t>Privately Held (backing)</t>
        </is>
      </c>
      <c r="P449" s="24" t="inlineStr">
        <is>
          <t>Half Moon Bay, CA</t>
        </is>
      </c>
      <c r="Q449" s="25" t="inlineStr">
        <is>
          <t/>
        </is>
      </c>
      <c r="R449" s="113">
        <f>HYPERLINK("https://my.pitchbook.com?c=110541-07", "View company online")</f>
      </c>
    </row>
    <row r="450">
      <c r="A450" s="27" t="inlineStr">
        <is>
          <t>126492-13</t>
        </is>
      </c>
      <c r="B450" s="28" t="inlineStr">
        <is>
          <t>Vanadis</t>
        </is>
      </c>
      <c r="C450" s="29" t="n">
        <v>0.0</v>
      </c>
      <c r="D450" s="30" t="n">
        <v>0.10810810810810811</v>
      </c>
      <c r="E450" s="31" t="inlineStr">
        <is>
          <t/>
        </is>
      </c>
      <c r="F450" s="32" t="n">
        <v>4.0</v>
      </c>
      <c r="G450" s="33" t="inlineStr">
        <is>
          <t/>
        </is>
      </c>
      <c r="H450" s="34" t="inlineStr">
        <is>
          <t/>
        </is>
      </c>
      <c r="I450" s="35" t="inlineStr">
        <is>
          <t/>
        </is>
      </c>
      <c r="J450" s="36" t="inlineStr">
        <is>
          <t/>
        </is>
      </c>
      <c r="K450" s="37" t="inlineStr">
        <is>
          <t>Other Healthcare Technology Systems</t>
        </is>
      </c>
      <c r="L450" s="38" t="inlineStr">
        <is>
          <t>Owner and operator of a medical technology company. The company specializes in protein chemistry and immunology and analyzes cosmetic products for antigens from natural rubber latex.</t>
        </is>
      </c>
      <c r="M450" s="39" t="inlineStr">
        <is>
          <t>Bio, Tech and Beyond</t>
        </is>
      </c>
      <c r="N450" s="40" t="inlineStr">
        <is>
          <t>Accelerator/Incubator Backed</t>
        </is>
      </c>
      <c r="O450" s="41" t="inlineStr">
        <is>
          <t>Privately Held (backing)</t>
        </is>
      </c>
      <c r="P450" s="42" t="inlineStr">
        <is>
          <t>Carlsbad, CA</t>
        </is>
      </c>
      <c r="Q450" s="43" t="inlineStr">
        <is>
          <t>www.vanadislabs.com</t>
        </is>
      </c>
      <c r="R450" s="114">
        <f>HYPERLINK("https://my.pitchbook.com?c=126492-13", "View company online")</f>
      </c>
    </row>
    <row r="451">
      <c r="A451" s="9" t="inlineStr">
        <is>
          <t>170939-62</t>
        </is>
      </c>
      <c r="B451" s="10" t="inlineStr">
        <is>
          <t>Vampr</t>
        </is>
      </c>
      <c r="C451" s="11" t="n">
        <v>0.07365598287133389</v>
      </c>
      <c r="D451" s="12" t="n">
        <v>10.620216732154832</v>
      </c>
      <c r="E451" s="13" t="inlineStr">
        <is>
          <t/>
        </is>
      </c>
      <c r="F451" s="14" t="n">
        <v>34.0</v>
      </c>
      <c r="G451" s="15" t="n">
        <v>10466.0</v>
      </c>
      <c r="H451" s="16" t="n">
        <v>9806.0</v>
      </c>
      <c r="I451" s="17" t="inlineStr">
        <is>
          <t/>
        </is>
      </c>
      <c r="J451" s="18" t="n">
        <v>0.69</v>
      </c>
      <c r="K451" s="19" t="inlineStr">
        <is>
          <t>Application Software</t>
        </is>
      </c>
      <c r="L451" s="20" t="inlineStr">
        <is>
          <t>Developer of an application designed to help musicians discover, connect and collaborate with fellow musicians, music industry personnel and music lovers alike. The company's application allows users to find a local guitarist, singer or producer for latest projects, audition for a punk on the other side of the planet, or simply discover new friends with the same taste in music.</t>
        </is>
      </c>
      <c r="M451" s="21" t="inlineStr">
        <is>
          <t/>
        </is>
      </c>
      <c r="N451" s="22" t="inlineStr">
        <is>
          <t>Angel-Backed</t>
        </is>
      </c>
      <c r="O451" s="23" t="inlineStr">
        <is>
          <t>Privately Held (backing)</t>
        </is>
      </c>
      <c r="P451" s="24" t="inlineStr">
        <is>
          <t>Los Angeles, CA</t>
        </is>
      </c>
      <c r="Q451" s="25" t="inlineStr">
        <is>
          <t>www.vampr.me</t>
        </is>
      </c>
      <c r="R451" s="113">
        <f>HYPERLINK("https://my.pitchbook.com?c=170939-62", "View company online")</f>
      </c>
    </row>
    <row r="452">
      <c r="A452" s="27" t="inlineStr">
        <is>
          <t>120986-47</t>
        </is>
      </c>
      <c r="B452" s="28" t="inlineStr">
        <is>
          <t>Vama</t>
        </is>
      </c>
      <c r="C452" s="29" t="n">
        <v>0.0</v>
      </c>
      <c r="D452" s="30" t="n">
        <v>0.05183997556878913</v>
      </c>
      <c r="E452" s="31" t="inlineStr">
        <is>
          <t/>
        </is>
      </c>
      <c r="F452" s="32" t="n">
        <v>3.0</v>
      </c>
      <c r="G452" s="33" t="inlineStr">
        <is>
          <t/>
        </is>
      </c>
      <c r="H452" s="34" t="n">
        <v>8.0</v>
      </c>
      <c r="I452" s="35" t="n">
        <v>15.0</v>
      </c>
      <c r="J452" s="36" t="n">
        <v>1.44</v>
      </c>
      <c r="K452" s="37" t="inlineStr">
        <is>
          <t>Other Consumer Products and Services</t>
        </is>
      </c>
      <c r="L452" s="38" t="inlineStr">
        <is>
          <t>Owner and operator of a biotechnology company. The company offers non-toxic pest control chemicals and devices using receptor binding technology for hotels, offices, healthcare facilities, ships and cinemas.</t>
        </is>
      </c>
      <c r="M452" s="39" t="inlineStr">
        <is>
          <t/>
        </is>
      </c>
      <c r="N452" s="40" t="inlineStr">
        <is>
          <t>Angel-Backed</t>
        </is>
      </c>
      <c r="O452" s="41" t="inlineStr">
        <is>
          <t>Privately Held (backing)</t>
        </is>
      </c>
      <c r="P452" s="42" t="inlineStr">
        <is>
          <t>San Mateo, CA</t>
        </is>
      </c>
      <c r="Q452" s="43" t="inlineStr">
        <is>
          <t>www.vamainc.com</t>
        </is>
      </c>
      <c r="R452" s="114">
        <f>HYPERLINK("https://my.pitchbook.com?c=120986-47", "View company online")</f>
      </c>
    </row>
    <row r="453">
      <c r="A453" s="9" t="inlineStr">
        <is>
          <t>176580-64</t>
        </is>
      </c>
      <c r="B453" s="10" t="inlineStr">
        <is>
          <t>Value This Now</t>
        </is>
      </c>
      <c r="C453" s="85">
        <f>HYPERLINK("https://my.pitchbook.com?rrp=176580-64&amp;type=c", "This Company's information is not available to download. Need this Company? Request availability")</f>
      </c>
      <c r="D453" s="12" t="inlineStr">
        <is>
          <t/>
        </is>
      </c>
      <c r="E453" s="13" t="inlineStr">
        <is>
          <t/>
        </is>
      </c>
      <c r="F453" s="14" t="inlineStr">
        <is>
          <t/>
        </is>
      </c>
      <c r="G453" s="15" t="inlineStr">
        <is>
          <t/>
        </is>
      </c>
      <c r="H453" s="16" t="inlineStr">
        <is>
          <t/>
        </is>
      </c>
      <c r="I453" s="17" t="inlineStr">
        <is>
          <t/>
        </is>
      </c>
      <c r="J453" s="18" t="inlineStr">
        <is>
          <t/>
        </is>
      </c>
      <c r="K453" s="19" t="inlineStr">
        <is>
          <t/>
        </is>
      </c>
      <c r="L453" s="20" t="inlineStr">
        <is>
          <t/>
        </is>
      </c>
      <c r="M453" s="21" t="inlineStr">
        <is>
          <t/>
        </is>
      </c>
      <c r="N453" s="22" t="inlineStr">
        <is>
          <t/>
        </is>
      </c>
      <c r="O453" s="23" t="inlineStr">
        <is>
          <t/>
        </is>
      </c>
      <c r="P453" s="24" t="inlineStr">
        <is>
          <t/>
        </is>
      </c>
      <c r="Q453" s="25" t="inlineStr">
        <is>
          <t/>
        </is>
      </c>
      <c r="R453" s="26" t="inlineStr">
        <is>
          <t/>
        </is>
      </c>
    </row>
    <row r="454">
      <c r="A454" s="27" t="inlineStr">
        <is>
          <t>127665-10</t>
        </is>
      </c>
      <c r="B454" s="28" t="inlineStr">
        <is>
          <t>Vali Nanomedical</t>
        </is>
      </c>
      <c r="C454" s="29" t="n">
        <v>-0.05435087563062671</v>
      </c>
      <c r="D454" s="30" t="n">
        <v>0.44544968697511067</v>
      </c>
      <c r="E454" s="31" t="inlineStr">
        <is>
          <t/>
        </is>
      </c>
      <c r="F454" s="32" t="n">
        <v>13.0</v>
      </c>
      <c r="G454" s="33" t="n">
        <v>227.0</v>
      </c>
      <c r="H454" s="34" t="n">
        <v>190.0</v>
      </c>
      <c r="I454" s="35" t="inlineStr">
        <is>
          <t/>
        </is>
      </c>
      <c r="J454" s="36" t="n">
        <v>0.25</v>
      </c>
      <c r="K454" s="37" t="inlineStr">
        <is>
          <t>Diagnostic Equipment</t>
        </is>
      </c>
      <c r="L454" s="38" t="inlineStr">
        <is>
          <t>Developer of a drug delivery platform. The company develops a multi-drug delivery platform using proprietary nano particles with multi-layered structure.</t>
        </is>
      </c>
      <c r="M454" s="39" t="inlineStr">
        <is>
          <t>SOSV</t>
        </is>
      </c>
      <c r="N454" s="40" t="inlineStr">
        <is>
          <t>Accelerator/Incubator Backed</t>
        </is>
      </c>
      <c r="O454" s="41" t="inlineStr">
        <is>
          <t>Privately Held (backing)</t>
        </is>
      </c>
      <c r="P454" s="42" t="inlineStr">
        <is>
          <t>San Francisco, CA</t>
        </is>
      </c>
      <c r="Q454" s="43" t="inlineStr">
        <is>
          <t>www.valinano.com</t>
        </is>
      </c>
      <c r="R454" s="114">
        <f>HYPERLINK("https://my.pitchbook.com?c=127665-10", "View company online")</f>
      </c>
    </row>
    <row r="455">
      <c r="A455" s="9" t="inlineStr">
        <is>
          <t>109718-29</t>
        </is>
      </c>
      <c r="B455" s="10" t="inlineStr">
        <is>
          <t>Valencia Technologies</t>
        </is>
      </c>
      <c r="C455" s="11" t="n">
        <v>-0.02314594738494724</v>
      </c>
      <c r="D455" s="12" t="n">
        <v>0.6467108913313777</v>
      </c>
      <c r="E455" s="13" t="inlineStr">
        <is>
          <t/>
        </is>
      </c>
      <c r="F455" s="14" t="n">
        <v>24.0</v>
      </c>
      <c r="G455" s="15" t="n">
        <v>83.0</v>
      </c>
      <c r="H455" s="16" t="n">
        <v>420.0</v>
      </c>
      <c r="I455" s="17" t="n">
        <v>12.0</v>
      </c>
      <c r="J455" s="18" t="n">
        <v>13.4</v>
      </c>
      <c r="K455" s="19" t="inlineStr">
        <is>
          <t>Therapeutic Devices</t>
        </is>
      </c>
      <c r="L455" s="20" t="inlineStr">
        <is>
          <t>Manufacturer of a coin sized pacemaker like device created to help in the treatment of major chronic hypertension. The company's coin sized pacemaker like device can easily be placed just under the skin in the forearm and offers an affordable and non-drug therapy way to reduce blood pressure, risk of cardiovascular disease and stroke in patients, enabling them to recover hypertension and blood pressure.</t>
        </is>
      </c>
      <c r="M455" s="21" t="inlineStr">
        <is>
          <t>Jeff Greiner</t>
        </is>
      </c>
      <c r="N455" s="22" t="inlineStr">
        <is>
          <t>Angel-Backed</t>
        </is>
      </c>
      <c r="O455" s="23" t="inlineStr">
        <is>
          <t>Privately Held (backing)</t>
        </is>
      </c>
      <c r="P455" s="24" t="inlineStr">
        <is>
          <t>Santa Clarita, CA</t>
        </is>
      </c>
      <c r="Q455" s="25" t="inlineStr">
        <is>
          <t>www.valenciatechnologies.com</t>
        </is>
      </c>
      <c r="R455" s="113">
        <f>HYPERLINK("https://my.pitchbook.com?c=109718-29", "View company online")</f>
      </c>
    </row>
    <row r="456">
      <c r="A456" s="27" t="inlineStr">
        <is>
          <t>110811-97</t>
        </is>
      </c>
      <c r="B456" s="28" t="inlineStr">
        <is>
          <t>Valcrest Pharmaceuticals</t>
        </is>
      </c>
      <c r="C456" s="29" t="inlineStr">
        <is>
          <t/>
        </is>
      </c>
      <c r="D456" s="30" t="inlineStr">
        <is>
          <t/>
        </is>
      </c>
      <c r="E456" s="31" t="inlineStr">
        <is>
          <t/>
        </is>
      </c>
      <c r="F456" s="32" t="inlineStr">
        <is>
          <t/>
        </is>
      </c>
      <c r="G456" s="33" t="inlineStr">
        <is>
          <t/>
        </is>
      </c>
      <c r="H456" s="34" t="inlineStr">
        <is>
          <t/>
        </is>
      </c>
      <c r="I456" s="35" t="inlineStr">
        <is>
          <t/>
        </is>
      </c>
      <c r="J456" s="36" t="n">
        <v>0.05</v>
      </c>
      <c r="K456" s="37" t="inlineStr">
        <is>
          <t>Pharmaceuticals</t>
        </is>
      </c>
      <c r="L456" s="38" t="inlineStr">
        <is>
          <t>Developer of pharmaceutical products for treating ultra-rare orphan diseases. The company specializes in the development and commercialization of pharmaceutical products to address the needs of patients with ultra-rare orphan diseases.</t>
        </is>
      </c>
      <c r="M456" s="39" t="inlineStr">
        <is>
          <t/>
        </is>
      </c>
      <c r="N456" s="40" t="inlineStr">
        <is>
          <t>Angel-Backed</t>
        </is>
      </c>
      <c r="O456" s="41" t="inlineStr">
        <is>
          <t>Privately Held (backing)</t>
        </is>
      </c>
      <c r="P456" s="42" t="inlineStr">
        <is>
          <t>Mountain View, CA</t>
        </is>
      </c>
      <c r="Q456" s="43" t="inlineStr">
        <is>
          <t>www.valcrestpharma.com</t>
        </is>
      </c>
      <c r="R456" s="114">
        <f>HYPERLINK("https://my.pitchbook.com?c=110811-97", "View company online")</f>
      </c>
    </row>
    <row r="457">
      <c r="A457" s="9" t="inlineStr">
        <is>
          <t>65556-37</t>
        </is>
      </c>
      <c r="B457" s="10" t="inlineStr">
        <is>
          <t>Vakast</t>
        </is>
      </c>
      <c r="C457" s="11" t="n">
        <v>-1.2188245426759041</v>
      </c>
      <c r="D457" s="12" t="n">
        <v>2.5674774442828974</v>
      </c>
      <c r="E457" s="13" t="inlineStr">
        <is>
          <t/>
        </is>
      </c>
      <c r="F457" s="14" t="n">
        <v>87.0</v>
      </c>
      <c r="G457" s="15" t="n">
        <v>3737.0</v>
      </c>
      <c r="H457" s="16" t="n">
        <v>326.0</v>
      </c>
      <c r="I457" s="17" t="n">
        <v>11.0</v>
      </c>
      <c r="J457" s="18" t="n">
        <v>1.3</v>
      </c>
      <c r="K457" s="19" t="inlineStr">
        <is>
          <t>Social/Platform Software</t>
        </is>
      </c>
      <c r="L457" s="20" t="inlineStr">
        <is>
          <t>Provider of an online vacation rental listing platform. The company provides a web based vacation listing platform where visitors can choose their destination and compare numerous vacation rentals side-by-side, view pictures, amenities, and seasonal rates.</t>
        </is>
      </c>
      <c r="M457" s="21" t="inlineStr">
        <is>
          <t>Chinh Chu, Ken Pansuria, Nicky Nguyen</t>
        </is>
      </c>
      <c r="N457" s="22" t="inlineStr">
        <is>
          <t>Angel-Backed</t>
        </is>
      </c>
      <c r="O457" s="23" t="inlineStr">
        <is>
          <t>Privately Held (backing)</t>
        </is>
      </c>
      <c r="P457" s="24" t="inlineStr">
        <is>
          <t>Newport Beach, CA</t>
        </is>
      </c>
      <c r="Q457" s="25" t="inlineStr">
        <is>
          <t>www.vakast.com</t>
        </is>
      </c>
      <c r="R457" s="113">
        <f>HYPERLINK("https://my.pitchbook.com?c=65556-37", "View company online")</f>
      </c>
    </row>
    <row r="458">
      <c r="A458" s="27" t="inlineStr">
        <is>
          <t>178763-32</t>
        </is>
      </c>
      <c r="B458" s="28" t="inlineStr">
        <is>
          <t>Vacayo</t>
        </is>
      </c>
      <c r="C458" s="29" t="n">
        <v>0.0</v>
      </c>
      <c r="D458" s="30" t="n">
        <v>0.05405405405405406</v>
      </c>
      <c r="E458" s="31" t="inlineStr">
        <is>
          <t/>
        </is>
      </c>
      <c r="F458" s="32" t="n">
        <v>2.0</v>
      </c>
      <c r="G458" s="33" t="n">
        <v>5238.0</v>
      </c>
      <c r="H458" s="34" t="n">
        <v>7104.0</v>
      </c>
      <c r="I458" s="35" t="inlineStr">
        <is>
          <t/>
        </is>
      </c>
      <c r="J458" s="36" t="inlineStr">
        <is>
          <t/>
        </is>
      </c>
      <c r="K458" s="37" t="inlineStr">
        <is>
          <t>Application Software</t>
        </is>
      </c>
      <c r="L458" s="38" t="inlineStr">
        <is>
          <t>Developer of a vacation rental platform designed to transform long-term rentals into short-term group vacation homes . The company's vacation rental platform provides booking management, hospitality service, wireless electronic lock and motion detector cameras for homes, 24/7 live phone and chat facility and pricing algorithm, enabling users to earn money through renting their apartments while they travel for work.</t>
        </is>
      </c>
      <c r="M458" s="39" t="inlineStr">
        <is>
          <t>500 Startups</t>
        </is>
      </c>
      <c r="N458" s="40" t="inlineStr">
        <is>
          <t>Accelerator/Incubator Backed</t>
        </is>
      </c>
      <c r="O458" s="41" t="inlineStr">
        <is>
          <t>Privately Held (backing)</t>
        </is>
      </c>
      <c r="P458" s="42" t="inlineStr">
        <is>
          <t>San Diego, CA</t>
        </is>
      </c>
      <c r="Q458" s="43" t="inlineStr">
        <is>
          <t>www.vacayo.com</t>
        </is>
      </c>
      <c r="R458" s="114">
        <f>HYPERLINK("https://my.pitchbook.com?c=178763-32", "View company online")</f>
      </c>
    </row>
    <row r="459">
      <c r="A459" s="9" t="inlineStr">
        <is>
          <t>171351-46</t>
        </is>
      </c>
      <c r="B459" s="10" t="inlineStr">
        <is>
          <t>V&amp;R Energy Systems Research</t>
        </is>
      </c>
      <c r="C459" s="85">
        <f>HYPERLINK("https://my.pitchbook.com?rrp=171351-46&amp;type=c", "This Company's information is not available to download. Need this Company? Request availability")</f>
      </c>
      <c r="D459" s="12" t="inlineStr">
        <is>
          <t/>
        </is>
      </c>
      <c r="E459" s="13" t="inlineStr">
        <is>
          <t/>
        </is>
      </c>
      <c r="F459" s="14" t="inlineStr">
        <is>
          <t/>
        </is>
      </c>
      <c r="G459" s="15" t="inlineStr">
        <is>
          <t/>
        </is>
      </c>
      <c r="H459" s="16" t="inlineStr">
        <is>
          <t/>
        </is>
      </c>
      <c r="I459" s="17" t="inlineStr">
        <is>
          <t/>
        </is>
      </c>
      <c r="J459" s="18" t="inlineStr">
        <is>
          <t/>
        </is>
      </c>
      <c r="K459" s="19" t="inlineStr">
        <is>
          <t/>
        </is>
      </c>
      <c r="L459" s="20" t="inlineStr">
        <is>
          <t/>
        </is>
      </c>
      <c r="M459" s="21" t="inlineStr">
        <is>
          <t/>
        </is>
      </c>
      <c r="N459" s="22" t="inlineStr">
        <is>
          <t/>
        </is>
      </c>
      <c r="O459" s="23" t="inlineStr">
        <is>
          <t/>
        </is>
      </c>
      <c r="P459" s="24" t="inlineStr">
        <is>
          <t/>
        </is>
      </c>
      <c r="Q459" s="25" t="inlineStr">
        <is>
          <t/>
        </is>
      </c>
      <c r="R459" s="26" t="inlineStr">
        <is>
          <t/>
        </is>
      </c>
    </row>
    <row r="460">
      <c r="A460" s="27" t="inlineStr">
        <is>
          <t>153718-48</t>
        </is>
      </c>
      <c r="B460" s="28" t="inlineStr">
        <is>
          <t>UXTesting</t>
        </is>
      </c>
      <c r="C460" s="29" t="n">
        <v>0.23605887367521733</v>
      </c>
      <c r="D460" s="30" t="n">
        <v>1.630558456129569</v>
      </c>
      <c r="E460" s="31" t="inlineStr">
        <is>
          <t/>
        </is>
      </c>
      <c r="F460" s="32" t="n">
        <v>51.0</v>
      </c>
      <c r="G460" s="33" t="n">
        <v>2014.0</v>
      </c>
      <c r="H460" s="34" t="n">
        <v>443.0</v>
      </c>
      <c r="I460" s="35" t="inlineStr">
        <is>
          <t/>
        </is>
      </c>
      <c r="J460" s="36" t="inlineStr">
        <is>
          <t/>
        </is>
      </c>
      <c r="K460" s="37" t="inlineStr">
        <is>
          <t>Application Software</t>
        </is>
      </c>
      <c r="L460" s="38" t="inlineStr">
        <is>
          <t>Developer of mobile testing tools and technologies. The company designs and builds a software that enables users and mobile application developers to determine and analyze user's behavior and experience.</t>
        </is>
      </c>
      <c r="M460" s="39" t="inlineStr">
        <is>
          <t>Right Side Capital Management, Techstars</t>
        </is>
      </c>
      <c r="N460" s="40" t="inlineStr">
        <is>
          <t>Accelerator/Incubator Backed</t>
        </is>
      </c>
      <c r="O460" s="41" t="inlineStr">
        <is>
          <t>Privately Held (backing)</t>
        </is>
      </c>
      <c r="P460" s="42" t="inlineStr">
        <is>
          <t>Menlo Park, CA</t>
        </is>
      </c>
      <c r="Q460" s="43" t="inlineStr">
        <is>
          <t>www.uxtesting.io</t>
        </is>
      </c>
      <c r="R460" s="114">
        <f>HYPERLINK("https://my.pitchbook.com?c=153718-48", "View company online")</f>
      </c>
    </row>
    <row r="461">
      <c r="A461" s="9" t="inlineStr">
        <is>
          <t>98514-82</t>
        </is>
      </c>
      <c r="B461" s="10" t="inlineStr">
        <is>
          <t>UXCam</t>
        </is>
      </c>
      <c r="C461" s="11" t="n">
        <v>0.05482132875027283</v>
      </c>
      <c r="D461" s="12" t="n">
        <v>4.089130434782609</v>
      </c>
      <c r="E461" s="13" t="inlineStr">
        <is>
          <t/>
        </is>
      </c>
      <c r="F461" s="14" t="inlineStr">
        <is>
          <t/>
        </is>
      </c>
      <c r="G461" s="15" t="n">
        <v>1345.0</v>
      </c>
      <c r="H461" s="16" t="n">
        <v>2301.0</v>
      </c>
      <c r="I461" s="17" t="n">
        <v>8.0</v>
      </c>
      <c r="J461" s="18" t="inlineStr">
        <is>
          <t/>
        </is>
      </c>
      <c r="K461" s="19" t="inlineStr">
        <is>
          <t>Application Software</t>
        </is>
      </c>
      <c r="L461" s="20" t="inlineStr">
        <is>
          <t>Developer of a user experience optimization tool designed to help in creating mobile apps. The company's user experience optimization tool helps to record and analyze user experiences with the application and helps to understand their problems and bugs enabling business to optimize the product design and deliver enhanced applications.</t>
        </is>
      </c>
      <c r="M461" s="21" t="inlineStr">
        <is>
          <t>500 Startups, Microsoft Accelerator, Parallel 18</t>
        </is>
      </c>
      <c r="N461" s="22" t="inlineStr">
        <is>
          <t>Accelerator/Incubator Backed</t>
        </is>
      </c>
      <c r="O461" s="23" t="inlineStr">
        <is>
          <t>Privately Held (backing)</t>
        </is>
      </c>
      <c r="P461" s="24" t="inlineStr">
        <is>
          <t>San Francisco, CA</t>
        </is>
      </c>
      <c r="Q461" s="25" t="inlineStr">
        <is>
          <t>www.uxcam.com</t>
        </is>
      </c>
      <c r="R461" s="113">
        <f>HYPERLINK("https://my.pitchbook.com?c=98514-82", "View company online")</f>
      </c>
    </row>
    <row r="462">
      <c r="A462" s="27" t="inlineStr">
        <is>
          <t>103298-68</t>
        </is>
      </c>
      <c r="B462" s="28" t="inlineStr">
        <is>
          <t>UVLrx Therapeutics</t>
        </is>
      </c>
      <c r="C462" s="29" t="n">
        <v>0.0</v>
      </c>
      <c r="D462" s="30" t="n">
        <v>0.4348755535196213</v>
      </c>
      <c r="E462" s="31" t="inlineStr">
        <is>
          <t/>
        </is>
      </c>
      <c r="F462" s="32" t="n">
        <v>28.0</v>
      </c>
      <c r="G462" s="33" t="inlineStr">
        <is>
          <t/>
        </is>
      </c>
      <c r="H462" s="34" t="n">
        <v>40.0</v>
      </c>
      <c r="I462" s="35" t="inlineStr">
        <is>
          <t/>
        </is>
      </c>
      <c r="J462" s="36" t="n">
        <v>1.29</v>
      </c>
      <c r="K462" s="37" t="inlineStr">
        <is>
          <t>Other Devices and Supplies</t>
        </is>
      </c>
      <c r="L462" s="38" t="inlineStr">
        <is>
          <t>Developer of an intravenous light therapy. The company develops intravenous light therapy technologies to improve red blood cell function and oxygen delivery in patients.</t>
        </is>
      </c>
      <c r="M462" s="39" t="inlineStr">
        <is>
          <t/>
        </is>
      </c>
      <c r="N462" s="40" t="inlineStr">
        <is>
          <t>Angel-Backed</t>
        </is>
      </c>
      <c r="O462" s="41" t="inlineStr">
        <is>
          <t>Privately Held (backing)</t>
        </is>
      </c>
      <c r="P462" s="42" t="inlineStr">
        <is>
          <t>Santa Barbara, CA</t>
        </is>
      </c>
      <c r="Q462" s="43" t="inlineStr">
        <is>
          <t>www.uvlrx.com</t>
        </is>
      </c>
      <c r="R462" s="114">
        <f>HYPERLINK("https://my.pitchbook.com?c=103298-68", "View company online")</f>
      </c>
    </row>
    <row r="463">
      <c r="A463" s="9" t="inlineStr">
        <is>
          <t>99747-73</t>
        </is>
      </c>
      <c r="B463" s="10" t="inlineStr">
        <is>
          <t>UVA Mobile</t>
        </is>
      </c>
      <c r="C463" s="11" t="n">
        <v>-0.02266485333051551</v>
      </c>
      <c r="D463" s="12" t="n">
        <v>2.171603388313043</v>
      </c>
      <c r="E463" s="13" t="inlineStr">
        <is>
          <t/>
        </is>
      </c>
      <c r="F463" s="14" t="n">
        <v>8.0</v>
      </c>
      <c r="G463" s="15" t="n">
        <v>3262.0</v>
      </c>
      <c r="H463" s="16" t="n">
        <v>1486.0</v>
      </c>
      <c r="I463" s="17" t="inlineStr">
        <is>
          <t/>
        </is>
      </c>
      <c r="J463" s="18" t="inlineStr">
        <is>
          <t/>
        </is>
      </c>
      <c r="K463" s="19" t="inlineStr">
        <is>
          <t>Telecommunications Service Providers</t>
        </is>
      </c>
      <c r="L463" s="20" t="inlineStr">
        <is>
          <t>Provider of pre-paid wireless services to families, businesses and other users through different tariff plans. The company offers a platform that provides personalized prepaid mobile services and value-add services to businesses and consumers.</t>
        </is>
      </c>
      <c r="M463" s="21" t="inlineStr">
        <is>
          <t>EvoNexus</t>
        </is>
      </c>
      <c r="N463" s="22" t="inlineStr">
        <is>
          <t>Accelerator/Incubator Backed</t>
        </is>
      </c>
      <c r="O463" s="23" t="inlineStr">
        <is>
          <t>Privately Held (backing)</t>
        </is>
      </c>
      <c r="P463" s="24" t="inlineStr">
        <is>
          <t>San Diego, CA</t>
        </is>
      </c>
      <c r="Q463" s="25" t="inlineStr">
        <is>
          <t>www.uvamobile.com</t>
        </is>
      </c>
      <c r="R463" s="113">
        <f>HYPERLINK("https://my.pitchbook.com?c=99747-73", "View company online")</f>
      </c>
    </row>
    <row r="464">
      <c r="A464" s="27" t="inlineStr">
        <is>
          <t>164355-13</t>
        </is>
      </c>
      <c r="B464" s="28" t="inlineStr">
        <is>
          <t>UtilityScore</t>
        </is>
      </c>
      <c r="C464" s="29" t="n">
        <v>0.20452268079067332</v>
      </c>
      <c r="D464" s="30" t="n">
        <v>2.087025376782193</v>
      </c>
      <c r="E464" s="31" t="inlineStr">
        <is>
          <t/>
        </is>
      </c>
      <c r="F464" s="32" t="n">
        <v>118.0</v>
      </c>
      <c r="G464" s="33" t="n">
        <v>957.0</v>
      </c>
      <c r="H464" s="34" t="n">
        <v>271.0</v>
      </c>
      <c r="I464" s="35" t="inlineStr">
        <is>
          <t/>
        </is>
      </c>
      <c r="J464" s="36" t="n">
        <v>0.12</v>
      </c>
      <c r="K464" s="37" t="inlineStr">
        <is>
          <t>Social/Platform Software</t>
        </is>
      </c>
      <c r="L464" s="38" t="inlineStr">
        <is>
          <t>Provider of a personalized recommendation platform for home improvements. The company designs and develops a back-end software tool that allows companies to call up estimates for homes in the United States for utility costs like water and electricity bills.</t>
        </is>
      </c>
      <c r="M464" s="39" t="inlineStr">
        <is>
          <t>Angeline Yap, Y Combinator</t>
        </is>
      </c>
      <c r="N464" s="40" t="inlineStr">
        <is>
          <t>Accelerator/Incubator Backed</t>
        </is>
      </c>
      <c r="O464" s="41" t="inlineStr">
        <is>
          <t>Privately Held (backing)</t>
        </is>
      </c>
      <c r="P464" s="42" t="inlineStr">
        <is>
          <t>Oakland, CA</t>
        </is>
      </c>
      <c r="Q464" s="43" t="inlineStr">
        <is>
          <t>www.myutilityscore.com</t>
        </is>
      </c>
      <c r="R464" s="114">
        <f>HYPERLINK("https://my.pitchbook.com?c=164355-13", "View company online")</f>
      </c>
    </row>
    <row r="465">
      <c r="A465" s="9" t="inlineStr">
        <is>
          <t>140295-88</t>
        </is>
      </c>
      <c r="B465" s="10" t="inlineStr">
        <is>
          <t>Utelogy</t>
        </is>
      </c>
      <c r="C465" s="11" t="n">
        <v>0.2083591959314551</v>
      </c>
      <c r="D465" s="12" t="n">
        <v>4.454610940554197</v>
      </c>
      <c r="E465" s="13" t="inlineStr">
        <is>
          <t/>
        </is>
      </c>
      <c r="F465" s="14" t="n">
        <v>79.0</v>
      </c>
      <c r="G465" s="15" t="n">
        <v>107.0</v>
      </c>
      <c r="H465" s="16" t="n">
        <v>4714.0</v>
      </c>
      <c r="I465" s="17" t="inlineStr">
        <is>
          <t/>
        </is>
      </c>
      <c r="J465" s="18" t="n">
        <v>0.75</v>
      </c>
      <c r="K465" s="19" t="inlineStr">
        <is>
          <t>Social/Platform Software</t>
        </is>
      </c>
      <c r="L465" s="20" t="inlineStr">
        <is>
          <t>Developer of a cloud-based audio and visual system management platform. The company's cloud-based platform enables controlling, management and analytics of audio and video systems in corporations, classrooms and emergency response centers.</t>
        </is>
      </c>
      <c r="M465" s="21" t="inlineStr">
        <is>
          <t/>
        </is>
      </c>
      <c r="N465" s="22" t="inlineStr">
        <is>
          <t>Angel-Backed</t>
        </is>
      </c>
      <c r="O465" s="23" t="inlineStr">
        <is>
          <t>Privately Held (backing)</t>
        </is>
      </c>
      <c r="P465" s="24" t="inlineStr">
        <is>
          <t>Costa Mesa, CA</t>
        </is>
      </c>
      <c r="Q465" s="25" t="inlineStr">
        <is>
          <t>www.utelogy.com</t>
        </is>
      </c>
      <c r="R465" s="113">
        <f>HYPERLINK("https://my.pitchbook.com?c=140295-88", "View company online")</f>
      </c>
    </row>
    <row r="466">
      <c r="A466" s="27" t="inlineStr">
        <is>
          <t>59185-54</t>
        </is>
      </c>
      <c r="B466" s="28" t="inlineStr">
        <is>
          <t>ustyme</t>
        </is>
      </c>
      <c r="C466" s="29" t="n">
        <v>-0.07967544488386602</v>
      </c>
      <c r="D466" s="30" t="n">
        <v>1.2867643014105798</v>
      </c>
      <c r="E466" s="31" t="inlineStr">
        <is>
          <t/>
        </is>
      </c>
      <c r="F466" s="32" t="n">
        <v>55.0</v>
      </c>
      <c r="G466" s="33" t="n">
        <v>1245.0</v>
      </c>
      <c r="H466" s="34" t="n">
        <v>202.0</v>
      </c>
      <c r="I466" s="35" t="n">
        <v>16.0</v>
      </c>
      <c r="J466" s="36" t="n">
        <v>2.0</v>
      </c>
      <c r="K466" s="37" t="inlineStr">
        <is>
          <t>Application Software</t>
        </is>
      </c>
      <c r="L466" s="38" t="inlineStr">
        <is>
          <t>Developer of video-call iPad application for families and friends. The company provides a platform to build collections of books and games, and share them with family and friends.</t>
        </is>
      </c>
      <c r="M466" s="39" t="inlineStr">
        <is>
          <t>The Woodside Financial Group, Venkat Raju</t>
        </is>
      </c>
      <c r="N466" s="40" t="inlineStr">
        <is>
          <t>Angel-Backed</t>
        </is>
      </c>
      <c r="O466" s="41" t="inlineStr">
        <is>
          <t>Privately Held (backing)</t>
        </is>
      </c>
      <c r="P466" s="42" t="inlineStr">
        <is>
          <t>Sausalito, CA</t>
        </is>
      </c>
      <c r="Q466" s="43" t="inlineStr">
        <is>
          <t>www.ustyme.com</t>
        </is>
      </c>
      <c r="R466" s="114">
        <f>HYPERLINK("https://my.pitchbook.com?c=59185-54", "View company online")</f>
      </c>
    </row>
    <row r="467">
      <c r="A467" s="9" t="inlineStr">
        <is>
          <t>168680-80</t>
        </is>
      </c>
      <c r="B467" s="10" t="inlineStr">
        <is>
          <t>UserGems</t>
        </is>
      </c>
      <c r="C467" s="11" t="n">
        <v>0.0</v>
      </c>
      <c r="D467" s="12" t="n">
        <v>0.21621621621621623</v>
      </c>
      <c r="E467" s="13" t="inlineStr">
        <is>
          <t/>
        </is>
      </c>
      <c r="F467" s="14" t="n">
        <v>8.0</v>
      </c>
      <c r="G467" s="15" t="inlineStr">
        <is>
          <t/>
        </is>
      </c>
      <c r="H467" s="16" t="inlineStr">
        <is>
          <t/>
        </is>
      </c>
      <c r="I467" s="17" t="inlineStr">
        <is>
          <t/>
        </is>
      </c>
      <c r="J467" s="18" t="n">
        <v>0.12</v>
      </c>
      <c r="K467" s="19" t="inlineStr">
        <is>
          <t>Social/Platform Software</t>
        </is>
      </c>
      <c r="L467" s="20" t="inlineStr">
        <is>
          <t>Provider of an online platform to identify and engage micro-influencers. The company designs and develops a software platform that turns customers into advocates by identifying influential customers and engaging them to talk about the product.</t>
        </is>
      </c>
      <c r="M467" s="21" t="inlineStr">
        <is>
          <t>Y Combinator</t>
        </is>
      </c>
      <c r="N467" s="22" t="inlineStr">
        <is>
          <t>Accelerator/Incubator Backed</t>
        </is>
      </c>
      <c r="O467" s="23" t="inlineStr">
        <is>
          <t>Privately Held (backing)</t>
        </is>
      </c>
      <c r="P467" s="24" t="inlineStr">
        <is>
          <t>San Francisco, CA</t>
        </is>
      </c>
      <c r="Q467" s="25" t="inlineStr">
        <is>
          <t>www.usergems.com</t>
        </is>
      </c>
      <c r="R467" s="113">
        <f>HYPERLINK("https://my.pitchbook.com?c=168680-80", "View company online")</f>
      </c>
    </row>
    <row r="468">
      <c r="A468" s="27" t="inlineStr">
        <is>
          <t>119173-96</t>
        </is>
      </c>
      <c r="B468" s="28" t="inlineStr">
        <is>
          <t>Used Cardboard Boxes</t>
        </is>
      </c>
      <c r="C468" s="29" t="n">
        <v>0.12955486260927104</v>
      </c>
      <c r="D468" s="30" t="n">
        <v>7.780613843657322</v>
      </c>
      <c r="E468" s="31" t="inlineStr">
        <is>
          <t/>
        </is>
      </c>
      <c r="F468" s="32" t="n">
        <v>534.0</v>
      </c>
      <c r="G468" s="33" t="n">
        <v>657.0</v>
      </c>
      <c r="H468" s="34" t="n">
        <v>471.0</v>
      </c>
      <c r="I468" s="35" t="n">
        <v>33.0</v>
      </c>
      <c r="J468" s="36" t="inlineStr">
        <is>
          <t/>
        </is>
      </c>
      <c r="K468" s="37" t="inlineStr">
        <is>
          <t>Paper Containers &amp; Packaging</t>
        </is>
      </c>
      <c r="L468" s="38" t="inlineStr">
        <is>
          <t>Refurbisher of used cardboard boxes. The company acquires and repairs cardboard boxes from entities that would otherwise discard them for resale.</t>
        </is>
      </c>
      <c r="M468" s="39" t="inlineStr">
        <is>
          <t>Funk Ventures, Tech Coast Angels</t>
        </is>
      </c>
      <c r="N468" s="40" t="inlineStr">
        <is>
          <t>Accelerator/Incubator Backed</t>
        </is>
      </c>
      <c r="O468" s="41" t="inlineStr">
        <is>
          <t>Privately Held (backing)</t>
        </is>
      </c>
      <c r="P468" s="42" t="inlineStr">
        <is>
          <t>Los Angeles, CA</t>
        </is>
      </c>
      <c r="Q468" s="43" t="inlineStr">
        <is>
          <t>www.usedcardboardboxes.com</t>
        </is>
      </c>
      <c r="R468" s="114">
        <f>HYPERLINK("https://my.pitchbook.com?c=119173-96", "View company online")</f>
      </c>
    </row>
    <row r="469">
      <c r="A469" s="9" t="inlineStr">
        <is>
          <t>102532-96</t>
        </is>
      </c>
      <c r="B469" s="10" t="inlineStr">
        <is>
          <t>USB Promos</t>
        </is>
      </c>
      <c r="C469" s="11" t="n">
        <v>-0.16352241698789774</v>
      </c>
      <c r="D469" s="12" t="n">
        <v>11.459633138244044</v>
      </c>
      <c r="E469" s="13" t="inlineStr">
        <is>
          <t/>
        </is>
      </c>
      <c r="F469" s="14" t="n">
        <v>343.0</v>
      </c>
      <c r="G469" s="15" t="n">
        <v>5016.0</v>
      </c>
      <c r="H469" s="16" t="n">
        <v>7440.0</v>
      </c>
      <c r="I469" s="17" t="n">
        <v>55.0</v>
      </c>
      <c r="J469" s="18" t="n">
        <v>3.83</v>
      </c>
      <c r="K469" s="19" t="inlineStr">
        <is>
          <t>Electronics (B2C)</t>
        </is>
      </c>
      <c r="L469" s="20" t="inlineStr">
        <is>
          <t>Manufacturer of electronic products. The company develops and commercializes customized promotional USB products including USB drives, cables, power banks &amp; mobile accessories.</t>
        </is>
      </c>
      <c r="M469" s="21" t="inlineStr">
        <is>
          <t>Individual Investor, Shenzhen Municipal Government, Southern China Investment Co.</t>
        </is>
      </c>
      <c r="N469" s="22" t="inlineStr">
        <is>
          <t>Angel-Backed</t>
        </is>
      </c>
      <c r="O469" s="23" t="inlineStr">
        <is>
          <t>Privately Held (backing)</t>
        </is>
      </c>
      <c r="P469" s="24" t="inlineStr">
        <is>
          <t>San Francisco, CA</t>
        </is>
      </c>
      <c r="Q469" s="25" t="inlineStr">
        <is>
          <t>www.usbpromos.com</t>
        </is>
      </c>
      <c r="R469" s="113">
        <f>HYPERLINK("https://my.pitchbook.com?c=102532-96", "View company online")</f>
      </c>
    </row>
    <row r="470">
      <c r="A470" s="27" t="inlineStr">
        <is>
          <t>113608-72</t>
        </is>
      </c>
      <c r="B470" s="28" t="inlineStr">
        <is>
          <t>US Methanol</t>
        </is>
      </c>
      <c r="C470" s="86">
        <f>HYPERLINK("https://my.pitchbook.com?rrp=113608-72&amp;type=c", "This Company's information is not available to download. Need this Company? Request availability")</f>
      </c>
      <c r="D470" s="30" t="inlineStr">
        <is>
          <t/>
        </is>
      </c>
      <c r="E470" s="31" t="inlineStr">
        <is>
          <t/>
        </is>
      </c>
      <c r="F470" s="32" t="inlineStr">
        <is>
          <t/>
        </is>
      </c>
      <c r="G470" s="33" t="inlineStr">
        <is>
          <t/>
        </is>
      </c>
      <c r="H470" s="34" t="inlineStr">
        <is>
          <t/>
        </is>
      </c>
      <c r="I470" s="35" t="inlineStr">
        <is>
          <t/>
        </is>
      </c>
      <c r="J470" s="36" t="inlineStr">
        <is>
          <t/>
        </is>
      </c>
      <c r="K470" s="37" t="inlineStr">
        <is>
          <t/>
        </is>
      </c>
      <c r="L470" s="38" t="inlineStr">
        <is>
          <t/>
        </is>
      </c>
      <c r="M470" s="39" t="inlineStr">
        <is>
          <t/>
        </is>
      </c>
      <c r="N470" s="40" t="inlineStr">
        <is>
          <t/>
        </is>
      </c>
      <c r="O470" s="41" t="inlineStr">
        <is>
          <t/>
        </is>
      </c>
      <c r="P470" s="42" t="inlineStr">
        <is>
          <t/>
        </is>
      </c>
      <c r="Q470" s="43" t="inlineStr">
        <is>
          <t/>
        </is>
      </c>
      <c r="R470" s="44" t="inlineStr">
        <is>
          <t/>
        </is>
      </c>
    </row>
    <row r="471">
      <c r="A471" s="9" t="inlineStr">
        <is>
          <t>157485-16</t>
        </is>
      </c>
      <c r="B471" s="10" t="inlineStr">
        <is>
          <t>UrLife Media</t>
        </is>
      </c>
      <c r="C471" s="11" t="n">
        <v>0.12134185069355499</v>
      </c>
      <c r="D471" s="12" t="n">
        <v>0.8164893364782827</v>
      </c>
      <c r="E471" s="13" t="inlineStr">
        <is>
          <t/>
        </is>
      </c>
      <c r="F471" s="14" t="n">
        <v>33.0</v>
      </c>
      <c r="G471" s="15" t="n">
        <v>445.0</v>
      </c>
      <c r="H471" s="16" t="n">
        <v>328.0</v>
      </c>
      <c r="I471" s="17" t="inlineStr">
        <is>
          <t/>
        </is>
      </c>
      <c r="J471" s="18" t="n">
        <v>0.14</v>
      </c>
      <c r="K471" s="19" t="inlineStr">
        <is>
          <t>Multimedia and Design Software</t>
        </is>
      </c>
      <c r="L471" s="20" t="inlineStr">
        <is>
          <t>Provider of an online video trailer editing platform. The company offers a Web-based platform and mobile application that enables users to create, edit and share video trailer of memories with their friends and family.</t>
        </is>
      </c>
      <c r="M471" s="21" t="inlineStr">
        <is>
          <t/>
        </is>
      </c>
      <c r="N471" s="22" t="inlineStr">
        <is>
          <t>Angel-Backed</t>
        </is>
      </c>
      <c r="O471" s="23" t="inlineStr">
        <is>
          <t>Privately Held (backing)</t>
        </is>
      </c>
      <c r="P471" s="24" t="inlineStr">
        <is>
          <t>Los Angeles, CA</t>
        </is>
      </c>
      <c r="Q471" s="25" t="inlineStr">
        <is>
          <t>www.urlifemedia.com</t>
        </is>
      </c>
      <c r="R471" s="113">
        <f>HYPERLINK("https://my.pitchbook.com?c=157485-16", "View company online")</f>
      </c>
    </row>
    <row r="472">
      <c r="A472" s="27" t="inlineStr">
        <is>
          <t>115449-76</t>
        </is>
      </c>
      <c r="B472" s="28" t="inlineStr">
        <is>
          <t>UrbnEarth</t>
        </is>
      </c>
      <c r="C472" s="29" t="n">
        <v>0.017311284544743788</v>
      </c>
      <c r="D472" s="30" t="n">
        <v>3.341604616512502</v>
      </c>
      <c r="E472" s="31" t="inlineStr">
        <is>
          <t/>
        </is>
      </c>
      <c r="F472" s="32" t="n">
        <v>8.0</v>
      </c>
      <c r="G472" s="33" t="n">
        <v>9052.0</v>
      </c>
      <c r="H472" s="34" t="n">
        <v>598.0</v>
      </c>
      <c r="I472" s="35" t="n">
        <v>4.0</v>
      </c>
      <c r="J472" s="36" t="inlineStr">
        <is>
          <t/>
        </is>
      </c>
      <c r="K472" s="37" t="inlineStr">
        <is>
          <t>Other Consumer Products and Services</t>
        </is>
      </c>
      <c r="L472" s="38" t="inlineStr">
        <is>
          <t>Developer and maker of guided garden kits. The company designs and sells guided garden subscriptions for new gardeners who want to grow, enjoy and share healthy food at home.</t>
        </is>
      </c>
      <c r="M472" s="39" t="inlineStr">
        <is>
          <t>CORETX, Points of Light Institute, Social Capital Markets, Tandem Capital</t>
        </is>
      </c>
      <c r="N472" s="40" t="inlineStr">
        <is>
          <t>Accelerator/Incubator Backed</t>
        </is>
      </c>
      <c r="O472" s="41" t="inlineStr">
        <is>
          <t>Privately Held (backing)</t>
        </is>
      </c>
      <c r="P472" s="42" t="inlineStr">
        <is>
          <t>San Francisco, CA</t>
        </is>
      </c>
      <c r="Q472" s="43" t="inlineStr">
        <is>
          <t>www.urbnearth.com</t>
        </is>
      </c>
      <c r="R472" s="114">
        <f>HYPERLINK("https://my.pitchbook.com?c=115449-76", "View company online")</f>
      </c>
    </row>
    <row r="473">
      <c r="A473" s="9" t="inlineStr">
        <is>
          <t>172355-77</t>
        </is>
      </c>
      <c r="B473" s="10" t="inlineStr">
        <is>
          <t>UrbanEngineer</t>
        </is>
      </c>
      <c r="C473" s="85">
        <f>HYPERLINK("https://my.pitchbook.com?rrp=172355-77&amp;type=c", "This Company's information is not available to download. Need this Company? Request availability")</f>
      </c>
      <c r="D473" s="12" t="inlineStr">
        <is>
          <t/>
        </is>
      </c>
      <c r="E473" s="13" t="inlineStr">
        <is>
          <t/>
        </is>
      </c>
      <c r="F473" s="14" t="inlineStr">
        <is>
          <t/>
        </is>
      </c>
      <c r="G473" s="15" t="inlineStr">
        <is>
          <t/>
        </is>
      </c>
      <c r="H473" s="16" t="inlineStr">
        <is>
          <t/>
        </is>
      </c>
      <c r="I473" s="17" t="inlineStr">
        <is>
          <t/>
        </is>
      </c>
      <c r="J473" s="18" t="inlineStr">
        <is>
          <t/>
        </is>
      </c>
      <c r="K473" s="19" t="inlineStr">
        <is>
          <t/>
        </is>
      </c>
      <c r="L473" s="20" t="inlineStr">
        <is>
          <t/>
        </is>
      </c>
      <c r="M473" s="21" t="inlineStr">
        <is>
          <t/>
        </is>
      </c>
      <c r="N473" s="22" t="inlineStr">
        <is>
          <t/>
        </is>
      </c>
      <c r="O473" s="23" t="inlineStr">
        <is>
          <t/>
        </is>
      </c>
      <c r="P473" s="24" t="inlineStr">
        <is>
          <t/>
        </is>
      </c>
      <c r="Q473" s="25" t="inlineStr">
        <is>
          <t/>
        </is>
      </c>
      <c r="R473" s="26" t="inlineStr">
        <is>
          <t/>
        </is>
      </c>
    </row>
    <row r="474">
      <c r="A474" s="27" t="inlineStr">
        <is>
          <t>56799-10</t>
        </is>
      </c>
      <c r="B474" s="28" t="inlineStr">
        <is>
          <t>UQ Life</t>
        </is>
      </c>
      <c r="C474" s="29" t="n">
        <v>0.0</v>
      </c>
      <c r="D474" s="30" t="n">
        <v>0.5945945945945946</v>
      </c>
      <c r="E474" s="31" t="inlineStr">
        <is>
          <t/>
        </is>
      </c>
      <c r="F474" s="32" t="n">
        <v>22.0</v>
      </c>
      <c r="G474" s="33" t="inlineStr">
        <is>
          <t/>
        </is>
      </c>
      <c r="H474" s="34" t="inlineStr">
        <is>
          <t/>
        </is>
      </c>
      <c r="I474" s="35" t="n">
        <v>4.0</v>
      </c>
      <c r="J474" s="36" t="n">
        <v>1.4</v>
      </c>
      <c r="K474" s="37" t="inlineStr">
        <is>
          <t>Movies, Music and Entertainment</t>
        </is>
      </c>
      <c r="L474" s="38" t="inlineStr">
        <is>
          <t>Developer of a gaming platform for kids. The company provides a platform for self-discovery and personal development and is designed to allow its users to learn through collaborative games.</t>
        </is>
      </c>
      <c r="M474" s="39" t="inlineStr">
        <is>
          <t>Individual Investor, Samir El Agili</t>
        </is>
      </c>
      <c r="N474" s="40" t="inlineStr">
        <is>
          <t>Angel-Backed</t>
        </is>
      </c>
      <c r="O474" s="41" t="inlineStr">
        <is>
          <t>Privately Held (backing)</t>
        </is>
      </c>
      <c r="P474" s="42" t="inlineStr">
        <is>
          <t>Palo Alto, CA</t>
        </is>
      </c>
      <c r="Q474" s="43" t="inlineStr">
        <is>
          <t>www.uqlife.com</t>
        </is>
      </c>
      <c r="R474" s="114">
        <f>HYPERLINK("https://my.pitchbook.com?c=56799-10", "View company online")</f>
      </c>
    </row>
    <row r="475">
      <c r="A475" s="9" t="inlineStr">
        <is>
          <t>180604-81</t>
        </is>
      </c>
      <c r="B475" s="10" t="inlineStr">
        <is>
          <t>Upwell Real Estate</t>
        </is>
      </c>
      <c r="C475" s="11" t="inlineStr">
        <is>
          <t/>
        </is>
      </c>
      <c r="D475" s="12" t="inlineStr">
        <is>
          <t/>
        </is>
      </c>
      <c r="E475" s="13" t="inlineStr">
        <is>
          <t/>
        </is>
      </c>
      <c r="F475" s="14" t="inlineStr">
        <is>
          <t/>
        </is>
      </c>
      <c r="G475" s="15" t="inlineStr">
        <is>
          <t/>
        </is>
      </c>
      <c r="H475" s="16" t="inlineStr">
        <is>
          <t/>
        </is>
      </c>
      <c r="I475" s="17" t="inlineStr">
        <is>
          <t/>
        </is>
      </c>
      <c r="J475" s="18" t="inlineStr">
        <is>
          <t/>
        </is>
      </c>
      <c r="K475" s="19" t="inlineStr">
        <is>
          <t>Real Estate Services (B2C)</t>
        </is>
      </c>
      <c r="L475" s="20" t="inlineStr">
        <is>
          <t>Developer of housing facilities created to disrupt traditional rental markets. The company's housing facilities are designed to offer modern and innovative living spaces, enabling families to access affordable housing.</t>
        </is>
      </c>
      <c r="M475" s="21" t="inlineStr">
        <is>
          <t>Daniel Gutenberg</t>
        </is>
      </c>
      <c r="N475" s="22" t="inlineStr">
        <is>
          <t>Angel-Backed</t>
        </is>
      </c>
      <c r="O475" s="23" t="inlineStr">
        <is>
          <t>Privately Held (backing)</t>
        </is>
      </c>
      <c r="P475" s="24" t="inlineStr">
        <is>
          <t>Los Angeles, CA</t>
        </is>
      </c>
      <c r="Q475" s="25" t="inlineStr">
        <is>
          <t>www.upwellrealestate.com</t>
        </is>
      </c>
      <c r="R475" s="113">
        <f>HYPERLINK("https://my.pitchbook.com?c=180604-81", "View company online")</f>
      </c>
    </row>
    <row r="476">
      <c r="A476" s="27" t="inlineStr">
        <is>
          <t>148657-42</t>
        </is>
      </c>
      <c r="B476" s="28" t="inlineStr">
        <is>
          <t>Upward Automation</t>
        </is>
      </c>
      <c r="C476" s="29" t="n">
        <v>0.016611522110904168</v>
      </c>
      <c r="D476" s="30" t="n">
        <v>0.08925375264726776</v>
      </c>
      <c r="E476" s="31" t="inlineStr">
        <is>
          <t/>
        </is>
      </c>
      <c r="F476" s="32" t="n">
        <v>2.0</v>
      </c>
      <c r="G476" s="33" t="n">
        <v>189.0</v>
      </c>
      <c r="H476" s="34" t="n">
        <v>5.0</v>
      </c>
      <c r="I476" s="35" t="inlineStr">
        <is>
          <t/>
        </is>
      </c>
      <c r="J476" s="36" t="n">
        <v>0.01</v>
      </c>
      <c r="K476" s="37" t="inlineStr">
        <is>
          <t>Electronics (B2C)</t>
        </is>
      </c>
      <c r="L476" s="38" t="inlineStr">
        <is>
          <t>Provider of a home automation platform. The company develops a smart home operating system which uses indoor positioning system, mobile application and other hardware for automation of home.</t>
        </is>
      </c>
      <c r="M476" s="39" t="inlineStr">
        <is>
          <t>SLO HotHouse</t>
        </is>
      </c>
      <c r="N476" s="40" t="inlineStr">
        <is>
          <t>Accelerator/Incubator Backed</t>
        </is>
      </c>
      <c r="O476" s="41" t="inlineStr">
        <is>
          <t>Privately Held (backing)</t>
        </is>
      </c>
      <c r="P476" s="42" t="inlineStr">
        <is>
          <t>San Luis Obispo, CA</t>
        </is>
      </c>
      <c r="Q476" s="43" t="inlineStr">
        <is>
          <t>www.upwardautomation.com</t>
        </is>
      </c>
      <c r="R476" s="114">
        <f>HYPERLINK("https://my.pitchbook.com?c=148657-42", "View company online")</f>
      </c>
    </row>
    <row r="477">
      <c r="A477" s="9" t="inlineStr">
        <is>
          <t>154273-60</t>
        </is>
      </c>
      <c r="B477" s="10" t="inlineStr">
        <is>
          <t>Uptown Temecula Auto Spa</t>
        </is>
      </c>
      <c r="C477" s="11" t="inlineStr">
        <is>
          <t/>
        </is>
      </c>
      <c r="D477" s="12" t="inlineStr">
        <is>
          <t/>
        </is>
      </c>
      <c r="E477" s="13" t="inlineStr">
        <is>
          <t/>
        </is>
      </c>
      <c r="F477" s="14" t="inlineStr">
        <is>
          <t/>
        </is>
      </c>
      <c r="G477" s="15" t="inlineStr">
        <is>
          <t/>
        </is>
      </c>
      <c r="H477" s="16" t="inlineStr">
        <is>
          <t/>
        </is>
      </c>
      <c r="I477" s="17" t="inlineStr">
        <is>
          <t/>
        </is>
      </c>
      <c r="J477" s="18" t="n">
        <v>0.3</v>
      </c>
      <c r="K477" s="19" t="inlineStr">
        <is>
          <t>Other Business Products and Services</t>
        </is>
      </c>
      <c r="L477" s="20" t="inlineStr">
        <is>
          <t>The company is currently operating in Stealth mode.</t>
        </is>
      </c>
      <c r="M477" s="21" t="inlineStr">
        <is>
          <t/>
        </is>
      </c>
      <c r="N477" s="22" t="inlineStr">
        <is>
          <t>Angel-Backed</t>
        </is>
      </c>
      <c r="O477" s="23" t="inlineStr">
        <is>
          <t>Privately Held (backing)</t>
        </is>
      </c>
      <c r="P477" s="24" t="inlineStr">
        <is>
          <t>Los Angeles, CA</t>
        </is>
      </c>
      <c r="Q477" s="25" t="inlineStr">
        <is>
          <t/>
        </is>
      </c>
      <c r="R477" s="113">
        <f>HYPERLINK("https://my.pitchbook.com?c=154273-60", "View company online")</f>
      </c>
    </row>
    <row r="478">
      <c r="A478" s="27" t="inlineStr">
        <is>
          <t>56810-71</t>
        </is>
      </c>
      <c r="B478" s="28" t="inlineStr">
        <is>
          <t>Uptoke</t>
        </is>
      </c>
      <c r="C478" s="29" t="n">
        <v>5.9693024298692405</v>
      </c>
      <c r="D478" s="30" t="n">
        <v>1.941021530004581</v>
      </c>
      <c r="E478" s="31" t="inlineStr">
        <is>
          <t/>
        </is>
      </c>
      <c r="F478" s="32" t="n">
        <v>11.0</v>
      </c>
      <c r="G478" s="33" t="inlineStr">
        <is>
          <t/>
        </is>
      </c>
      <c r="H478" s="34" t="n">
        <v>1261.0</v>
      </c>
      <c r="I478" s="35" t="n">
        <v>2.0</v>
      </c>
      <c r="J478" s="36" t="n">
        <v>1.0</v>
      </c>
      <c r="K478" s="37" t="inlineStr">
        <is>
          <t>Electronics (B2C)</t>
        </is>
      </c>
      <c r="L478" s="38" t="inlineStr">
        <is>
          <t>Creator of a cigar-shaped device for inhaling marijuana. The company has developed a vaporizer that heats up marijuana for inhalation, using a battery that can be charged like a cell phone.</t>
        </is>
      </c>
      <c r="M478" s="39" t="inlineStr">
        <is>
          <t>ArcView Investor Network</t>
        </is>
      </c>
      <c r="N478" s="40" t="inlineStr">
        <is>
          <t>Angel-Backed</t>
        </is>
      </c>
      <c r="O478" s="41" t="inlineStr">
        <is>
          <t>Privately Held (backing)</t>
        </is>
      </c>
      <c r="P478" s="42" t="inlineStr">
        <is>
          <t>San Francisco, CA</t>
        </is>
      </c>
      <c r="Q478" s="43" t="inlineStr">
        <is>
          <t>www.uptoke.net</t>
        </is>
      </c>
      <c r="R478" s="114">
        <f>HYPERLINK("https://my.pitchbook.com?c=56810-71", "View company online")</f>
      </c>
    </row>
    <row r="479">
      <c r="A479" s="9" t="inlineStr">
        <is>
          <t>102857-59</t>
        </is>
      </c>
      <c r="B479" s="10" t="inlineStr">
        <is>
          <t>Upshift</t>
        </is>
      </c>
      <c r="C479" s="11" t="n">
        <v>0.04568514334278165</v>
      </c>
      <c r="D479" s="12" t="n">
        <v>0.3941467997105432</v>
      </c>
      <c r="E479" s="13" t="inlineStr">
        <is>
          <t/>
        </is>
      </c>
      <c r="F479" s="14" t="n">
        <v>9.0</v>
      </c>
      <c r="G479" s="15" t="n">
        <v>259.0</v>
      </c>
      <c r="H479" s="16" t="n">
        <v>272.0</v>
      </c>
      <c r="I479" s="17" t="n">
        <v>2.0</v>
      </c>
      <c r="J479" s="18" t="inlineStr">
        <is>
          <t/>
        </is>
      </c>
      <c r="K479" s="19" t="inlineStr">
        <is>
          <t>Other Transportation</t>
        </is>
      </c>
      <c r="L479" s="20" t="inlineStr">
        <is>
          <t>Developer of a car-rental application. The company provides users of the application with car rental service so that users can move to any place they want with a pick up of the car from any random place.</t>
        </is>
      </c>
      <c r="M479" s="21" t="inlineStr">
        <is>
          <t>Verge Accelerate</t>
        </is>
      </c>
      <c r="N479" s="22" t="inlineStr">
        <is>
          <t>Accelerator/Incubator Backed</t>
        </is>
      </c>
      <c r="O479" s="23" t="inlineStr">
        <is>
          <t>Privately Held (backing)</t>
        </is>
      </c>
      <c r="P479" s="24" t="inlineStr">
        <is>
          <t>San Francisco, CA</t>
        </is>
      </c>
      <c r="Q479" s="25" t="inlineStr">
        <is>
          <t>www.upshiftcars.com</t>
        </is>
      </c>
      <c r="R479" s="113">
        <f>HYPERLINK("https://my.pitchbook.com?c=102857-59", "View company online")</f>
      </c>
    </row>
    <row r="480">
      <c r="A480" s="27" t="inlineStr">
        <is>
          <t>104439-70</t>
        </is>
      </c>
      <c r="B480" s="28" t="inlineStr">
        <is>
          <t>UpNest</t>
        </is>
      </c>
      <c r="C480" s="29" t="n">
        <v>0.5551645301331237</v>
      </c>
      <c r="D480" s="30" t="n">
        <v>8.088373622069275</v>
      </c>
      <c r="E480" s="31" t="inlineStr">
        <is>
          <t/>
        </is>
      </c>
      <c r="F480" s="32" t="n">
        <v>385.0</v>
      </c>
      <c r="G480" s="33" t="n">
        <v>1288.0</v>
      </c>
      <c r="H480" s="34" t="n">
        <v>3475.0</v>
      </c>
      <c r="I480" s="35" t="n">
        <v>16.0</v>
      </c>
      <c r="J480" s="36" t="n">
        <v>2.8</v>
      </c>
      <c r="K480" s="37" t="inlineStr">
        <is>
          <t>Real Estate Services (B2C)</t>
        </is>
      </c>
      <c r="L480" s="38" t="inlineStr">
        <is>
          <t>Provider of an online real estate platform. The comapny provides a real estate platform connecting home buyers and sellers with other agents.</t>
        </is>
      </c>
      <c r="M480" s="39" t="inlineStr">
        <is>
          <t>Alastair Rampell, Lex Bayer, Mark Yoshitake, Nick Lawler, Yee Lee</t>
        </is>
      </c>
      <c r="N480" s="40" t="inlineStr">
        <is>
          <t>Angel-Backed</t>
        </is>
      </c>
      <c r="O480" s="41" t="inlineStr">
        <is>
          <t>Privately Held (backing)</t>
        </is>
      </c>
      <c r="P480" s="42" t="inlineStr">
        <is>
          <t>Burlingame, CA</t>
        </is>
      </c>
      <c r="Q480" s="43" t="inlineStr">
        <is>
          <t>www.upnest.com</t>
        </is>
      </c>
      <c r="R480" s="114">
        <f>HYPERLINK("https://my.pitchbook.com?c=104439-70", "View company online")</f>
      </c>
    </row>
    <row r="481">
      <c r="A481" s="9" t="inlineStr">
        <is>
          <t>98513-83</t>
        </is>
      </c>
      <c r="B481" s="10" t="inlineStr">
        <is>
          <t>Uplette</t>
        </is>
      </c>
      <c r="C481" s="11" t="n">
        <v>-0.06591767852201068</v>
      </c>
      <c r="D481" s="12" t="n">
        <v>10.186440677966102</v>
      </c>
      <c r="E481" s="13" t="inlineStr">
        <is>
          <t/>
        </is>
      </c>
      <c r="F481" s="14" t="inlineStr">
        <is>
          <t/>
        </is>
      </c>
      <c r="G481" s="15" t="inlineStr">
        <is>
          <t/>
        </is>
      </c>
      <c r="H481" s="16" t="n">
        <v>3607.0</v>
      </c>
      <c r="I481" s="17" t="n">
        <v>4.0</v>
      </c>
      <c r="J481" s="18" t="inlineStr">
        <is>
          <t/>
        </is>
      </c>
      <c r="K481" s="19" t="inlineStr">
        <is>
          <t>Business/Productivity Software</t>
        </is>
      </c>
      <c r="L481" s="20" t="inlineStr">
        <is>
          <t>Provider of a data-driven mobile marketing platform. The company helps advertisers to deliver personalized and relevant mobile ad content to increase campaign conversion rates.</t>
        </is>
      </c>
      <c r="M481" s="21" t="inlineStr">
        <is>
          <t>500 Startups, Christine Tsai, Highline.vc, OneEleven, Parker Thompson</t>
        </is>
      </c>
      <c r="N481" s="22" t="inlineStr">
        <is>
          <t>Accelerator/Incubator Backed</t>
        </is>
      </c>
      <c r="O481" s="23" t="inlineStr">
        <is>
          <t>Privately Held (backing)</t>
        </is>
      </c>
      <c r="P481" s="24" t="inlineStr">
        <is>
          <t>San Francisco, CA</t>
        </is>
      </c>
      <c r="Q481" s="25" t="inlineStr">
        <is>
          <t>www.uplette.com</t>
        </is>
      </c>
      <c r="R481" s="113">
        <f>HYPERLINK("https://my.pitchbook.com?c=98513-83", "View company online")</f>
      </c>
    </row>
    <row r="482">
      <c r="A482" s="27" t="inlineStr">
        <is>
          <t>169033-78</t>
        </is>
      </c>
      <c r="B482" s="28" t="inlineStr">
        <is>
          <t>UpiQ (Mortgage Lenders)</t>
        </is>
      </c>
      <c r="C482" s="29" t="inlineStr">
        <is>
          <t/>
        </is>
      </c>
      <c r="D482" s="30" t="inlineStr">
        <is>
          <t/>
        </is>
      </c>
      <c r="E482" s="31" t="inlineStr">
        <is>
          <t/>
        </is>
      </c>
      <c r="F482" s="32" t="inlineStr">
        <is>
          <t/>
        </is>
      </c>
      <c r="G482" s="33" t="inlineStr">
        <is>
          <t/>
        </is>
      </c>
      <c r="H482" s="34" t="inlineStr">
        <is>
          <t/>
        </is>
      </c>
      <c r="I482" s="35" t="inlineStr">
        <is>
          <t/>
        </is>
      </c>
      <c r="J482" s="36" t="inlineStr">
        <is>
          <t/>
        </is>
      </c>
      <c r="K482" s="37" t="inlineStr">
        <is>
          <t>Other Services (B2C Non-Financial)</t>
        </is>
      </c>
      <c r="L482" s="38" t="inlineStr">
        <is>
          <t>Provider of mortgage lending services.</t>
        </is>
      </c>
      <c r="M482" s="39" t="inlineStr">
        <is>
          <t>Hackers/Founders</t>
        </is>
      </c>
      <c r="N482" s="40" t="inlineStr">
        <is>
          <t>Accelerator/Incubator Backed</t>
        </is>
      </c>
      <c r="O482" s="41" t="inlineStr">
        <is>
          <t>Privately Held (backing)</t>
        </is>
      </c>
      <c r="P482" s="42" t="inlineStr">
        <is>
          <t>San Jose, CA</t>
        </is>
      </c>
      <c r="Q482" s="43" t="inlineStr">
        <is>
          <t>www.upiq.ai</t>
        </is>
      </c>
      <c r="R482" s="114">
        <f>HYPERLINK("https://my.pitchbook.com?c=169033-78", "View company online")</f>
      </c>
    </row>
    <row r="483">
      <c r="A483" s="9" t="inlineStr">
        <is>
          <t>100358-56</t>
        </is>
      </c>
      <c r="B483" s="10" t="inlineStr">
        <is>
          <t>Uphold</t>
        </is>
      </c>
      <c r="C483" s="11" t="n">
        <v>0.2229879059934482</v>
      </c>
      <c r="D483" s="12" t="n">
        <v>5.854800102239306</v>
      </c>
      <c r="E483" s="13" t="inlineStr">
        <is>
          <t/>
        </is>
      </c>
      <c r="F483" s="14" t="n">
        <v>53.0</v>
      </c>
      <c r="G483" s="15" t="n">
        <v>7253.0</v>
      </c>
      <c r="H483" s="16" t="n">
        <v>4065.0</v>
      </c>
      <c r="I483" s="17" t="n">
        <v>67.0</v>
      </c>
      <c r="J483" s="18" t="n">
        <v>29.26</v>
      </c>
      <c r="K483" s="19" t="inlineStr">
        <is>
          <t>Other Financial Services</t>
        </is>
      </c>
      <c r="L483" s="20" t="inlineStr">
        <is>
          <t>Provider of a financial system that makes using digital money secure. The company develops a platform that avoids price volatility by allowing users to hold bitcoin in fiat currency, but spend it as bitcoin.</t>
        </is>
      </c>
      <c r="M483" s="21" t="inlineStr">
        <is>
          <t>Bitcoin Capital, Individual Investor, Ricardo Pliego</t>
        </is>
      </c>
      <c r="N483" s="22" t="inlineStr">
        <is>
          <t>Angel-Backed</t>
        </is>
      </c>
      <c r="O483" s="23" t="inlineStr">
        <is>
          <t>Privately Held (backing)</t>
        </is>
      </c>
      <c r="P483" s="24" t="inlineStr">
        <is>
          <t>San Francisco, CA</t>
        </is>
      </c>
      <c r="Q483" s="25" t="inlineStr">
        <is>
          <t>www.uphold.com</t>
        </is>
      </c>
      <c r="R483" s="113">
        <f>HYPERLINK("https://my.pitchbook.com?c=100358-56", "View company online")</f>
      </c>
    </row>
    <row r="484">
      <c r="A484" s="27" t="inlineStr">
        <is>
          <t>171905-05</t>
        </is>
      </c>
      <c r="B484" s="28" t="inlineStr">
        <is>
          <t>Uphere.ai</t>
        </is>
      </c>
      <c r="C484" s="86">
        <f>HYPERLINK("https://my.pitchbook.com?rrp=171905-05&amp;type=c", "This Company's information is not available to download. Need this Company? Request availability")</f>
      </c>
      <c r="D484" s="30" t="inlineStr">
        <is>
          <t/>
        </is>
      </c>
      <c r="E484" s="31" t="inlineStr">
        <is>
          <t/>
        </is>
      </c>
      <c r="F484" s="32" t="inlineStr">
        <is>
          <t/>
        </is>
      </c>
      <c r="G484" s="33" t="inlineStr">
        <is>
          <t/>
        </is>
      </c>
      <c r="H484" s="34" t="inlineStr">
        <is>
          <t/>
        </is>
      </c>
      <c r="I484" s="35" t="inlineStr">
        <is>
          <t/>
        </is>
      </c>
      <c r="J484" s="36" t="inlineStr">
        <is>
          <t/>
        </is>
      </c>
      <c r="K484" s="37" t="inlineStr">
        <is>
          <t/>
        </is>
      </c>
      <c r="L484" s="38" t="inlineStr">
        <is>
          <t/>
        </is>
      </c>
      <c r="M484" s="39" t="inlineStr">
        <is>
          <t/>
        </is>
      </c>
      <c r="N484" s="40" t="inlineStr">
        <is>
          <t/>
        </is>
      </c>
      <c r="O484" s="41" t="inlineStr">
        <is>
          <t/>
        </is>
      </c>
      <c r="P484" s="42" t="inlineStr">
        <is>
          <t/>
        </is>
      </c>
      <c r="Q484" s="43" t="inlineStr">
        <is>
          <t/>
        </is>
      </c>
      <c r="R484" s="44" t="inlineStr">
        <is>
          <t/>
        </is>
      </c>
    </row>
    <row r="485">
      <c r="A485" s="9" t="inlineStr">
        <is>
          <t>168025-87</t>
        </is>
      </c>
      <c r="B485" s="10" t="inlineStr">
        <is>
          <t>Upgraded Technologies</t>
        </is>
      </c>
      <c r="C485" s="11" t="n">
        <v>0.0</v>
      </c>
      <c r="D485" s="12" t="n">
        <v>0.09427564210172906</v>
      </c>
      <c r="E485" s="13" t="inlineStr">
        <is>
          <t/>
        </is>
      </c>
      <c r="F485" s="14" t="n">
        <v>5.0</v>
      </c>
      <c r="G485" s="15" t="n">
        <v>43.0</v>
      </c>
      <c r="H485" s="16" t="inlineStr">
        <is>
          <t/>
        </is>
      </c>
      <c r="I485" s="17" t="inlineStr">
        <is>
          <t/>
        </is>
      </c>
      <c r="J485" s="18" t="n">
        <v>0.12</v>
      </c>
      <c r="K485" s="19" t="inlineStr">
        <is>
          <t>Application Software</t>
        </is>
      </c>
      <c r="L485" s="20" t="inlineStr">
        <is>
          <t>Provider of an online platform to trade used electronic gadgets. The company's cloud platform allows users to find and buy upgraded mobile phones, laptops and similar electronic gadgets by trading and leasing in their used items with other users.</t>
        </is>
      </c>
      <c r="M485" s="21" t="inlineStr">
        <is>
          <t>Investo, Y Combinator</t>
        </is>
      </c>
      <c r="N485" s="22" t="inlineStr">
        <is>
          <t>Accelerator/Incubator Backed</t>
        </is>
      </c>
      <c r="O485" s="23" t="inlineStr">
        <is>
          <t>Privately Held (backing)</t>
        </is>
      </c>
      <c r="P485" s="24" t="inlineStr">
        <is>
          <t>Sunnyvale, CA</t>
        </is>
      </c>
      <c r="Q485" s="25" t="inlineStr">
        <is>
          <t>www.upgraded.io</t>
        </is>
      </c>
      <c r="R485" s="113">
        <f>HYPERLINK("https://my.pitchbook.com?c=168025-87", "View company online")</f>
      </c>
    </row>
    <row r="486">
      <c r="A486" s="27" t="inlineStr">
        <is>
          <t>111652-30</t>
        </is>
      </c>
      <c r="B486" s="28" t="inlineStr">
        <is>
          <t>Upfizz Media Network</t>
        </is>
      </c>
      <c r="C486" s="29" t="n">
        <v>0.0</v>
      </c>
      <c r="D486" s="30" t="n">
        <v>0.08108108108108109</v>
      </c>
      <c r="E486" s="31" t="inlineStr">
        <is>
          <t/>
        </is>
      </c>
      <c r="F486" s="32" t="n">
        <v>3.0</v>
      </c>
      <c r="G486" s="33" t="inlineStr">
        <is>
          <t/>
        </is>
      </c>
      <c r="H486" s="34" t="inlineStr">
        <is>
          <t/>
        </is>
      </c>
      <c r="I486" s="35" t="n">
        <v>6.0</v>
      </c>
      <c r="J486" s="36" t="inlineStr">
        <is>
          <t/>
        </is>
      </c>
      <c r="K486" s="37" t="inlineStr">
        <is>
          <t>Entertainment Software</t>
        </is>
      </c>
      <c r="L486" s="38" t="inlineStr">
        <is>
          <t>Provider of a social centric media platform. The company provides a social-centric media platform with a collection of premium websites in the social, humor and entertainment category.</t>
        </is>
      </c>
      <c r="M486" s="39" t="inlineStr">
        <is>
          <t>Runway Incubator</t>
        </is>
      </c>
      <c r="N486" s="40" t="inlineStr">
        <is>
          <t>Accelerator/Incubator Backed</t>
        </is>
      </c>
      <c r="O486" s="41" t="inlineStr">
        <is>
          <t>Privately Held (backing)</t>
        </is>
      </c>
      <c r="P486" s="42" t="inlineStr">
        <is>
          <t>San Francisco, CA</t>
        </is>
      </c>
      <c r="Q486" s="43" t="inlineStr">
        <is>
          <t>www.upfizz.com</t>
        </is>
      </c>
      <c r="R486" s="114">
        <f>HYPERLINK("https://my.pitchbook.com?c=111652-30", "View company online")</f>
      </c>
    </row>
    <row r="487">
      <c r="A487" s="9" t="inlineStr">
        <is>
          <t>108883-99</t>
        </is>
      </c>
      <c r="B487" s="10" t="inlineStr">
        <is>
          <t>Updatemi</t>
        </is>
      </c>
      <c r="C487" s="11" t="n">
        <v>-0.030900840026650216</v>
      </c>
      <c r="D487" s="12" t="n">
        <v>16.41845677923423</v>
      </c>
      <c r="E487" s="13" t="inlineStr">
        <is>
          <t/>
        </is>
      </c>
      <c r="F487" s="14" t="n">
        <v>67.0</v>
      </c>
      <c r="G487" s="15" t="n">
        <v>12236.0</v>
      </c>
      <c r="H487" s="16" t="n">
        <v>16593.0</v>
      </c>
      <c r="I487" s="17" t="n">
        <v>14.0</v>
      </c>
      <c r="J487" s="18" t="n">
        <v>0.94</v>
      </c>
      <c r="K487" s="19" t="inlineStr">
        <is>
          <t>Application Software</t>
        </is>
      </c>
      <c r="L487" s="20" t="inlineStr">
        <is>
          <t>Developer of an application/SaaS software for AI-based fact extraction of long articles. The company's pplication include a news aggregator summarizing user-relevant news and information into updates consisting of six bullet points. It additionally provides several B2B applications.</t>
        </is>
      </c>
      <c r="M487" s="21" t="inlineStr">
        <is>
          <t>Andreas Arntzen, Venionaire Capital</t>
        </is>
      </c>
      <c r="N487" s="22" t="inlineStr">
        <is>
          <t>Angel-Backed</t>
        </is>
      </c>
      <c r="O487" s="23" t="inlineStr">
        <is>
          <t>Privately Held (backing)</t>
        </is>
      </c>
      <c r="P487" s="24" t="inlineStr">
        <is>
          <t>Mountain View, CA</t>
        </is>
      </c>
      <c r="Q487" s="25" t="inlineStr">
        <is>
          <t>www.updatemi.com</t>
        </is>
      </c>
      <c r="R487" s="113">
        <f>HYPERLINK("https://my.pitchbook.com?c=108883-99", "View company online")</f>
      </c>
    </row>
    <row r="488">
      <c r="A488" s="27" t="inlineStr">
        <is>
          <t>177202-63</t>
        </is>
      </c>
      <c r="B488" s="28" t="inlineStr">
        <is>
          <t>UpCurrent</t>
        </is>
      </c>
      <c r="C488" s="86">
        <f>HYPERLINK("https://my.pitchbook.com?rrp=177202-63&amp;type=c", "This Company's information is not available to download. Need this Company? Request availability")</f>
      </c>
      <c r="D488" s="30" t="inlineStr">
        <is>
          <t/>
        </is>
      </c>
      <c r="E488" s="31" t="inlineStr">
        <is>
          <t/>
        </is>
      </c>
      <c r="F488" s="32" t="inlineStr">
        <is>
          <t/>
        </is>
      </c>
      <c r="G488" s="33" t="inlineStr">
        <is>
          <t/>
        </is>
      </c>
      <c r="H488" s="34" t="inlineStr">
        <is>
          <t/>
        </is>
      </c>
      <c r="I488" s="35" t="inlineStr">
        <is>
          <t/>
        </is>
      </c>
      <c r="J488" s="36" t="inlineStr">
        <is>
          <t/>
        </is>
      </c>
      <c r="K488" s="37" t="inlineStr">
        <is>
          <t/>
        </is>
      </c>
      <c r="L488" s="38" t="inlineStr">
        <is>
          <t/>
        </is>
      </c>
      <c r="M488" s="39" t="inlineStr">
        <is>
          <t/>
        </is>
      </c>
      <c r="N488" s="40" t="inlineStr">
        <is>
          <t/>
        </is>
      </c>
      <c r="O488" s="41" t="inlineStr">
        <is>
          <t/>
        </is>
      </c>
      <c r="P488" s="42" t="inlineStr">
        <is>
          <t/>
        </is>
      </c>
      <c r="Q488" s="43" t="inlineStr">
        <is>
          <t/>
        </is>
      </c>
      <c r="R488" s="44" t="inlineStr">
        <is>
          <t/>
        </is>
      </c>
    </row>
    <row r="489">
      <c r="A489" s="9" t="inlineStr">
        <is>
          <t>117428-32</t>
        </is>
      </c>
      <c r="B489" s="10" t="inlineStr">
        <is>
          <t>Upcomer</t>
        </is>
      </c>
      <c r="C489" s="85">
        <f>HYPERLINK("https://my.pitchbook.com?rrp=117428-32&amp;type=c", "This Company's information is not available to download. Need this Company? Request availability")</f>
      </c>
      <c r="D489" s="12" t="inlineStr">
        <is>
          <t/>
        </is>
      </c>
      <c r="E489" s="13" t="inlineStr">
        <is>
          <t/>
        </is>
      </c>
      <c r="F489" s="14" t="inlineStr">
        <is>
          <t/>
        </is>
      </c>
      <c r="G489" s="15" t="inlineStr">
        <is>
          <t/>
        </is>
      </c>
      <c r="H489" s="16" t="inlineStr">
        <is>
          <t/>
        </is>
      </c>
      <c r="I489" s="17" t="inlineStr">
        <is>
          <t/>
        </is>
      </c>
      <c r="J489" s="18" t="inlineStr">
        <is>
          <t/>
        </is>
      </c>
      <c r="K489" s="19" t="inlineStr">
        <is>
          <t/>
        </is>
      </c>
      <c r="L489" s="20" t="inlineStr">
        <is>
          <t/>
        </is>
      </c>
      <c r="M489" s="21" t="inlineStr">
        <is>
          <t/>
        </is>
      </c>
      <c r="N489" s="22" t="inlineStr">
        <is>
          <t/>
        </is>
      </c>
      <c r="O489" s="23" t="inlineStr">
        <is>
          <t/>
        </is>
      </c>
      <c r="P489" s="24" t="inlineStr">
        <is>
          <t/>
        </is>
      </c>
      <c r="Q489" s="25" t="inlineStr">
        <is>
          <t/>
        </is>
      </c>
      <c r="R489" s="26" t="inlineStr">
        <is>
          <t/>
        </is>
      </c>
    </row>
    <row r="490">
      <c r="A490" s="27" t="inlineStr">
        <is>
          <t>168680-62</t>
        </is>
      </c>
      <c r="B490" s="28" t="inlineStr">
        <is>
          <t>Upcall</t>
        </is>
      </c>
      <c r="C490" s="29" t="n">
        <v>1.4621239116451978</v>
      </c>
      <c r="D490" s="30" t="n">
        <v>2.0978972419097697</v>
      </c>
      <c r="E490" s="31" t="inlineStr">
        <is>
          <t/>
        </is>
      </c>
      <c r="F490" s="32" t="n">
        <v>127.0</v>
      </c>
      <c r="G490" s="33" t="n">
        <v>361.0</v>
      </c>
      <c r="H490" s="34" t="n">
        <v>343.0</v>
      </c>
      <c r="I490" s="35" t="inlineStr">
        <is>
          <t/>
        </is>
      </c>
      <c r="J490" s="36" t="n">
        <v>0.12</v>
      </c>
      <c r="K490" s="37" t="inlineStr">
        <is>
          <t>Social/Platform Software</t>
        </is>
      </c>
      <c r="L490" s="38" t="inlineStr">
        <is>
          <t>Provider of a call crowdsourcing platform. The company's platform enables businesses to crowdsource calls to customers and receive analytics of each call outcome.</t>
        </is>
      </c>
      <c r="M490" s="39" t="inlineStr">
        <is>
          <t>Y Combinator</t>
        </is>
      </c>
      <c r="N490" s="40" t="inlineStr">
        <is>
          <t>Accelerator/Incubator Backed</t>
        </is>
      </c>
      <c r="O490" s="41" t="inlineStr">
        <is>
          <t>Privately Held (backing)</t>
        </is>
      </c>
      <c r="P490" s="42" t="inlineStr">
        <is>
          <t>San Francisco, CA</t>
        </is>
      </c>
      <c r="Q490" s="43" t="inlineStr">
        <is>
          <t>www.upcall.com</t>
        </is>
      </c>
      <c r="R490" s="114">
        <f>HYPERLINK("https://my.pitchbook.com?c=168680-62", "View company online")</f>
      </c>
    </row>
    <row r="491">
      <c r="A491" s="9" t="inlineStr">
        <is>
          <t>172614-61</t>
        </is>
      </c>
      <c r="B491" s="10" t="inlineStr">
        <is>
          <t>Up Sonder</t>
        </is>
      </c>
      <c r="C491" s="11" t="n">
        <v>0.9640957053427996</v>
      </c>
      <c r="D491" s="12" t="n">
        <v>0.9964402132419818</v>
      </c>
      <c r="E491" s="13" t="inlineStr">
        <is>
          <t/>
        </is>
      </c>
      <c r="F491" s="14" t="n">
        <v>44.0</v>
      </c>
      <c r="G491" s="15" t="n">
        <v>166.0</v>
      </c>
      <c r="H491" s="16" t="n">
        <v>473.0</v>
      </c>
      <c r="I491" s="17" t="inlineStr">
        <is>
          <t/>
        </is>
      </c>
      <c r="J491" s="18" t="n">
        <v>0.25</v>
      </c>
      <c r="K491" s="19" t="inlineStr">
        <is>
          <t>Social/Platform Software</t>
        </is>
      </c>
      <c r="L491" s="20" t="inlineStr">
        <is>
          <t>Provider of a peer-to-peer on-demand drone rental platform intended to provide, hire and rent drones and related services online in the USA. The company's peer-to-peer on-demand drone rental platform offers precision landing technology that helps to eliminate the hassle of traveling with a drone, enabling people to find and rent a drone or service near them at a cost much lower than owning a drone.</t>
        </is>
      </c>
      <c r="M491" s="21" t="inlineStr">
        <is>
          <t>Singh Ventures</t>
        </is>
      </c>
      <c r="N491" s="22" t="inlineStr">
        <is>
          <t>Angel-Backed</t>
        </is>
      </c>
      <c r="O491" s="23" t="inlineStr">
        <is>
          <t>Privately Held (backing)</t>
        </is>
      </c>
      <c r="P491" s="24" t="inlineStr">
        <is>
          <t>Los Angeles, CA</t>
        </is>
      </c>
      <c r="Q491" s="25" t="inlineStr">
        <is>
          <t>www.upsonder.com</t>
        </is>
      </c>
      <c r="R491" s="113">
        <f>HYPERLINK("https://my.pitchbook.com?c=172614-61", "View company online")</f>
      </c>
    </row>
    <row r="492">
      <c r="A492" s="27" t="inlineStr">
        <is>
          <t>155323-99</t>
        </is>
      </c>
      <c r="B492" s="28" t="inlineStr">
        <is>
          <t>Up All Night</t>
        </is>
      </c>
      <c r="C492" s="29" t="n">
        <v>0.13361769261391898</v>
      </c>
      <c r="D492" s="30" t="n">
        <v>1.4685132574410393</v>
      </c>
      <c r="E492" s="31" t="inlineStr">
        <is>
          <t/>
        </is>
      </c>
      <c r="F492" s="32" t="n">
        <v>19.0</v>
      </c>
      <c r="G492" s="33" t="n">
        <v>2706.0</v>
      </c>
      <c r="H492" s="34" t="n">
        <v>528.0</v>
      </c>
      <c r="I492" s="35" t="inlineStr">
        <is>
          <t/>
        </is>
      </c>
      <c r="J492" s="36" t="n">
        <v>0.85</v>
      </c>
      <c r="K492" s="37" t="inlineStr">
        <is>
          <t>Application Software</t>
        </is>
      </c>
      <c r="L492" s="38" t="inlineStr">
        <is>
          <t>Provider of a mobile application for searching night clubs. The company offers a mobile based subscription service to help users find night clubs, events and underground parties.</t>
        </is>
      </c>
      <c r="M492" s="39" t="inlineStr">
        <is>
          <t>500 Startups, Bob Lee, Nihal Mehta, Ryan Raddon, Vijay Chattha</t>
        </is>
      </c>
      <c r="N492" s="40" t="inlineStr">
        <is>
          <t>Accelerator/Incubator Backed</t>
        </is>
      </c>
      <c r="O492" s="41" t="inlineStr">
        <is>
          <t>Privately Held (backing)</t>
        </is>
      </c>
      <c r="P492" s="42" t="inlineStr">
        <is>
          <t>San Francisco, CA</t>
        </is>
      </c>
      <c r="Q492" s="43" t="inlineStr">
        <is>
          <t>www.upallnight.us</t>
        </is>
      </c>
      <c r="R492" s="114">
        <f>HYPERLINK("https://my.pitchbook.com?c=155323-99", "View company online")</f>
      </c>
    </row>
    <row r="493">
      <c r="A493" s="9" t="inlineStr">
        <is>
          <t>127245-88</t>
        </is>
      </c>
      <c r="B493" s="10" t="inlineStr">
        <is>
          <t>Up (Mixmat)</t>
        </is>
      </c>
      <c r="C493" s="11" t="n">
        <v>0.054211312048036864</v>
      </c>
      <c r="D493" s="12" t="n">
        <v>0.09196807345296659</v>
      </c>
      <c r="E493" s="13" t="inlineStr">
        <is>
          <t/>
        </is>
      </c>
      <c r="F493" s="14" t="n">
        <v>2.0</v>
      </c>
      <c r="G493" s="15" t="n">
        <v>175.0</v>
      </c>
      <c r="H493" s="16" t="n">
        <v>15.0</v>
      </c>
      <c r="I493" s="17" t="inlineStr">
        <is>
          <t/>
        </is>
      </c>
      <c r="J493" s="18" t="inlineStr">
        <is>
          <t/>
        </is>
      </c>
      <c r="K493" s="19" t="inlineStr">
        <is>
          <t>Other Commercial Products</t>
        </is>
      </c>
      <c r="L493" s="20" t="inlineStr">
        <is>
          <t>Provider of a tool to mix small batches of concrete. The company offers a tool to physically mix and pour small amounts of concrete.</t>
        </is>
      </c>
      <c r="M493" s="21" t="inlineStr">
        <is>
          <t>Chicostart</t>
        </is>
      </c>
      <c r="N493" s="22" t="inlineStr">
        <is>
          <t>Accelerator/Incubator Backed</t>
        </is>
      </c>
      <c r="O493" s="23" t="inlineStr">
        <is>
          <t>Privately Held (backing)</t>
        </is>
      </c>
      <c r="P493" s="24" t="inlineStr">
        <is>
          <t>Chico, CA</t>
        </is>
      </c>
      <c r="Q493" s="25" t="inlineStr">
        <is>
          <t>www.themixmat.com</t>
        </is>
      </c>
      <c r="R493" s="113">
        <f>HYPERLINK("https://my.pitchbook.com?c=127245-88", "View company online")</f>
      </c>
    </row>
    <row r="494">
      <c r="A494" s="27" t="inlineStr">
        <is>
          <t>162289-99</t>
        </is>
      </c>
      <c r="B494" s="28" t="inlineStr">
        <is>
          <t>UNUM (Instagram application)</t>
        </is>
      </c>
      <c r="C494" s="29" t="n">
        <v>0.4321728475322791</v>
      </c>
      <c r="D494" s="30" t="n">
        <v>1.3023054821323061</v>
      </c>
      <c r="E494" s="31" t="inlineStr">
        <is>
          <t/>
        </is>
      </c>
      <c r="F494" s="32" t="n">
        <v>14.0</v>
      </c>
      <c r="G494" s="33" t="n">
        <v>269.0</v>
      </c>
      <c r="H494" s="34" t="n">
        <v>1457.0</v>
      </c>
      <c r="I494" s="35" t="inlineStr">
        <is>
          <t/>
        </is>
      </c>
      <c r="J494" s="36" t="n">
        <v>0.03</v>
      </c>
      <c r="K494" s="37" t="inlineStr">
        <is>
          <t>Multimedia and Design Software</t>
        </is>
      </c>
      <c r="L494" s="38" t="inlineStr">
        <is>
          <t>Developer of a designing tool for customizing Instagram. The company's platform enables users to schedule, edit, arrange and theme their Instagram pictures and profiles.</t>
        </is>
      </c>
      <c r="M494" s="39" t="inlineStr">
        <is>
          <t>Blue Startups</t>
        </is>
      </c>
      <c r="N494" s="40" t="inlineStr">
        <is>
          <t>Accelerator/Incubator Backed</t>
        </is>
      </c>
      <c r="O494" s="41" t="inlineStr">
        <is>
          <t>Privately Held (backing)</t>
        </is>
      </c>
      <c r="P494" s="42" t="inlineStr">
        <is>
          <t>Westlake Village, CA</t>
        </is>
      </c>
      <c r="Q494" s="43" t="inlineStr">
        <is>
          <t>www.unum.la</t>
        </is>
      </c>
      <c r="R494" s="114">
        <f>HYPERLINK("https://my.pitchbook.com?c=162289-99", "View company online")</f>
      </c>
    </row>
    <row r="495">
      <c r="A495" s="9" t="inlineStr">
        <is>
          <t>160964-65</t>
        </is>
      </c>
      <c r="B495" s="10" t="inlineStr">
        <is>
          <t>UnStock</t>
        </is>
      </c>
      <c r="C495" s="11" t="n">
        <v>-1.8351061184724256</v>
      </c>
      <c r="D495" s="12" t="n">
        <v>9.082941969235264</v>
      </c>
      <c r="E495" s="13" t="inlineStr">
        <is>
          <t/>
        </is>
      </c>
      <c r="F495" s="14" t="n">
        <v>325.0</v>
      </c>
      <c r="G495" s="15" t="n">
        <v>1777.0</v>
      </c>
      <c r="H495" s="16" t="n">
        <v>6053.0</v>
      </c>
      <c r="I495" s="17" t="inlineStr">
        <is>
          <t/>
        </is>
      </c>
      <c r="J495" s="18" t="n">
        <v>0.06</v>
      </c>
      <c r="K495" s="19" t="inlineStr">
        <is>
          <t>Application Software</t>
        </is>
      </c>
      <c r="L495" s="20" t="inlineStr">
        <is>
          <t>Provider of a marketplace for video footage. The company's marketplace allows buying and selling of videos and footages. It also develops an application for capturing videos.</t>
        </is>
      </c>
      <c r="M495" s="21" t="inlineStr">
        <is>
          <t>AngelPad</t>
        </is>
      </c>
      <c r="N495" s="22" t="inlineStr">
        <is>
          <t>Accelerator/Incubator Backed</t>
        </is>
      </c>
      <c r="O495" s="23" t="inlineStr">
        <is>
          <t>Privately Held (backing)</t>
        </is>
      </c>
      <c r="P495" s="24" t="inlineStr">
        <is>
          <t>Palo Alto, CA</t>
        </is>
      </c>
      <c r="Q495" s="25" t="inlineStr">
        <is>
          <t>www.unstock.io</t>
        </is>
      </c>
      <c r="R495" s="113">
        <f>HYPERLINK("https://my.pitchbook.com?c=160964-65", "View company online")</f>
      </c>
    </row>
    <row r="496">
      <c r="A496" s="27" t="inlineStr">
        <is>
          <t>113458-69</t>
        </is>
      </c>
      <c r="B496" s="28" t="inlineStr">
        <is>
          <t>Unlicensed Chimp Technologies</t>
        </is>
      </c>
      <c r="C496" s="29" t="n">
        <v>0.0</v>
      </c>
      <c r="D496" s="30" t="n">
        <v>0.08108108108108109</v>
      </c>
      <c r="E496" s="31" t="inlineStr">
        <is>
          <t/>
        </is>
      </c>
      <c r="F496" s="32" t="n">
        <v>3.0</v>
      </c>
      <c r="G496" s="33" t="inlineStr">
        <is>
          <t/>
        </is>
      </c>
      <c r="H496" s="34" t="inlineStr">
        <is>
          <t/>
        </is>
      </c>
      <c r="I496" s="35" t="inlineStr">
        <is>
          <t/>
        </is>
      </c>
      <c r="J496" s="36" t="n">
        <v>0.18</v>
      </c>
      <c r="K496" s="37" t="inlineStr">
        <is>
          <t>Communication Software</t>
        </is>
      </c>
      <c r="L496" s="38" t="inlineStr">
        <is>
          <t>Developer of a communication protocol for transferring messages. The company develops a message transforming protocol that enables two-way transfer of data to allow interaction between brands and audiences during live events.</t>
        </is>
      </c>
      <c r="M496" s="39" t="inlineStr">
        <is>
          <t>Tech Coast Angels</t>
        </is>
      </c>
      <c r="N496" s="40" t="inlineStr">
        <is>
          <t>Angel-Backed</t>
        </is>
      </c>
      <c r="O496" s="41" t="inlineStr">
        <is>
          <t>Privately Held (backing)</t>
        </is>
      </c>
      <c r="P496" s="42" t="inlineStr">
        <is>
          <t>Los Angeles, CA</t>
        </is>
      </c>
      <c r="Q496" s="43" t="inlineStr">
        <is>
          <t>www.uchimptech.com</t>
        </is>
      </c>
      <c r="R496" s="114">
        <f>HYPERLINK("https://my.pitchbook.com?c=113458-69", "View company online")</f>
      </c>
    </row>
    <row r="497">
      <c r="A497" s="9" t="inlineStr">
        <is>
          <t>60186-25</t>
        </is>
      </c>
      <c r="B497" s="10" t="inlineStr">
        <is>
          <t>Unleashed Software</t>
        </is>
      </c>
      <c r="C497" s="11" t="n">
        <v>0.4522665280666292</v>
      </c>
      <c r="D497" s="12" t="n">
        <v>11.817575723950078</v>
      </c>
      <c r="E497" s="13" t="inlineStr">
        <is>
          <t/>
        </is>
      </c>
      <c r="F497" s="14" t="n">
        <v>628.0</v>
      </c>
      <c r="G497" s="15" t="n">
        <v>1197.0</v>
      </c>
      <c r="H497" s="16" t="n">
        <v>4188.0</v>
      </c>
      <c r="I497" s="17" t="n">
        <v>51.0</v>
      </c>
      <c r="J497" s="18" t="n">
        <v>13.3</v>
      </c>
      <c r="K497" s="19" t="inlineStr">
        <is>
          <t>Business/Productivity Software</t>
        </is>
      </c>
      <c r="L497" s="20" t="inlineStr">
        <is>
          <t>Developer of a cloud-based inventory management software. The company offers online inventory tools that can integrate with online stores and accounting software to help businesses of all sizes to manage their inventory by providing an accurate view of stock movement and costs.</t>
        </is>
      </c>
      <c r="M497" s="21" t="inlineStr">
        <is>
          <t>Craig Winkler, K1W1, Lewis Holdings, Milford Asset Management, Stuart McLeod, Tom Karemacher</t>
        </is>
      </c>
      <c r="N497" s="22" t="inlineStr">
        <is>
          <t>Angel-Backed</t>
        </is>
      </c>
      <c r="O497" s="23" t="inlineStr">
        <is>
          <t>Privately Held (backing)</t>
        </is>
      </c>
      <c r="P497" s="24" t="inlineStr">
        <is>
          <t>Auckland, New Zealand</t>
        </is>
      </c>
      <c r="Q497" s="25" t="inlineStr">
        <is>
          <t>www.unleashedsoftware.com</t>
        </is>
      </c>
      <c r="R497" s="113">
        <f>HYPERLINK("https://my.pitchbook.com?c=60186-25", "View company online")</f>
      </c>
    </row>
    <row r="498">
      <c r="A498" s="27" t="inlineStr">
        <is>
          <t>58279-06</t>
        </is>
      </c>
      <c r="B498" s="28" t="inlineStr">
        <is>
          <t>Univfy</t>
        </is>
      </c>
      <c r="C498" s="29" t="n">
        <v>0.5950334713475833</v>
      </c>
      <c r="D498" s="30" t="n">
        <v>7.213014693817936</v>
      </c>
      <c r="E498" s="31" t="inlineStr">
        <is>
          <t/>
        </is>
      </c>
      <c r="F498" s="32" t="n">
        <v>124.0</v>
      </c>
      <c r="G498" s="33" t="n">
        <v>14683.0</v>
      </c>
      <c r="H498" s="34" t="n">
        <v>1383.0</v>
      </c>
      <c r="I498" s="35" t="n">
        <v>8.0</v>
      </c>
      <c r="J498" s="36" t="n">
        <v>10.45</v>
      </c>
      <c r="K498" s="37" t="inlineStr">
        <is>
          <t>Diagnostic Equipment</t>
        </is>
      </c>
      <c r="L498" s="38" t="inlineStr">
        <is>
          <t>Developer of a personalized prognostics platform for women. The company develops and delivers prediction tests to inform women of their personalized chance of having a baby with In vitro fertilization.</t>
        </is>
      </c>
      <c r="M498" s="39" t="inlineStr">
        <is>
          <t>Brian Wu, Jeff Marks, Kai Huang, Nick Lanyon</t>
        </is>
      </c>
      <c r="N498" s="40" t="inlineStr">
        <is>
          <t>Angel-Backed</t>
        </is>
      </c>
      <c r="O498" s="41" t="inlineStr">
        <is>
          <t>Privately Held (backing)</t>
        </is>
      </c>
      <c r="P498" s="42" t="inlineStr">
        <is>
          <t>Los Altos, CA</t>
        </is>
      </c>
      <c r="Q498" s="43" t="inlineStr">
        <is>
          <t>www.univfy.com</t>
        </is>
      </c>
      <c r="R498" s="114">
        <f>HYPERLINK("https://my.pitchbook.com?c=58279-06", "View company online")</f>
      </c>
    </row>
    <row r="499">
      <c r="A499" s="9" t="inlineStr">
        <is>
          <t>103282-84</t>
        </is>
      </c>
      <c r="B499" s="10" t="inlineStr">
        <is>
          <t>UnitesUs</t>
        </is>
      </c>
      <c r="C499" s="85">
        <f>HYPERLINK("https://my.pitchbook.com?rrp=103282-84&amp;type=c", "This Company's information is not available to download. Need this Company? Request availability")</f>
      </c>
      <c r="D499" s="12" t="inlineStr">
        <is>
          <t/>
        </is>
      </c>
      <c r="E499" s="13" t="inlineStr">
        <is>
          <t/>
        </is>
      </c>
      <c r="F499" s="14" t="inlineStr">
        <is>
          <t/>
        </is>
      </c>
      <c r="G499" s="15" t="inlineStr">
        <is>
          <t/>
        </is>
      </c>
      <c r="H499" s="16" t="inlineStr">
        <is>
          <t/>
        </is>
      </c>
      <c r="I499" s="17" t="inlineStr">
        <is>
          <t/>
        </is>
      </c>
      <c r="J499" s="18" t="inlineStr">
        <is>
          <t/>
        </is>
      </c>
      <c r="K499" s="19" t="inlineStr">
        <is>
          <t/>
        </is>
      </c>
      <c r="L499" s="20" t="inlineStr">
        <is>
          <t/>
        </is>
      </c>
      <c r="M499" s="21" t="inlineStr">
        <is>
          <t/>
        </is>
      </c>
      <c r="N499" s="22" t="inlineStr">
        <is>
          <t/>
        </is>
      </c>
      <c r="O499" s="23" t="inlineStr">
        <is>
          <t/>
        </is>
      </c>
      <c r="P499" s="24" t="inlineStr">
        <is>
          <t/>
        </is>
      </c>
      <c r="Q499" s="25" t="inlineStr">
        <is>
          <t/>
        </is>
      </c>
      <c r="R499" s="26" t="inlineStr">
        <is>
          <t/>
        </is>
      </c>
    </row>
    <row r="500">
      <c r="A500" s="27" t="inlineStr">
        <is>
          <t>57177-55</t>
        </is>
      </c>
      <c r="B500" s="28" t="inlineStr">
        <is>
          <t>United Talent Agency</t>
        </is>
      </c>
      <c r="C500" s="29" t="n">
        <v>-0.22690158663956958</v>
      </c>
      <c r="D500" s="30" t="n">
        <v>17.783783783783782</v>
      </c>
      <c r="E500" s="31" t="inlineStr">
        <is>
          <t/>
        </is>
      </c>
      <c r="F500" s="32" t="n">
        <v>658.0</v>
      </c>
      <c r="G500" s="33" t="n">
        <v>31132.0</v>
      </c>
      <c r="H500" s="34" t="n">
        <v>1148.0</v>
      </c>
      <c r="I500" s="35" t="n">
        <v>471.0</v>
      </c>
      <c r="J500" s="36" t="inlineStr">
        <is>
          <t/>
        </is>
      </c>
      <c r="K500" s="37" t="inlineStr">
        <is>
          <t>Consulting Services (B2B)</t>
        </is>
      </c>
      <c r="L500" s="38" t="inlineStr">
        <is>
          <t>Provider of a platform for talent and literary agency services. The company is a major representative of film and literary operatives, including actors, directors, writers, artists, screenwriters and filmmakers. Its scope is broad and includes the film industry, live musical and theater, advertising and video entertainment. In addition to representing talent, the company provides training programs for talent agents, as well as internships.</t>
        </is>
      </c>
      <c r="M500" s="39" t="inlineStr">
        <is>
          <t>Jeffrey Ubben</t>
        </is>
      </c>
      <c r="N500" s="40" t="inlineStr">
        <is>
          <t>Angel-Backed</t>
        </is>
      </c>
      <c r="O500" s="41" t="inlineStr">
        <is>
          <t>Privately Held (backing)</t>
        </is>
      </c>
      <c r="P500" s="42" t="inlineStr">
        <is>
          <t>Beverly Hills, CA</t>
        </is>
      </c>
      <c r="Q500" s="43" t="inlineStr">
        <is>
          <t>www.unitedtalent.com</t>
        </is>
      </c>
      <c r="R500" s="114">
        <f>HYPERLINK("https://my.pitchbook.com?c=57177-55", "View company online")</f>
      </c>
    </row>
    <row r="501">
      <c r="A501" s="9" t="inlineStr">
        <is>
          <t>155818-45</t>
        </is>
      </c>
      <c r="B501" s="10" t="inlineStr">
        <is>
          <t>Unite Genomics</t>
        </is>
      </c>
      <c r="C501" s="11" t="inlineStr">
        <is>
          <t/>
        </is>
      </c>
      <c r="D501" s="12" t="inlineStr">
        <is>
          <t/>
        </is>
      </c>
      <c r="E501" s="13" t="inlineStr">
        <is>
          <t/>
        </is>
      </c>
      <c r="F501" s="14" t="inlineStr">
        <is>
          <t/>
        </is>
      </c>
      <c r="G501" s="15" t="inlineStr">
        <is>
          <t/>
        </is>
      </c>
      <c r="H501" s="16" t="inlineStr">
        <is>
          <t/>
        </is>
      </c>
      <c r="I501" s="17" t="inlineStr">
        <is>
          <t/>
        </is>
      </c>
      <c r="J501" s="18" t="inlineStr">
        <is>
          <t/>
        </is>
      </c>
      <c r="K501" s="19" t="inlineStr">
        <is>
          <t>Biotechnology</t>
        </is>
      </c>
      <c r="L501" s="20" t="inlineStr">
        <is>
          <t>Provider of big data services for genomics discovery. The company specializes in harnessing the power of full genome sequencing and scalable computing to inform and shape clinical trials.</t>
        </is>
      </c>
      <c r="M501" s="21" t="inlineStr">
        <is>
          <t>Founder.org</t>
        </is>
      </c>
      <c r="N501" s="22" t="inlineStr">
        <is>
          <t>Accelerator/Incubator Backed</t>
        </is>
      </c>
      <c r="O501" s="23" t="inlineStr">
        <is>
          <t>Privately Held (backing)</t>
        </is>
      </c>
      <c r="P501" s="24" t="inlineStr">
        <is>
          <t>San Francisco, CA</t>
        </is>
      </c>
      <c r="Q501" s="25" t="inlineStr">
        <is>
          <t>www.unitegenomics.com</t>
        </is>
      </c>
      <c r="R501" s="113">
        <f>HYPERLINK("https://my.pitchbook.com?c=155818-45", "View company online")</f>
      </c>
    </row>
    <row r="502">
      <c r="A502" s="27" t="inlineStr">
        <is>
          <t>163077-22</t>
        </is>
      </c>
      <c r="B502" s="28" t="inlineStr">
        <is>
          <t>UniquID</t>
        </is>
      </c>
      <c r="C502" s="29" t="n">
        <v>0.0</v>
      </c>
      <c r="D502" s="30" t="n">
        <v>0.13968850680346628</v>
      </c>
      <c r="E502" s="31" t="inlineStr">
        <is>
          <t/>
        </is>
      </c>
      <c r="F502" s="32" t="n">
        <v>4.0</v>
      </c>
      <c r="G502" s="33" t="n">
        <v>87.0</v>
      </c>
      <c r="H502" s="34" t="n">
        <v>79.0</v>
      </c>
      <c r="I502" s="35" t="inlineStr">
        <is>
          <t/>
        </is>
      </c>
      <c r="J502" s="36" t="n">
        <v>0.05</v>
      </c>
      <c r="K502" s="37" t="inlineStr">
        <is>
          <t>Network Management Software</t>
        </is>
      </c>
      <c r="L502" s="38" t="inlineStr">
        <is>
          <t>Provider of an identity and access management platform. The company designs and develops digital keys and security software via Blockchain for devices, facilities and businesses.</t>
        </is>
      </c>
      <c r="M502" s="39" t="inlineStr">
        <is>
          <t>Alchemist Accelerator, Runway Incubator, Seeweb</t>
        </is>
      </c>
      <c r="N502" s="40" t="inlineStr">
        <is>
          <t>Accelerator/Incubator Backed</t>
        </is>
      </c>
      <c r="O502" s="41" t="inlineStr">
        <is>
          <t>Privately Held (backing)</t>
        </is>
      </c>
      <c r="P502" s="42" t="inlineStr">
        <is>
          <t>San Francisco, CA</t>
        </is>
      </c>
      <c r="Q502" s="43" t="inlineStr">
        <is>
          <t>www.uniquid.com</t>
        </is>
      </c>
      <c r="R502" s="114">
        <f>HYPERLINK("https://my.pitchbook.com?c=163077-22", "View company online")</f>
      </c>
    </row>
    <row r="503">
      <c r="A503" s="9" t="inlineStr">
        <is>
          <t>180406-09</t>
        </is>
      </c>
      <c r="B503" s="10" t="inlineStr">
        <is>
          <t>Unique.ai</t>
        </is>
      </c>
      <c r="C503" s="85">
        <f>HYPERLINK("https://my.pitchbook.com?rrp=180406-09&amp;type=c", "This Company's information is not available to download. Need this Company? Request availability")</f>
      </c>
      <c r="D503" s="12" t="inlineStr">
        <is>
          <t/>
        </is>
      </c>
      <c r="E503" s="13" t="inlineStr">
        <is>
          <t/>
        </is>
      </c>
      <c r="F503" s="14" t="inlineStr">
        <is>
          <t/>
        </is>
      </c>
      <c r="G503" s="15" t="inlineStr">
        <is>
          <t/>
        </is>
      </c>
      <c r="H503" s="16" t="inlineStr">
        <is>
          <t/>
        </is>
      </c>
      <c r="I503" s="17" t="inlineStr">
        <is>
          <t/>
        </is>
      </c>
      <c r="J503" s="18" t="inlineStr">
        <is>
          <t/>
        </is>
      </c>
      <c r="K503" s="19" t="inlineStr">
        <is>
          <t/>
        </is>
      </c>
      <c r="L503" s="20" t="inlineStr">
        <is>
          <t/>
        </is>
      </c>
      <c r="M503" s="21" t="inlineStr">
        <is>
          <t/>
        </is>
      </c>
      <c r="N503" s="22" t="inlineStr">
        <is>
          <t/>
        </is>
      </c>
      <c r="O503" s="23" t="inlineStr">
        <is>
          <t/>
        </is>
      </c>
      <c r="P503" s="24" t="inlineStr">
        <is>
          <t/>
        </is>
      </c>
      <c r="Q503" s="25" t="inlineStr">
        <is>
          <t/>
        </is>
      </c>
      <c r="R503" s="26" t="inlineStr">
        <is>
          <t/>
        </is>
      </c>
    </row>
    <row r="504">
      <c r="A504" s="27" t="inlineStr">
        <is>
          <t>117708-13</t>
        </is>
      </c>
      <c r="B504" s="28" t="inlineStr">
        <is>
          <t>Unimersiv</t>
        </is>
      </c>
      <c r="C504" s="29" t="n">
        <v>0.155681859387378</v>
      </c>
      <c r="D504" s="30" t="n">
        <v>4.295388608947931</v>
      </c>
      <c r="E504" s="31" t="inlineStr">
        <is>
          <t/>
        </is>
      </c>
      <c r="F504" s="32" t="n">
        <v>2.0</v>
      </c>
      <c r="G504" s="33" t="inlineStr">
        <is>
          <t/>
        </is>
      </c>
      <c r="H504" s="34" t="n">
        <v>3021.0</v>
      </c>
      <c r="I504" s="35" t="n">
        <v>1.0</v>
      </c>
      <c r="J504" s="36" t="n">
        <v>0.02</v>
      </c>
      <c r="K504" s="37" t="inlineStr">
        <is>
          <t>Educational and Training Services (B2C)</t>
        </is>
      </c>
      <c r="L504" s="38" t="inlineStr">
        <is>
          <t>Developer of a virtual reality based learning platform. The company's educational software introduce students to real-world issues, to supplement learning by helping students get a different perspective on what they have learned in books.</t>
        </is>
      </c>
      <c r="M504" s="39" t="inlineStr">
        <is>
          <t>Boost VC</t>
        </is>
      </c>
      <c r="N504" s="40" t="inlineStr">
        <is>
          <t>Accelerator/Incubator Backed</t>
        </is>
      </c>
      <c r="O504" s="41" t="inlineStr">
        <is>
          <t>Privately Held (backing)</t>
        </is>
      </c>
      <c r="P504" s="42" t="inlineStr">
        <is>
          <t>San Mateo, CA</t>
        </is>
      </c>
      <c r="Q504" s="43" t="inlineStr">
        <is>
          <t>www.unimersiv.com</t>
        </is>
      </c>
      <c r="R504" s="114">
        <f>HYPERLINK("https://my.pitchbook.com?c=117708-13", "View company online")</f>
      </c>
    </row>
    <row r="505">
      <c r="A505" s="9" t="inlineStr">
        <is>
          <t>119945-98</t>
        </is>
      </c>
      <c r="B505" s="10" t="inlineStr">
        <is>
          <t>UnifyID</t>
        </is>
      </c>
      <c r="C505" s="11" t="n">
        <v>0.7592622469004109</v>
      </c>
      <c r="D505" s="12" t="n">
        <v>1.3336768972362192</v>
      </c>
      <c r="E505" s="13" t="inlineStr">
        <is>
          <t/>
        </is>
      </c>
      <c r="F505" s="14" t="n">
        <v>48.0</v>
      </c>
      <c r="G505" s="15" t="inlineStr">
        <is>
          <t/>
        </is>
      </c>
      <c r="H505" s="16" t="n">
        <v>484.0</v>
      </c>
      <c r="I505" s="17" t="n">
        <v>2.0</v>
      </c>
      <c r="J505" s="18" t="inlineStr">
        <is>
          <t/>
        </is>
      </c>
      <c r="K505" s="19" t="inlineStr">
        <is>
          <t>Other Business Products and Services</t>
        </is>
      </c>
      <c r="L505" s="20" t="inlineStr">
        <is>
          <t>The company is currently operating in stealth mode.</t>
        </is>
      </c>
      <c r="M505" s="21" t="inlineStr">
        <is>
          <t>Andreessen Horowitz, StartX</t>
        </is>
      </c>
      <c r="N505" s="22" t="inlineStr">
        <is>
          <t>Accelerator/Incubator Backed</t>
        </is>
      </c>
      <c r="O505" s="23" t="inlineStr">
        <is>
          <t>Privately Held (backing)</t>
        </is>
      </c>
      <c r="P505" s="24" t="inlineStr">
        <is>
          <t>San Francisco, CA</t>
        </is>
      </c>
      <c r="Q505" s="25" t="inlineStr">
        <is>
          <t>www.unify.id</t>
        </is>
      </c>
      <c r="R505" s="113">
        <f>HYPERLINK("https://my.pitchbook.com?c=119945-98", "View company online")</f>
      </c>
    </row>
    <row r="506">
      <c r="A506" s="27" t="inlineStr">
        <is>
          <t>104747-32</t>
        </is>
      </c>
      <c r="B506" s="28" t="inlineStr">
        <is>
          <t>Unified People</t>
        </is>
      </c>
      <c r="C506" s="29" t="n">
        <v>-0.02375748601204588</v>
      </c>
      <c r="D506" s="30" t="n">
        <v>1.0015580587430255</v>
      </c>
      <c r="E506" s="31" t="inlineStr">
        <is>
          <t/>
        </is>
      </c>
      <c r="F506" s="32" t="inlineStr">
        <is>
          <t/>
        </is>
      </c>
      <c r="G506" s="33" t="n">
        <v>712.0</v>
      </c>
      <c r="H506" s="34" t="n">
        <v>396.0</v>
      </c>
      <c r="I506" s="35" t="inlineStr">
        <is>
          <t/>
        </is>
      </c>
      <c r="J506" s="36" t="inlineStr">
        <is>
          <t/>
        </is>
      </c>
      <c r="K506" s="37" t="inlineStr">
        <is>
          <t>Clothing</t>
        </is>
      </c>
      <c r="L506" s="38" t="inlineStr">
        <is>
          <t>Owner and operator of a clothing and apparel company. The company offers handcrafted hats and garments t their customers.</t>
        </is>
      </c>
      <c r="M506" s="39" t="inlineStr">
        <is>
          <t>Andrew Marquez, Hector Mendoza, Markus Biegel, Mike Haro, Nathan Martell, Steven Torices</t>
        </is>
      </c>
      <c r="N506" s="40" t="inlineStr">
        <is>
          <t>Angel-Backed</t>
        </is>
      </c>
      <c r="O506" s="41" t="inlineStr">
        <is>
          <t>Privately Held (backing)</t>
        </is>
      </c>
      <c r="P506" s="42" t="inlineStr">
        <is>
          <t>Los Angeles, CA</t>
        </is>
      </c>
      <c r="Q506" s="43" t="inlineStr">
        <is>
          <t>www.unifiedpeople.org</t>
        </is>
      </c>
      <c r="R506" s="114">
        <f>HYPERLINK("https://my.pitchbook.com?c=104747-32", "View company online")</f>
      </c>
    </row>
    <row r="507">
      <c r="A507" s="9" t="inlineStr">
        <is>
          <t>89285-23</t>
        </is>
      </c>
      <c r="B507" s="10" t="inlineStr">
        <is>
          <t>Unified Color</t>
        </is>
      </c>
      <c r="C507" s="85">
        <f>HYPERLINK("https://my.pitchbook.com?rrp=89285-23&amp;type=c", "This Company's information is not available to download. Need this Company? Request availability")</f>
      </c>
      <c r="D507" s="12" t="inlineStr">
        <is>
          <t/>
        </is>
      </c>
      <c r="E507" s="13" t="inlineStr">
        <is>
          <t/>
        </is>
      </c>
      <c r="F507" s="14" t="inlineStr">
        <is>
          <t/>
        </is>
      </c>
      <c r="G507" s="15" t="inlineStr">
        <is>
          <t/>
        </is>
      </c>
      <c r="H507" s="16" t="inlineStr">
        <is>
          <t/>
        </is>
      </c>
      <c r="I507" s="17" t="inlineStr">
        <is>
          <t/>
        </is>
      </c>
      <c r="J507" s="18" t="inlineStr">
        <is>
          <t/>
        </is>
      </c>
      <c r="K507" s="19" t="inlineStr">
        <is>
          <t/>
        </is>
      </c>
      <c r="L507" s="20" t="inlineStr">
        <is>
          <t/>
        </is>
      </c>
      <c r="M507" s="21" t="inlineStr">
        <is>
          <t/>
        </is>
      </c>
      <c r="N507" s="22" t="inlineStr">
        <is>
          <t/>
        </is>
      </c>
      <c r="O507" s="23" t="inlineStr">
        <is>
          <t/>
        </is>
      </c>
      <c r="P507" s="24" t="inlineStr">
        <is>
          <t/>
        </is>
      </c>
      <c r="Q507" s="25" t="inlineStr">
        <is>
          <t/>
        </is>
      </c>
      <c r="R507" s="26" t="inlineStr">
        <is>
          <t/>
        </is>
      </c>
    </row>
    <row r="508">
      <c r="A508" s="27" t="inlineStr">
        <is>
          <t>89284-69</t>
        </is>
      </c>
      <c r="B508" s="28" t="inlineStr">
        <is>
          <t>Unfold</t>
        </is>
      </c>
      <c r="C508" s="29" t="n">
        <v>-0.005357381495861756</v>
      </c>
      <c r="D508" s="30" t="n">
        <v>8.847861984523739</v>
      </c>
      <c r="E508" s="31" t="inlineStr">
        <is>
          <t/>
        </is>
      </c>
      <c r="F508" s="32" t="n">
        <v>5.0</v>
      </c>
      <c r="G508" s="33" t="n">
        <v>93.0</v>
      </c>
      <c r="H508" s="34" t="n">
        <v>12399.0</v>
      </c>
      <c r="I508" s="35" t="n">
        <v>5.0</v>
      </c>
      <c r="J508" s="36" t="n">
        <v>0.32</v>
      </c>
      <c r="K508" s="37" t="inlineStr">
        <is>
          <t>Social/Platform Software</t>
        </is>
      </c>
      <c r="L508" s="38" t="inlineStr">
        <is>
          <t>Provider of an online portal that keeps people up-to-date on current issues. The company's platform unifies traditional tracking and CRM features with prediction and analysis and it also publishes the opinions of politicians and other influencers.</t>
        </is>
      </c>
      <c r="M508" s="39" t="inlineStr">
        <is>
          <t>K5 Ventures</t>
        </is>
      </c>
      <c r="N508" s="40" t="inlineStr">
        <is>
          <t>Accelerator/Incubator Backed</t>
        </is>
      </c>
      <c r="O508" s="41" t="inlineStr">
        <is>
          <t>Privately Held (backing)</t>
        </is>
      </c>
      <c r="P508" s="42" t="inlineStr">
        <is>
          <t>Los Angeles, CA</t>
        </is>
      </c>
      <c r="Q508" s="43" t="inlineStr">
        <is>
          <t>www.unfold.com</t>
        </is>
      </c>
      <c r="R508" s="114">
        <f>HYPERLINK("https://my.pitchbook.com?c=89284-69", "View company online")</f>
      </c>
    </row>
    <row r="509">
      <c r="A509" s="9" t="inlineStr">
        <is>
          <t>181042-12</t>
        </is>
      </c>
      <c r="B509" s="10" t="inlineStr">
        <is>
          <t>Undisputed Boxing</t>
        </is>
      </c>
      <c r="C509" s="11" t="inlineStr">
        <is>
          <t/>
        </is>
      </c>
      <c r="D509" s="12" t="inlineStr">
        <is>
          <t/>
        </is>
      </c>
      <c r="E509" s="13" t="inlineStr">
        <is>
          <t/>
        </is>
      </c>
      <c r="F509" s="14" t="inlineStr">
        <is>
          <t/>
        </is>
      </c>
      <c r="G509" s="15" t="inlineStr">
        <is>
          <t/>
        </is>
      </c>
      <c r="H509" s="16" t="inlineStr">
        <is>
          <t/>
        </is>
      </c>
      <c r="I509" s="17" t="inlineStr">
        <is>
          <t/>
        </is>
      </c>
      <c r="J509" s="18" t="n">
        <v>1.0</v>
      </c>
      <c r="K509" s="19" t="inlineStr">
        <is>
          <t>Other Services (B2C Non-Financial)</t>
        </is>
      </c>
      <c r="L509" s="20" t="inlineStr">
        <is>
          <t>Operator of a boxing gym created to offer fighting, self defense and strength training services. The company's boxing gymnasium conducts classes, group sessions and personal training on boxing and martial arts training such as kickboxing, taekwondo, mixed martial arts, enabling both aspiring fighters and fitness enthusiasts to improve and increase their overall physical strength, self defense techniques, fitness and endurance.</t>
        </is>
      </c>
      <c r="M509" s="21" t="inlineStr">
        <is>
          <t/>
        </is>
      </c>
      <c r="N509" s="22" t="inlineStr">
        <is>
          <t>Angel-Backed</t>
        </is>
      </c>
      <c r="O509" s="23" t="inlineStr">
        <is>
          <t>Privately Held (backing)</t>
        </is>
      </c>
      <c r="P509" s="24" t="inlineStr">
        <is>
          <t>San Carlos, CA</t>
        </is>
      </c>
      <c r="Q509" s="25" t="inlineStr">
        <is>
          <t>www.undisputedboxinggym.com</t>
        </is>
      </c>
      <c r="R509" s="113">
        <f>HYPERLINK("https://my.pitchbook.com?c=181042-12", "View company online")</f>
      </c>
    </row>
    <row r="510">
      <c r="A510" s="27" t="inlineStr">
        <is>
          <t>178572-97</t>
        </is>
      </c>
      <c r="B510" s="28" t="inlineStr">
        <is>
          <t>Understand.ai</t>
        </is>
      </c>
      <c r="C510" s="29" t="n">
        <v>0.0</v>
      </c>
      <c r="D510" s="30" t="n">
        <v>0.10810810810810811</v>
      </c>
      <c r="E510" s="31" t="inlineStr">
        <is>
          <t/>
        </is>
      </c>
      <c r="F510" s="32" t="n">
        <v>4.0</v>
      </c>
      <c r="G510" s="33" t="inlineStr">
        <is>
          <t/>
        </is>
      </c>
      <c r="H510" s="34" t="inlineStr">
        <is>
          <t/>
        </is>
      </c>
      <c r="I510" s="35" t="inlineStr">
        <is>
          <t/>
        </is>
      </c>
      <c r="J510" s="36" t="inlineStr">
        <is>
          <t/>
        </is>
      </c>
      <c r="K510" s="37" t="inlineStr">
        <is>
          <t>Other IT Services</t>
        </is>
      </c>
      <c r="L510" s="38" t="inlineStr">
        <is>
          <t>Provider of high quality data annotation services designed for for autonomous driving, satellite imagery and medicine. The company provides high quality image annotation that includes semantic segmentation, bounding box annotation and other types of image annotations, enabling users to avail annotated data for starting working on actual projects.</t>
        </is>
      </c>
      <c r="M510" s="39" t="inlineStr">
        <is>
          <t>German Accelerator</t>
        </is>
      </c>
      <c r="N510" s="40" t="inlineStr">
        <is>
          <t>Accelerator/Incubator Backed</t>
        </is>
      </c>
      <c r="O510" s="41" t="inlineStr">
        <is>
          <t>Privately Held (backing)</t>
        </is>
      </c>
      <c r="P510" s="42" t="inlineStr">
        <is>
          <t>Karlsruhe, Germany</t>
        </is>
      </c>
      <c r="Q510" s="43" t="inlineStr">
        <is>
          <t>www.understand.ai</t>
        </is>
      </c>
      <c r="R510" s="114">
        <f>HYPERLINK("https://my.pitchbook.com?c=178572-97", "View company online")</f>
      </c>
    </row>
    <row r="511">
      <c r="A511" s="9" t="inlineStr">
        <is>
          <t>104746-78</t>
        </is>
      </c>
      <c r="B511" s="10" t="inlineStr">
        <is>
          <t>Undercurrent Educational Information Systems</t>
        </is>
      </c>
      <c r="C511" s="11" t="n">
        <v>0.0</v>
      </c>
      <c r="D511" s="12" t="n">
        <v>0.10810810810810811</v>
      </c>
      <c r="E511" s="13" t="inlineStr">
        <is>
          <t/>
        </is>
      </c>
      <c r="F511" s="14" t="n">
        <v>4.0</v>
      </c>
      <c r="G511" s="15" t="inlineStr">
        <is>
          <t/>
        </is>
      </c>
      <c r="H511" s="16" t="inlineStr">
        <is>
          <t/>
        </is>
      </c>
      <c r="I511" s="17" t="inlineStr">
        <is>
          <t/>
        </is>
      </c>
      <c r="J511" s="18" t="n">
        <v>0.23</v>
      </c>
      <c r="K511" s="19" t="inlineStr">
        <is>
          <t>Educational and Training Services (B2C)</t>
        </is>
      </c>
      <c r="L511" s="20" t="inlineStr">
        <is>
          <t>Provider of educational resources to aid instructional planning. The company offers educational resource tools to schools and districts in meeting their academic and programmatic goals.</t>
        </is>
      </c>
      <c r="M511" s="21" t="inlineStr">
        <is>
          <t/>
        </is>
      </c>
      <c r="N511" s="22" t="inlineStr">
        <is>
          <t>Angel-Backed</t>
        </is>
      </c>
      <c r="O511" s="23" t="inlineStr">
        <is>
          <t>Privately Held (backing)</t>
        </is>
      </c>
      <c r="P511" s="24" t="inlineStr">
        <is>
          <t>Long Beach, CA</t>
        </is>
      </c>
      <c r="Q511" s="25" t="inlineStr">
        <is>
          <t>www.ueiscorp.com</t>
        </is>
      </c>
      <c r="R511" s="113">
        <f>HYPERLINK("https://my.pitchbook.com?c=104746-78", "View company online")</f>
      </c>
    </row>
    <row r="512">
      <c r="A512" s="27" t="inlineStr">
        <is>
          <t>103263-31</t>
        </is>
      </c>
      <c r="B512" s="28" t="inlineStr">
        <is>
          <t>Under 100</t>
        </is>
      </c>
      <c r="C512" s="29" t="n">
        <v>-0.03170960965877596</v>
      </c>
      <c r="D512" s="30" t="n">
        <v>1.906205845281011</v>
      </c>
      <c r="E512" s="31" t="inlineStr">
        <is>
          <t/>
        </is>
      </c>
      <c r="F512" s="32" t="n">
        <v>5.0</v>
      </c>
      <c r="G512" s="33" t="n">
        <v>33.0</v>
      </c>
      <c r="H512" s="34" t="n">
        <v>2589.0</v>
      </c>
      <c r="I512" s="35" t="n">
        <v>3.0</v>
      </c>
      <c r="J512" s="36" t="n">
        <v>0.05</v>
      </c>
      <c r="K512" s="37" t="inlineStr">
        <is>
          <t>Internet Retail</t>
        </is>
      </c>
      <c r="L512" s="38" t="inlineStr">
        <is>
          <t>Provider of a community-driven social shopping marketplace. The company provides a platform to purchase and share products that are all under $100 in price.</t>
        </is>
      </c>
      <c r="M512" s="39" t="inlineStr">
        <is>
          <t/>
        </is>
      </c>
      <c r="N512" s="40" t="inlineStr">
        <is>
          <t>Angel-Backed</t>
        </is>
      </c>
      <c r="O512" s="41" t="inlineStr">
        <is>
          <t>Privately Held (backing)</t>
        </is>
      </c>
      <c r="P512" s="42" t="inlineStr">
        <is>
          <t>San Francisco, CA</t>
        </is>
      </c>
      <c r="Q512" s="43" t="inlineStr">
        <is>
          <t>www.theunder100.com</t>
        </is>
      </c>
      <c r="R512" s="114">
        <f>HYPERLINK("https://my.pitchbook.com?c=103263-31", "View company online")</f>
      </c>
    </row>
    <row r="513">
      <c r="A513" s="9" t="inlineStr">
        <is>
          <t>173656-54</t>
        </is>
      </c>
      <c r="B513" s="10" t="inlineStr">
        <is>
          <t>Unboundly</t>
        </is>
      </c>
      <c r="C513" s="85">
        <f>HYPERLINK("https://my.pitchbook.com?rrp=173656-54&amp;type=c", "This Company's information is not available to download. Need this Company? Request availability")</f>
      </c>
      <c r="D513" s="12" t="inlineStr">
        <is>
          <t/>
        </is>
      </c>
      <c r="E513" s="13" t="inlineStr">
        <is>
          <t/>
        </is>
      </c>
      <c r="F513" s="14" t="inlineStr">
        <is>
          <t/>
        </is>
      </c>
      <c r="G513" s="15" t="inlineStr">
        <is>
          <t/>
        </is>
      </c>
      <c r="H513" s="16" t="inlineStr">
        <is>
          <t/>
        </is>
      </c>
      <c r="I513" s="17" t="inlineStr">
        <is>
          <t/>
        </is>
      </c>
      <c r="J513" s="18" t="inlineStr">
        <is>
          <t/>
        </is>
      </c>
      <c r="K513" s="19" t="inlineStr">
        <is>
          <t/>
        </is>
      </c>
      <c r="L513" s="20" t="inlineStr">
        <is>
          <t/>
        </is>
      </c>
      <c r="M513" s="21" t="inlineStr">
        <is>
          <t/>
        </is>
      </c>
      <c r="N513" s="22" t="inlineStr">
        <is>
          <t/>
        </is>
      </c>
      <c r="O513" s="23" t="inlineStr">
        <is>
          <t/>
        </is>
      </c>
      <c r="P513" s="24" t="inlineStr">
        <is>
          <t/>
        </is>
      </c>
      <c r="Q513" s="25" t="inlineStr">
        <is>
          <t/>
        </is>
      </c>
      <c r="R513" s="26" t="inlineStr">
        <is>
          <t/>
        </is>
      </c>
    </row>
    <row r="514">
      <c r="A514" s="27" t="inlineStr">
        <is>
          <t>118850-59</t>
        </is>
      </c>
      <c r="B514" s="28" t="inlineStr">
        <is>
          <t>UnBOOKed Appointments</t>
        </is>
      </c>
      <c r="C514" s="29" t="n">
        <v>-0.02382631638329164</v>
      </c>
      <c r="D514" s="30" t="n">
        <v>4.286820400250761</v>
      </c>
      <c r="E514" s="31" t="inlineStr">
        <is>
          <t/>
        </is>
      </c>
      <c r="F514" s="32" t="n">
        <v>10.0</v>
      </c>
      <c r="G514" s="33" t="n">
        <v>6817.0</v>
      </c>
      <c r="H514" s="34" t="n">
        <v>2881.0</v>
      </c>
      <c r="I514" s="35" t="n">
        <v>11.0</v>
      </c>
      <c r="J514" s="36" t="n">
        <v>3.97</v>
      </c>
      <c r="K514" s="37" t="inlineStr">
        <is>
          <t>Other Services (B2C Non-Financial)</t>
        </is>
      </c>
      <c r="L514" s="38" t="inlineStr">
        <is>
          <t>Provider of a platform to book appointments. The company's platform allows the users to book spa treatments and other beauty services.</t>
        </is>
      </c>
      <c r="M514" s="39" t="inlineStr">
        <is>
          <t>Tech Coast Angels</t>
        </is>
      </c>
      <c r="N514" s="40" t="inlineStr">
        <is>
          <t>Angel-Backed</t>
        </is>
      </c>
      <c r="O514" s="41" t="inlineStr">
        <is>
          <t>Privately Held (backing)</t>
        </is>
      </c>
      <c r="P514" s="42" t="inlineStr">
        <is>
          <t>Newport Beach, CA</t>
        </is>
      </c>
      <c r="Q514" s="43" t="inlineStr">
        <is>
          <t>www.unbookedappointments.com</t>
        </is>
      </c>
      <c r="R514" s="114">
        <f>HYPERLINK("https://my.pitchbook.com?c=118850-59", "View company online")</f>
      </c>
    </row>
    <row r="515">
      <c r="A515" s="9" t="inlineStr">
        <is>
          <t>91265-68</t>
        </is>
      </c>
      <c r="B515" s="10" t="inlineStr">
        <is>
          <t>uMix</t>
        </is>
      </c>
      <c r="C515" s="11" t="n">
        <v>-0.04877764726977814</v>
      </c>
      <c r="D515" s="12" t="n">
        <v>0.15543314659011048</v>
      </c>
      <c r="E515" s="13" t="inlineStr">
        <is>
          <t/>
        </is>
      </c>
      <c r="F515" s="14" t="n">
        <v>4.0</v>
      </c>
      <c r="G515" s="15" t="n">
        <v>190.0</v>
      </c>
      <c r="H515" s="16" t="n">
        <v>60.0</v>
      </c>
      <c r="I515" s="17" t="n">
        <v>5.0</v>
      </c>
      <c r="J515" s="18" t="n">
        <v>0.13</v>
      </c>
      <c r="K515" s="19" t="inlineStr">
        <is>
          <t>Social/Platform Software</t>
        </is>
      </c>
      <c r="L515" s="20" t="inlineStr">
        <is>
          <t>Provider of hands free social platform reader. The company creates personalized TV experience from static social networks feeds by transforming them into a video stream.</t>
        </is>
      </c>
      <c r="M515" s="21" t="inlineStr">
        <is>
          <t>Happy Farm, Individual Investor</t>
        </is>
      </c>
      <c r="N515" s="22" t="inlineStr">
        <is>
          <t>Accelerator/Incubator Backed</t>
        </is>
      </c>
      <c r="O515" s="23" t="inlineStr">
        <is>
          <t>Privately Held (backing)</t>
        </is>
      </c>
      <c r="P515" s="24" t="inlineStr">
        <is>
          <t>San Francisco, CA</t>
        </is>
      </c>
      <c r="Q515" s="25" t="inlineStr">
        <is>
          <t>www.umix.tv</t>
        </is>
      </c>
      <c r="R515" s="113">
        <f>HYPERLINK("https://my.pitchbook.com?c=91265-68", "View company online")</f>
      </c>
    </row>
    <row r="516">
      <c r="A516" s="27" t="inlineStr">
        <is>
          <t>168483-34</t>
        </is>
      </c>
      <c r="B516" s="28" t="inlineStr">
        <is>
          <t>Umbo</t>
        </is>
      </c>
      <c r="C516" s="29" t="n">
        <v>0.13720331750360432</v>
      </c>
      <c r="D516" s="30" t="n">
        <v>0.5516029662676678</v>
      </c>
      <c r="E516" s="31" t="inlineStr">
        <is>
          <t/>
        </is>
      </c>
      <c r="F516" s="32" t="n">
        <v>12.0</v>
      </c>
      <c r="G516" s="33" t="n">
        <v>826.0</v>
      </c>
      <c r="H516" s="34" t="n">
        <v>162.0</v>
      </c>
      <c r="I516" s="35" t="inlineStr">
        <is>
          <t/>
        </is>
      </c>
      <c r="J516" s="36" t="n">
        <v>0.3</v>
      </c>
      <c r="K516" s="37" t="inlineStr">
        <is>
          <t>Electronics (B2C)</t>
        </is>
      </c>
      <c r="L516" s="38" t="inlineStr">
        <is>
          <t>Developer of an open-source wireless projection software. The company's software displays ones agenda, weather, emails, news and other similar information on to the ceiling once one wakes up from their sleep.</t>
        </is>
      </c>
      <c r="M516" s="39" t="inlineStr">
        <is>
          <t>Start-Up Chile</t>
        </is>
      </c>
      <c r="N516" s="40" t="inlineStr">
        <is>
          <t>Accelerator/Incubator Backed</t>
        </is>
      </c>
      <c r="O516" s="41" t="inlineStr">
        <is>
          <t>Privately Held (backing)</t>
        </is>
      </c>
      <c r="P516" s="42" t="inlineStr">
        <is>
          <t>San Francisco, CA</t>
        </is>
      </c>
      <c r="Q516" s="43" t="inlineStr">
        <is>
          <t>www.umbo.us</t>
        </is>
      </c>
      <c r="R516" s="114">
        <f>HYPERLINK("https://my.pitchbook.com?c=168483-34", "View company online")</f>
      </c>
    </row>
    <row r="517">
      <c r="A517" s="9" t="inlineStr">
        <is>
          <t>113788-72</t>
        </is>
      </c>
      <c r="B517" s="10" t="inlineStr">
        <is>
          <t>Umbala</t>
        </is>
      </c>
      <c r="C517" s="11" t="n">
        <v>-0.012389945427203536</v>
      </c>
      <c r="D517" s="12" t="n">
        <v>1.085896855904225</v>
      </c>
      <c r="E517" s="13" t="inlineStr">
        <is>
          <t/>
        </is>
      </c>
      <c r="F517" s="14" t="n">
        <v>18.0</v>
      </c>
      <c r="G517" s="15" t="n">
        <v>2587.0</v>
      </c>
      <c r="H517" s="16" t="n">
        <v>55.0</v>
      </c>
      <c r="I517" s="17" t="n">
        <v>11.0</v>
      </c>
      <c r="J517" s="18" t="n">
        <v>0.1</v>
      </c>
      <c r="K517" s="19" t="inlineStr">
        <is>
          <t>Application Software</t>
        </is>
      </c>
      <c r="L517" s="20" t="inlineStr">
        <is>
          <t>Developer of a video messaging application. The company develops an application that enables users to watch events and news posted by other local users around the world.</t>
        </is>
      </c>
      <c r="M517" s="21" t="inlineStr">
        <is>
          <t>500 Startups, Forbes Vietnam, Google's Cloud Server, SOSV</t>
        </is>
      </c>
      <c r="N517" s="22" t="inlineStr">
        <is>
          <t>Accelerator/Incubator Backed</t>
        </is>
      </c>
      <c r="O517" s="23" t="inlineStr">
        <is>
          <t>Privately Held (backing)</t>
        </is>
      </c>
      <c r="P517" s="24" t="inlineStr">
        <is>
          <t>Mountain View, CA</t>
        </is>
      </c>
      <c r="Q517" s="25" t="inlineStr">
        <is>
          <t>www.umbala.tv</t>
        </is>
      </c>
      <c r="R517" s="113">
        <f>HYPERLINK("https://my.pitchbook.com?c=113788-72", "View company online")</f>
      </c>
    </row>
    <row r="518">
      <c r="A518" s="27" t="inlineStr">
        <is>
          <t>117899-47</t>
        </is>
      </c>
      <c r="B518" s="28" t="inlineStr">
        <is>
          <t>Ulyngo</t>
        </is>
      </c>
      <c r="C518" s="86">
        <f>HYPERLINK("https://my.pitchbook.com?rrp=117899-47&amp;type=c", "This Company's information is not available to download. Need this Company? Request availability")</f>
      </c>
      <c r="D518" s="30" t="inlineStr">
        <is>
          <t/>
        </is>
      </c>
      <c r="E518" s="31" t="inlineStr">
        <is>
          <t/>
        </is>
      </c>
      <c r="F518" s="32" t="inlineStr">
        <is>
          <t/>
        </is>
      </c>
      <c r="G518" s="33" t="inlineStr">
        <is>
          <t/>
        </is>
      </c>
      <c r="H518" s="34" t="inlineStr">
        <is>
          <t/>
        </is>
      </c>
      <c r="I518" s="35" t="inlineStr">
        <is>
          <t/>
        </is>
      </c>
      <c r="J518" s="36" t="inlineStr">
        <is>
          <t/>
        </is>
      </c>
      <c r="K518" s="37" t="inlineStr">
        <is>
          <t/>
        </is>
      </c>
      <c r="L518" s="38" t="inlineStr">
        <is>
          <t/>
        </is>
      </c>
      <c r="M518" s="39" t="inlineStr">
        <is>
          <t/>
        </is>
      </c>
      <c r="N518" s="40" t="inlineStr">
        <is>
          <t/>
        </is>
      </c>
      <c r="O518" s="41" t="inlineStr">
        <is>
          <t/>
        </is>
      </c>
      <c r="P518" s="42" t="inlineStr">
        <is>
          <t/>
        </is>
      </c>
      <c r="Q518" s="43" t="inlineStr">
        <is>
          <t/>
        </is>
      </c>
      <c r="R518" s="44" t="inlineStr">
        <is>
          <t/>
        </is>
      </c>
    </row>
    <row r="519">
      <c r="A519" s="9" t="inlineStr">
        <is>
          <t>160130-44</t>
        </is>
      </c>
      <c r="B519" s="10" t="inlineStr">
        <is>
          <t>Ultra Sport Products</t>
        </is>
      </c>
      <c r="C519" s="11" t="n">
        <v>0.0</v>
      </c>
      <c r="D519" s="12" t="n">
        <v>0.05405405405405406</v>
      </c>
      <c r="E519" s="13" t="inlineStr">
        <is>
          <t/>
        </is>
      </c>
      <c r="F519" s="14" t="n">
        <v>2.0</v>
      </c>
      <c r="G519" s="15" t="inlineStr">
        <is>
          <t/>
        </is>
      </c>
      <c r="H519" s="16" t="inlineStr">
        <is>
          <t/>
        </is>
      </c>
      <c r="I519" s="17" t="inlineStr">
        <is>
          <t/>
        </is>
      </c>
      <c r="J519" s="18" t="n">
        <v>0.37</v>
      </c>
      <c r="K519" s="19" t="inlineStr">
        <is>
          <t>Distributors/Wholesale (B2C)</t>
        </is>
      </c>
      <c r="L519" s="20" t="inlineStr">
        <is>
          <t>Manufacturer of shirt swingers, scarves and hangers. The company manufactures and distributes shirt scarves, swingers and hangers focused on the European football market.</t>
        </is>
      </c>
      <c r="M519" s="21" t="inlineStr">
        <is>
          <t/>
        </is>
      </c>
      <c r="N519" s="22" t="inlineStr">
        <is>
          <t>Angel-Backed</t>
        </is>
      </c>
      <c r="O519" s="23" t="inlineStr">
        <is>
          <t>Privately Held (backing)</t>
        </is>
      </c>
      <c r="P519" s="24" t="inlineStr">
        <is>
          <t>Highland, CA</t>
        </is>
      </c>
      <c r="Q519" s="25" t="inlineStr">
        <is>
          <t>www.ultrasportproducts.com</t>
        </is>
      </c>
      <c r="R519" s="113">
        <f>HYPERLINK("https://my.pitchbook.com?c=160130-44", "View company online")</f>
      </c>
    </row>
    <row r="520">
      <c r="A520" s="27" t="inlineStr">
        <is>
          <t>162106-48</t>
        </is>
      </c>
      <c r="B520" s="28" t="inlineStr">
        <is>
          <t>Ultimate HD Golf</t>
        </is>
      </c>
      <c r="C520" s="29" t="n">
        <v>0.12112042120868247</v>
      </c>
      <c r="D520" s="30" t="n">
        <v>0.12919254658385093</v>
      </c>
      <c r="E520" s="31" t="inlineStr">
        <is>
          <t/>
        </is>
      </c>
      <c r="F520" s="32" t="inlineStr">
        <is>
          <t/>
        </is>
      </c>
      <c r="G520" s="33" t="n">
        <v>104.0</v>
      </c>
      <c r="H520" s="34" t="inlineStr">
        <is>
          <t/>
        </is>
      </c>
      <c r="I520" s="35" t="inlineStr">
        <is>
          <t/>
        </is>
      </c>
      <c r="J520" s="36" t="n">
        <v>0.65</v>
      </c>
      <c r="K520" s="37" t="inlineStr">
        <is>
          <t>Recreational Goods</t>
        </is>
      </c>
      <c r="L520" s="38" t="inlineStr">
        <is>
          <t>Provider of indoor golf simulator facility to golfers. The company designs and creates indoor golf courses located within health and fitness clubs around the US and Canada enabling members to practice and play golf games.</t>
        </is>
      </c>
      <c r="M520" s="39" t="inlineStr">
        <is>
          <t/>
        </is>
      </c>
      <c r="N520" s="40" t="inlineStr">
        <is>
          <t>Angel-Backed</t>
        </is>
      </c>
      <c r="O520" s="41" t="inlineStr">
        <is>
          <t>Privately Held (backing)</t>
        </is>
      </c>
      <c r="P520" s="42" t="inlineStr">
        <is>
          <t>Rancho Santa Fe, CA</t>
        </is>
      </c>
      <c r="Q520" s="43" t="inlineStr">
        <is>
          <t>www.ultimatehdgolf.com</t>
        </is>
      </c>
      <c r="R520" s="114">
        <f>HYPERLINK("https://my.pitchbook.com?c=162106-48", "View company online")</f>
      </c>
    </row>
    <row r="521">
      <c r="A521" s="9" t="inlineStr">
        <is>
          <t>122245-57</t>
        </is>
      </c>
      <c r="B521" s="10" t="inlineStr">
        <is>
          <t>Ujoin</t>
        </is>
      </c>
      <c r="C521" s="11" t="n">
        <v>0.0</v>
      </c>
      <c r="D521" s="12" t="n">
        <v>0.02702702702702703</v>
      </c>
      <c r="E521" s="13" t="inlineStr">
        <is>
          <t/>
        </is>
      </c>
      <c r="F521" s="14" t="n">
        <v>1.0</v>
      </c>
      <c r="G521" s="15" t="inlineStr">
        <is>
          <t/>
        </is>
      </c>
      <c r="H521" s="16" t="inlineStr">
        <is>
          <t/>
        </is>
      </c>
      <c r="I521" s="17" t="n">
        <v>1.0</v>
      </c>
      <c r="J521" s="18" t="n">
        <v>0.02</v>
      </c>
      <c r="K521" s="19" t="inlineStr">
        <is>
          <t>Other Commercial Services</t>
        </is>
      </c>
      <c r="L521" s="20" t="inlineStr">
        <is>
          <t>Provider of an advocacy platform for nonprofits and small businesses. The comapny provides a platform to build online community, monitor bills and their progress and campaign for change.</t>
        </is>
      </c>
      <c r="M521" s="21" t="inlineStr">
        <is>
          <t>Blue Startups, Hawaii Community Foundation</t>
        </is>
      </c>
      <c r="N521" s="22" t="inlineStr">
        <is>
          <t>Accelerator/Incubator Backed</t>
        </is>
      </c>
      <c r="O521" s="23" t="inlineStr">
        <is>
          <t>Privately Held (backing)</t>
        </is>
      </c>
      <c r="P521" s="24" t="inlineStr">
        <is>
          <t>San Francisco, CA</t>
        </is>
      </c>
      <c r="Q521" s="25" t="inlineStr">
        <is>
          <t>www.ujoin.org</t>
        </is>
      </c>
      <c r="R521" s="113">
        <f>HYPERLINK("https://my.pitchbook.com?c=122245-57", "View company online")</f>
      </c>
    </row>
    <row r="522">
      <c r="A522" s="27" t="inlineStr">
        <is>
          <t>119878-57</t>
        </is>
      </c>
      <c r="B522" s="28" t="inlineStr">
        <is>
          <t>Uila</t>
        </is>
      </c>
      <c r="C522" s="29" t="n">
        <v>2.2283617365543185</v>
      </c>
      <c r="D522" s="30" t="n">
        <v>2.0349289967934037</v>
      </c>
      <c r="E522" s="31" t="inlineStr">
        <is>
          <t/>
        </is>
      </c>
      <c r="F522" s="32" t="n">
        <v>141.0</v>
      </c>
      <c r="G522" s="33" t="inlineStr">
        <is>
          <t/>
        </is>
      </c>
      <c r="H522" s="34" t="n">
        <v>62.0</v>
      </c>
      <c r="I522" s="35" t="n">
        <v>11.0</v>
      </c>
      <c r="J522" s="36" t="inlineStr">
        <is>
          <t/>
        </is>
      </c>
      <c r="K522" s="37" t="inlineStr">
        <is>
          <t>Application Software</t>
        </is>
      </c>
      <c r="L522" s="38" t="inlineStr">
        <is>
          <t>Provider of a performance management and measurement application. The company offers a performance management application allowing enterprises to measure their technology systems.</t>
        </is>
      </c>
      <c r="M522" s="39" t="inlineStr">
        <is>
          <t>Andy Poppink, Stan Chen, Zachary Nelson</t>
        </is>
      </c>
      <c r="N522" s="40" t="inlineStr">
        <is>
          <t>Angel-Backed</t>
        </is>
      </c>
      <c r="O522" s="41" t="inlineStr">
        <is>
          <t>Privately Held (backing)</t>
        </is>
      </c>
      <c r="P522" s="42" t="inlineStr">
        <is>
          <t>Santa Clara, CA</t>
        </is>
      </c>
      <c r="Q522" s="43" t="inlineStr">
        <is>
          <t>www.uila.com</t>
        </is>
      </c>
      <c r="R522" s="114">
        <f>HYPERLINK("https://my.pitchbook.com?c=119878-57", "View company online")</f>
      </c>
    </row>
    <row r="523">
      <c r="A523" s="9" t="inlineStr">
        <is>
          <t>98514-01</t>
        </is>
      </c>
      <c r="B523" s="10" t="inlineStr">
        <is>
          <t>Uguru.me</t>
        </is>
      </c>
      <c r="C523" s="11" t="n">
        <v>-0.0628999941623646</v>
      </c>
      <c r="D523" s="12" t="n">
        <v>1.0248615074702032</v>
      </c>
      <c r="E523" s="13" t="inlineStr">
        <is>
          <t/>
        </is>
      </c>
      <c r="F523" s="14" t="n">
        <v>4.0</v>
      </c>
      <c r="G523" s="15" t="n">
        <v>1563.0</v>
      </c>
      <c r="H523" s="16" t="inlineStr">
        <is>
          <t/>
        </is>
      </c>
      <c r="I523" s="17" t="n">
        <v>2.0</v>
      </c>
      <c r="J523" s="18" t="n">
        <v>0.1</v>
      </c>
      <c r="K523" s="19" t="inlineStr">
        <is>
          <t>Social/Platform Software</t>
        </is>
      </c>
      <c r="L523" s="20" t="inlineStr">
        <is>
          <t>Provider of peer-to-peer tutoring platform. The company accelerates collaborative learning on college campuses by offering Uber, company's product, for peer tutoring. It connects students who need help with peer tutors (Gurus) that have taken the same exact courses.</t>
        </is>
      </c>
      <c r="M523" s="21" t="inlineStr">
        <is>
          <t>500 Startups, Christine Tsai, Parker Thompson</t>
        </is>
      </c>
      <c r="N523" s="22" t="inlineStr">
        <is>
          <t>Accelerator/Incubator Backed</t>
        </is>
      </c>
      <c r="O523" s="23" t="inlineStr">
        <is>
          <t>Privately Held (backing)</t>
        </is>
      </c>
      <c r="P523" s="24" t="inlineStr">
        <is>
          <t>Berkeley, CA</t>
        </is>
      </c>
      <c r="Q523" s="25" t="inlineStr">
        <is>
          <t>www.uguru.me</t>
        </is>
      </c>
      <c r="R523" s="113">
        <f>HYPERLINK("https://my.pitchbook.com?c=98514-01", "View company online")</f>
      </c>
    </row>
    <row r="524">
      <c r="A524" s="27" t="inlineStr">
        <is>
          <t>176918-77</t>
        </is>
      </c>
      <c r="B524" s="28" t="inlineStr">
        <is>
          <t>Ugly Duckling Los Angeles</t>
        </is>
      </c>
      <c r="C524" s="86">
        <f>HYPERLINK("https://my.pitchbook.com?rrp=176918-77&amp;type=c", "This Company's information is not available to download. Need this Company? Request availability")</f>
      </c>
      <c r="D524" s="30" t="inlineStr">
        <is>
          <t/>
        </is>
      </c>
      <c r="E524" s="31" t="inlineStr">
        <is>
          <t/>
        </is>
      </c>
      <c r="F524" s="32" t="inlineStr">
        <is>
          <t/>
        </is>
      </c>
      <c r="G524" s="33" t="inlineStr">
        <is>
          <t/>
        </is>
      </c>
      <c r="H524" s="34" t="inlineStr">
        <is>
          <t/>
        </is>
      </c>
      <c r="I524" s="35" t="inlineStr">
        <is>
          <t/>
        </is>
      </c>
      <c r="J524" s="36" t="inlineStr">
        <is>
          <t/>
        </is>
      </c>
      <c r="K524" s="37" t="inlineStr">
        <is>
          <t/>
        </is>
      </c>
      <c r="L524" s="38" t="inlineStr">
        <is>
          <t/>
        </is>
      </c>
      <c r="M524" s="39" t="inlineStr">
        <is>
          <t/>
        </is>
      </c>
      <c r="N524" s="40" t="inlineStr">
        <is>
          <t/>
        </is>
      </c>
      <c r="O524" s="41" t="inlineStr">
        <is>
          <t/>
        </is>
      </c>
      <c r="P524" s="42" t="inlineStr">
        <is>
          <t/>
        </is>
      </c>
      <c r="Q524" s="43" t="inlineStr">
        <is>
          <t/>
        </is>
      </c>
      <c r="R524" s="44" t="inlineStr">
        <is>
          <t/>
        </is>
      </c>
    </row>
    <row r="525">
      <c r="A525" s="9" t="inlineStr">
        <is>
          <t>54011-17</t>
        </is>
      </c>
      <c r="B525" s="10" t="inlineStr">
        <is>
          <t>Ugallery</t>
        </is>
      </c>
      <c r="C525" s="11" t="n">
        <v>0.1896078631055363</v>
      </c>
      <c r="D525" s="12" t="n">
        <v>24.229085067275932</v>
      </c>
      <c r="E525" s="13" t="inlineStr">
        <is>
          <t/>
        </is>
      </c>
      <c r="F525" s="14" t="n">
        <v>1116.0</v>
      </c>
      <c r="G525" s="15" t="n">
        <v>20285.0</v>
      </c>
      <c r="H525" s="16" t="n">
        <v>4010.0</v>
      </c>
      <c r="I525" s="17" t="inlineStr">
        <is>
          <t/>
        </is>
      </c>
      <c r="J525" s="18" t="n">
        <v>0.03</v>
      </c>
      <c r="K525" s="19" t="inlineStr">
        <is>
          <t>Specialty Retail</t>
        </is>
      </c>
      <c r="L525" s="20" t="inlineStr">
        <is>
          <t>Provider of original paintings, photographs, prints, drawings, sculpture and limited edition prints on sustainable archival bamboo paper.</t>
        </is>
      </c>
      <c r="M525" s="21" t="inlineStr">
        <is>
          <t>Desert Angels</t>
        </is>
      </c>
      <c r="N525" s="22" t="inlineStr">
        <is>
          <t>Angel-Backed</t>
        </is>
      </c>
      <c r="O525" s="23" t="inlineStr">
        <is>
          <t>Privately Held (backing)</t>
        </is>
      </c>
      <c r="P525" s="24" t="inlineStr">
        <is>
          <t>San Francisco, CA</t>
        </is>
      </c>
      <c r="Q525" s="25" t="inlineStr">
        <is>
          <t>www.ugallery.com</t>
        </is>
      </c>
      <c r="R525" s="113">
        <f>HYPERLINK("https://my.pitchbook.com?c=54011-17", "View company online")</f>
      </c>
    </row>
    <row r="526">
      <c r="A526" s="27" t="inlineStr">
        <is>
          <t>101501-38</t>
        </is>
      </c>
      <c r="B526" s="28" t="inlineStr">
        <is>
          <t>UDesign</t>
        </is>
      </c>
      <c r="C526" s="29" t="n">
        <v>7.156357984789406E-4</v>
      </c>
      <c r="D526" s="30" t="n">
        <v>0.3898305084745763</v>
      </c>
      <c r="E526" s="31" t="inlineStr">
        <is>
          <t/>
        </is>
      </c>
      <c r="F526" s="32" t="inlineStr">
        <is>
          <t/>
        </is>
      </c>
      <c r="G526" s="33" t="inlineStr">
        <is>
          <t/>
        </is>
      </c>
      <c r="H526" s="34" t="n">
        <v>138.0</v>
      </c>
      <c r="I526" s="35" t="n">
        <v>2.0</v>
      </c>
      <c r="J526" s="36" t="inlineStr">
        <is>
          <t/>
        </is>
      </c>
      <c r="K526" s="37" t="inlineStr">
        <is>
          <t>Business/Productivity Software</t>
        </is>
      </c>
      <c r="L526" s="38" t="inlineStr">
        <is>
          <t>Provider of a business management platform for enterprises. The company offers a business management platform for enterprises involved in furniture retail, manufacturing or trading by handling their freight management, sales support and business analytics.</t>
        </is>
      </c>
      <c r="M526" s="39" t="inlineStr">
        <is>
          <t>Chicostart</t>
        </is>
      </c>
      <c r="N526" s="40" t="inlineStr">
        <is>
          <t>Accelerator/Incubator Backed</t>
        </is>
      </c>
      <c r="O526" s="41" t="inlineStr">
        <is>
          <t>Privately Held (backing)</t>
        </is>
      </c>
      <c r="P526" s="42" t="inlineStr">
        <is>
          <t>Chico, CA</t>
        </is>
      </c>
      <c r="Q526" s="43" t="inlineStr">
        <is>
          <t>www.furnysh.com</t>
        </is>
      </c>
      <c r="R526" s="114">
        <f>HYPERLINK("https://my.pitchbook.com?c=101501-38", "View company online")</f>
      </c>
    </row>
    <row r="527">
      <c r="A527" s="9" t="inlineStr">
        <is>
          <t>175911-67</t>
        </is>
      </c>
      <c r="B527" s="10" t="inlineStr">
        <is>
          <t>UCDplus</t>
        </is>
      </c>
      <c r="C527" s="85">
        <f>HYPERLINK("https://my.pitchbook.com?rrp=175911-67&amp;type=c", "This Company's information is not available to download. Need this Company? Request availability")</f>
      </c>
      <c r="D527" s="12" t="inlineStr">
        <is>
          <t/>
        </is>
      </c>
      <c r="E527" s="13" t="inlineStr">
        <is>
          <t/>
        </is>
      </c>
      <c r="F527" s="14" t="inlineStr">
        <is>
          <t/>
        </is>
      </c>
      <c r="G527" s="15" t="inlineStr">
        <is>
          <t/>
        </is>
      </c>
      <c r="H527" s="16" t="inlineStr">
        <is>
          <t/>
        </is>
      </c>
      <c r="I527" s="17" t="inlineStr">
        <is>
          <t/>
        </is>
      </c>
      <c r="J527" s="18" t="inlineStr">
        <is>
          <t/>
        </is>
      </c>
      <c r="K527" s="19" t="inlineStr">
        <is>
          <t/>
        </is>
      </c>
      <c r="L527" s="20" t="inlineStr">
        <is>
          <t/>
        </is>
      </c>
      <c r="M527" s="21" t="inlineStr">
        <is>
          <t/>
        </is>
      </c>
      <c r="N527" s="22" t="inlineStr">
        <is>
          <t/>
        </is>
      </c>
      <c r="O527" s="23" t="inlineStr">
        <is>
          <t/>
        </is>
      </c>
      <c r="P527" s="24" t="inlineStr">
        <is>
          <t/>
        </is>
      </c>
      <c r="Q527" s="25" t="inlineStr">
        <is>
          <t/>
        </is>
      </c>
      <c r="R527" s="26" t="inlineStr">
        <is>
          <t/>
        </is>
      </c>
    </row>
    <row r="528">
      <c r="A528" s="27" t="inlineStr">
        <is>
          <t>126568-00</t>
        </is>
      </c>
      <c r="B528" s="28" t="inlineStr">
        <is>
          <t>Ubiquity University</t>
        </is>
      </c>
      <c r="C528" s="29" t="n">
        <v>0.06543708972495295</v>
      </c>
      <c r="D528" s="30" t="n">
        <v>1.841781899280057</v>
      </c>
      <c r="E528" s="31" t="inlineStr">
        <is>
          <t/>
        </is>
      </c>
      <c r="F528" s="32" t="n">
        <v>40.0</v>
      </c>
      <c r="G528" s="33" t="n">
        <v>2744.0</v>
      </c>
      <c r="H528" s="34" t="n">
        <v>630.0</v>
      </c>
      <c r="I528" s="35" t="inlineStr">
        <is>
          <t/>
        </is>
      </c>
      <c r="J528" s="36" t="n">
        <v>0.52</v>
      </c>
      <c r="K528" s="37" t="inlineStr">
        <is>
          <t>Information Services (B2C)</t>
        </is>
      </c>
      <c r="L528" s="38" t="inlineStr">
        <is>
          <t>Operator of an educational institution. The company provides online modular and competency based learning courses and programs.</t>
        </is>
      </c>
      <c r="M528" s="39" t="inlineStr">
        <is>
          <t>Dianne Brause, Jan De Dood, Lisette Schuitemaker, Martin Verwoert, Stephen Roulac, Thomas van Praag</t>
        </is>
      </c>
      <c r="N528" s="40" t="inlineStr">
        <is>
          <t>Angel-Backed</t>
        </is>
      </c>
      <c r="O528" s="41" t="inlineStr">
        <is>
          <t>Privately Held (backing)</t>
        </is>
      </c>
      <c r="P528" s="42" t="inlineStr">
        <is>
          <t>Mill Valley, CA</t>
        </is>
      </c>
      <c r="Q528" s="43" t="inlineStr">
        <is>
          <t>www.ubiquityuniversity.org</t>
        </is>
      </c>
      <c r="R528" s="114">
        <f>HYPERLINK("https://my.pitchbook.com?c=126568-00", "View company online")</f>
      </c>
    </row>
    <row r="529">
      <c r="A529" s="9" t="inlineStr">
        <is>
          <t>118658-17</t>
        </is>
      </c>
      <c r="B529" s="10" t="inlineStr">
        <is>
          <t>Ubiquitome</t>
        </is>
      </c>
      <c r="C529" s="11" t="n">
        <v>0.0</v>
      </c>
      <c r="D529" s="12" t="n">
        <v>0.6253685783899491</v>
      </c>
      <c r="E529" s="13" t="inlineStr">
        <is>
          <t/>
        </is>
      </c>
      <c r="F529" s="14" t="n">
        <v>41.0</v>
      </c>
      <c r="G529" s="15" t="n">
        <v>75.0</v>
      </c>
      <c r="H529" s="16" t="n">
        <v>68.0</v>
      </c>
      <c r="I529" s="17" t="n">
        <v>1.0</v>
      </c>
      <c r="J529" s="18" t="inlineStr">
        <is>
          <t/>
        </is>
      </c>
      <c r="K529" s="19" t="inlineStr">
        <is>
          <t>Social/Platform Software</t>
        </is>
      </c>
      <c r="L529" s="20" t="inlineStr">
        <is>
          <t>Developer of an online platform for genetic information. The company provides cloud connected genetic analysis devices to access genomic information.</t>
        </is>
      </c>
      <c r="M529" s="21" t="inlineStr">
        <is>
          <t>ICE Angels</t>
        </is>
      </c>
      <c r="N529" s="22" t="inlineStr">
        <is>
          <t>Angel-Backed</t>
        </is>
      </c>
      <c r="O529" s="23" t="inlineStr">
        <is>
          <t>Privately Held (backing)</t>
        </is>
      </c>
      <c r="P529" s="24" t="inlineStr">
        <is>
          <t>New Zealand</t>
        </is>
      </c>
      <c r="Q529" s="25" t="inlineStr">
        <is>
          <t>www.ubiquitomebio.com</t>
        </is>
      </c>
      <c r="R529" s="113">
        <f>HYPERLINK("https://my.pitchbook.com?c=118658-17", "View company online")</f>
      </c>
    </row>
    <row r="530">
      <c r="A530" s="27" t="inlineStr">
        <is>
          <t>125629-57</t>
        </is>
      </c>
      <c r="B530" s="28" t="inlineStr">
        <is>
          <t>Ubicall</t>
        </is>
      </c>
      <c r="C530" s="29" t="n">
        <v>0.0</v>
      </c>
      <c r="D530" s="30" t="n">
        <v>0.36127451538284255</v>
      </c>
      <c r="E530" s="31" t="inlineStr">
        <is>
          <t/>
        </is>
      </c>
      <c r="F530" s="32" t="n">
        <v>25.0</v>
      </c>
      <c r="G530" s="33" t="n">
        <v>55.0</v>
      </c>
      <c r="H530" s="34" t="n">
        <v>9.0</v>
      </c>
      <c r="I530" s="35" t="inlineStr">
        <is>
          <t/>
        </is>
      </c>
      <c r="J530" s="36" t="n">
        <v>0.04</v>
      </c>
      <c r="K530" s="37" t="inlineStr">
        <is>
          <t>Social/Platform Software</t>
        </is>
      </c>
      <c r="L530" s="38" t="inlineStr">
        <is>
          <t>Provider of a customer service management platform. The company's platform leverages smartphones to allow enterprises to offer better customer support services through features such as Interactive Visual Response and Virtual Queuing.</t>
        </is>
      </c>
      <c r="M530" s="39" t="inlineStr">
        <is>
          <t>Alchemist Accelerator</t>
        </is>
      </c>
      <c r="N530" s="40" t="inlineStr">
        <is>
          <t>Accelerator/Incubator Backed</t>
        </is>
      </c>
      <c r="O530" s="41" t="inlineStr">
        <is>
          <t>Privately Held (backing)</t>
        </is>
      </c>
      <c r="P530" s="42" t="inlineStr">
        <is>
          <t>Menlo Park, CA</t>
        </is>
      </c>
      <c r="Q530" s="43" t="inlineStr">
        <is>
          <t>www.ubicall.com</t>
        </is>
      </c>
      <c r="R530" s="114">
        <f>HYPERLINK("https://my.pitchbook.com?c=125629-57", "View company online")</f>
      </c>
    </row>
    <row r="531">
      <c r="A531" s="9" t="inlineStr">
        <is>
          <t>87179-77</t>
        </is>
      </c>
      <c r="B531" s="10" t="inlineStr">
        <is>
          <t>Ubica</t>
        </is>
      </c>
      <c r="C531" s="11" t="inlineStr">
        <is>
          <t/>
        </is>
      </c>
      <c r="D531" s="12" t="inlineStr">
        <is>
          <t/>
        </is>
      </c>
      <c r="E531" s="13" t="inlineStr">
        <is>
          <t/>
        </is>
      </c>
      <c r="F531" s="14" t="inlineStr">
        <is>
          <t/>
        </is>
      </c>
      <c r="G531" s="15" t="inlineStr">
        <is>
          <t/>
        </is>
      </c>
      <c r="H531" s="16" t="inlineStr">
        <is>
          <t/>
        </is>
      </c>
      <c r="I531" s="17" t="n">
        <v>3.0</v>
      </c>
      <c r="J531" s="18" t="inlineStr">
        <is>
          <t/>
        </is>
      </c>
      <c r="K531" s="19" t="inlineStr">
        <is>
          <t>Other Information Technology</t>
        </is>
      </c>
      <c r="L531" s="20" t="inlineStr">
        <is>
          <t>Provider of 3D motion tracking services for computers. The company provides services to change the way how computers see and understand physical movements in the three dimensional world.</t>
        </is>
      </c>
      <c r="M531" s="21" t="inlineStr">
        <is>
          <t>Wearable IoT World</t>
        </is>
      </c>
      <c r="N531" s="22" t="inlineStr">
        <is>
          <t>Accelerator/Incubator Backed</t>
        </is>
      </c>
      <c r="O531" s="23" t="inlineStr">
        <is>
          <t>Privately Held (backing)</t>
        </is>
      </c>
      <c r="P531" s="24" t="inlineStr">
        <is>
          <t>Los Angeles, CA</t>
        </is>
      </c>
      <c r="Q531" s="25" t="inlineStr">
        <is>
          <t>www.ubicalabs.com</t>
        </is>
      </c>
      <c r="R531" s="113">
        <f>HYPERLINK("https://my.pitchbook.com?c=87179-77", "View company online")</f>
      </c>
    </row>
    <row r="532">
      <c r="A532" s="27" t="inlineStr">
        <is>
          <t>166102-66</t>
        </is>
      </c>
      <c r="B532" s="28" t="inlineStr">
        <is>
          <t>Ubby</t>
        </is>
      </c>
      <c r="C532" s="29" t="inlineStr">
        <is>
          <t/>
        </is>
      </c>
      <c r="D532" s="30" t="inlineStr">
        <is>
          <t/>
        </is>
      </c>
      <c r="E532" s="31" t="inlineStr">
        <is>
          <t/>
        </is>
      </c>
      <c r="F532" s="32" t="inlineStr">
        <is>
          <t/>
        </is>
      </c>
      <c r="G532" s="33" t="inlineStr">
        <is>
          <t/>
        </is>
      </c>
      <c r="H532" s="34" t="inlineStr">
        <is>
          <t/>
        </is>
      </c>
      <c r="I532" s="35" t="inlineStr">
        <is>
          <t/>
        </is>
      </c>
      <c r="J532" s="36" t="inlineStr">
        <is>
          <t/>
        </is>
      </c>
      <c r="K532" s="37" t="inlineStr">
        <is>
          <t>Social/Platform Software</t>
        </is>
      </c>
      <c r="L532" s="38" t="inlineStr">
        <is>
          <t>Provider of a social content monetization platform. The company provides an online platform that converts blogs, posts and similar social contents into monetary rewards thereby helping brands in product endorsement through customer-based social advertising and digital marketing.</t>
        </is>
      </c>
      <c r="M532" s="39" t="inlineStr">
        <is>
          <t/>
        </is>
      </c>
      <c r="N532" s="40" t="inlineStr">
        <is>
          <t>Angel-Backed</t>
        </is>
      </c>
      <c r="O532" s="41" t="inlineStr">
        <is>
          <t>Privately Held (backing)</t>
        </is>
      </c>
      <c r="P532" s="42" t="inlineStr">
        <is>
          <t>San Francisco, CA</t>
        </is>
      </c>
      <c r="Q532" s="43" t="inlineStr">
        <is>
          <t>ubby.io</t>
        </is>
      </c>
      <c r="R532" s="114">
        <f>HYPERLINK("https://my.pitchbook.com?c=166102-66", "View company online")</f>
      </c>
    </row>
    <row r="533">
      <c r="A533" s="9" t="inlineStr">
        <is>
          <t>161977-15</t>
        </is>
      </c>
      <c r="B533" s="10" t="inlineStr">
        <is>
          <t>UAV-IQ Precision Agriculture</t>
        </is>
      </c>
      <c r="C533" s="11" t="n">
        <v>0.2858527900401515</v>
      </c>
      <c r="D533" s="12" t="n">
        <v>1.185356993481533</v>
      </c>
      <c r="E533" s="13" t="inlineStr">
        <is>
          <t/>
        </is>
      </c>
      <c r="F533" s="14" t="n">
        <v>66.0</v>
      </c>
      <c r="G533" s="15" t="n">
        <v>214.0</v>
      </c>
      <c r="H533" s="16" t="n">
        <v>318.0</v>
      </c>
      <c r="I533" s="17" t="inlineStr">
        <is>
          <t/>
        </is>
      </c>
      <c r="J533" s="18" t="n">
        <v>0.09</v>
      </c>
      <c r="K533" s="19" t="inlineStr">
        <is>
          <t>Other Commercial Services</t>
        </is>
      </c>
      <c r="L533" s="20" t="inlineStr">
        <is>
          <t>Provider of high resolution imagery and data analysis services intended to offer farmers actionable intelligence via field scouting services. The company's high resolution imagery and data analysis services leverages cutting-edge remote sensing and drone technologies and utilizes data collected from unmanned aerial vehicles to offer actionable, high resolution imagery and analysis through mobile, enabling farm producers to improve crop yields and farm products.</t>
        </is>
      </c>
      <c r="M533" s="21" t="inlineStr">
        <is>
          <t>Parallel 18, Start-Up Chile, Thrive Accelerator, UCLA Anderson School of Management</t>
        </is>
      </c>
      <c r="N533" s="22" t="inlineStr">
        <is>
          <t>Accelerator/Incubator Backed</t>
        </is>
      </c>
      <c r="O533" s="23" t="inlineStr">
        <is>
          <t>Privately Held (backing)</t>
        </is>
      </c>
      <c r="P533" s="24" t="inlineStr">
        <is>
          <t>Los Angeles, CA</t>
        </is>
      </c>
      <c r="Q533" s="25" t="inlineStr">
        <is>
          <t>www.uaviq.farm</t>
        </is>
      </c>
      <c r="R533" s="113">
        <f>HYPERLINK("https://my.pitchbook.com?c=161977-15", "View company online")</f>
      </c>
    </row>
    <row r="534">
      <c r="A534" s="27" t="inlineStr">
        <is>
          <t>148153-42</t>
        </is>
      </c>
      <c r="B534" s="28" t="inlineStr">
        <is>
          <t>UAV-IQ</t>
        </is>
      </c>
      <c r="C534" s="29" t="n">
        <v>0.0</v>
      </c>
      <c r="D534" s="30" t="n">
        <v>0.08108108108108109</v>
      </c>
      <c r="E534" s="31" t="inlineStr">
        <is>
          <t/>
        </is>
      </c>
      <c r="F534" s="32" t="n">
        <v>3.0</v>
      </c>
      <c r="G534" s="33" t="inlineStr">
        <is>
          <t/>
        </is>
      </c>
      <c r="H534" s="34" t="inlineStr">
        <is>
          <t/>
        </is>
      </c>
      <c r="I534" s="35" t="inlineStr">
        <is>
          <t/>
        </is>
      </c>
      <c r="J534" s="36" t="inlineStr">
        <is>
          <t/>
        </is>
      </c>
      <c r="K534" s="37" t="inlineStr">
        <is>
          <t>Consulting Services (B2B)</t>
        </is>
      </c>
      <c r="L534" s="38" t="inlineStr">
        <is>
          <t>Provider of marketing strategies and consultancy services. The company provides industry analysis, strategic vision and project management expertise for companies and organizations.</t>
        </is>
      </c>
      <c r="M534" s="39" t="inlineStr">
        <is>
          <t>Vet-Tech Accelerator</t>
        </is>
      </c>
      <c r="N534" s="40" t="inlineStr">
        <is>
          <t>Accelerator/Incubator Backed</t>
        </is>
      </c>
      <c r="O534" s="41" t="inlineStr">
        <is>
          <t>Privately Held (backing)</t>
        </is>
      </c>
      <c r="P534" s="42" t="inlineStr">
        <is>
          <t>Los Angeles, CA</t>
        </is>
      </c>
      <c r="Q534" s="43" t="inlineStr">
        <is>
          <t>www.uaviqconsulting.com</t>
        </is>
      </c>
      <c r="R534" s="114">
        <f>HYPERLINK("https://my.pitchbook.com?c=148153-42", "View company online")</f>
      </c>
    </row>
    <row r="535">
      <c r="A535" s="9" t="inlineStr">
        <is>
          <t>95508-82</t>
        </is>
      </c>
      <c r="B535" s="10" t="inlineStr">
        <is>
          <t>Tytanium Ideas</t>
        </is>
      </c>
      <c r="C535" s="11" t="n">
        <v>0.009337493518677555</v>
      </c>
      <c r="D535" s="12" t="n">
        <v>3.9891968239425863</v>
      </c>
      <c r="E535" s="13" t="inlineStr">
        <is>
          <t/>
        </is>
      </c>
      <c r="F535" s="14" t="n">
        <v>19.0</v>
      </c>
      <c r="G535" s="15" t="inlineStr">
        <is>
          <t/>
        </is>
      </c>
      <c r="H535" s="16" t="n">
        <v>2637.0</v>
      </c>
      <c r="I535" s="17" t="n">
        <v>18.0</v>
      </c>
      <c r="J535" s="18" t="n">
        <v>0.09</v>
      </c>
      <c r="K535" s="19" t="inlineStr">
        <is>
          <t>Media and Information Services (B2B)</t>
        </is>
      </c>
      <c r="L535" s="20" t="inlineStr">
        <is>
          <t>Operator of a digital media marketing agency. The company offers digital media marketing services through the use of social media and web tools.</t>
        </is>
      </c>
      <c r="M535" s="21" t="inlineStr">
        <is>
          <t>Berg Investments</t>
        </is>
      </c>
      <c r="N535" s="22" t="inlineStr">
        <is>
          <t>Angel-Backed</t>
        </is>
      </c>
      <c r="O535" s="23" t="inlineStr">
        <is>
          <t>Privately Held (backing)</t>
        </is>
      </c>
      <c r="P535" s="24" t="inlineStr">
        <is>
          <t>Lincoln, CA</t>
        </is>
      </c>
      <c r="Q535" s="25" t="inlineStr">
        <is>
          <t>www.tytaniumideas.com</t>
        </is>
      </c>
      <c r="R535" s="113">
        <f>HYPERLINK("https://my.pitchbook.com?c=95508-82", "View company online")</f>
      </c>
    </row>
    <row r="536">
      <c r="A536" s="27" t="inlineStr">
        <is>
          <t>95340-61</t>
        </is>
      </c>
      <c r="B536" s="28" t="inlineStr">
        <is>
          <t>Typo Innovations</t>
        </is>
      </c>
      <c r="C536" s="29" t="n">
        <v>-0.132914801884491</v>
      </c>
      <c r="D536" s="30" t="n">
        <v>0.3045998440803157</v>
      </c>
      <c r="E536" s="31" t="inlineStr">
        <is>
          <t/>
        </is>
      </c>
      <c r="F536" s="32" t="n">
        <v>8.0</v>
      </c>
      <c r="G536" s="33" t="n">
        <v>353.0</v>
      </c>
      <c r="H536" s="34" t="n">
        <v>123.0</v>
      </c>
      <c r="I536" s="35" t="inlineStr">
        <is>
          <t/>
        </is>
      </c>
      <c r="J536" s="36" t="n">
        <v>1.0</v>
      </c>
      <c r="K536" s="37" t="inlineStr">
        <is>
          <t>Electronics (B2C)</t>
        </is>
      </c>
      <c r="L536" s="38" t="inlineStr">
        <is>
          <t>Manufacturer of human interface devices and mobile accessories. The company designs and manufactures detachable keyboard for mobile phones and tablet devices.</t>
        </is>
      </c>
      <c r="M536" s="39" t="inlineStr">
        <is>
          <t/>
        </is>
      </c>
      <c r="N536" s="40" t="inlineStr">
        <is>
          <t>Angel-Backed</t>
        </is>
      </c>
      <c r="O536" s="41" t="inlineStr">
        <is>
          <t>Privately Held (backing)</t>
        </is>
      </c>
      <c r="P536" s="42" t="inlineStr">
        <is>
          <t>Los Angeles, CA</t>
        </is>
      </c>
      <c r="Q536" s="43" t="inlineStr">
        <is>
          <t>www.gettypo.com</t>
        </is>
      </c>
      <c r="R536" s="114">
        <f>HYPERLINK("https://my.pitchbook.com?c=95340-61", "View company online")</f>
      </c>
    </row>
    <row r="537">
      <c r="A537" s="9" t="inlineStr">
        <is>
          <t>113244-67</t>
        </is>
      </c>
      <c r="B537" s="10" t="inlineStr">
        <is>
          <t>Type A Machines</t>
        </is>
      </c>
      <c r="C537" s="11" t="n">
        <v>0.620986919472278</v>
      </c>
      <c r="D537" s="12" t="n">
        <v>8.73184396366047</v>
      </c>
      <c r="E537" s="13" t="inlineStr">
        <is>
          <t/>
        </is>
      </c>
      <c r="F537" s="14" t="n">
        <v>511.0</v>
      </c>
      <c r="G537" s="15" t="n">
        <v>1684.0</v>
      </c>
      <c r="H537" s="16" t="n">
        <v>1827.0</v>
      </c>
      <c r="I537" s="17" t="n">
        <v>26.0</v>
      </c>
      <c r="J537" s="18" t="inlineStr">
        <is>
          <t/>
        </is>
      </c>
      <c r="K537" s="19" t="inlineStr">
        <is>
          <t>Computers, Parts and Peripherals</t>
        </is>
      </c>
      <c r="L537" s="20" t="inlineStr">
        <is>
          <t>Developer of 3D Printers. The company offers a 3D ecosystem of digital design and fabrication services, including the Series 1 Pro 3D printers, Print Pod, materials, workflow software, casting, modeling, and parts on demand services.</t>
        </is>
      </c>
      <c r="M537" s="21" t="inlineStr">
        <is>
          <t>Bay Area Advanced Manufacturers</t>
        </is>
      </c>
      <c r="N537" s="22" t="inlineStr">
        <is>
          <t>Accelerator/Incubator Backed</t>
        </is>
      </c>
      <c r="O537" s="23" t="inlineStr">
        <is>
          <t>Privately Held (backing)</t>
        </is>
      </c>
      <c r="P537" s="24" t="inlineStr">
        <is>
          <t>San Francisco, CA</t>
        </is>
      </c>
      <c r="Q537" s="25" t="inlineStr">
        <is>
          <t>www.typeamachines.com</t>
        </is>
      </c>
      <c r="R537" s="113">
        <f>HYPERLINK("https://my.pitchbook.com?c=113244-67", "View company online")</f>
      </c>
    </row>
    <row r="538">
      <c r="A538" s="27" t="inlineStr">
        <is>
          <t>104437-09</t>
        </is>
      </c>
      <c r="B538" s="28" t="inlineStr">
        <is>
          <t>TYLT</t>
        </is>
      </c>
      <c r="C538" s="29" t="n">
        <v>0.10337718385689977</v>
      </c>
      <c r="D538" s="30" t="n">
        <v>24.356509006637964</v>
      </c>
      <c r="E538" s="31" t="inlineStr">
        <is>
          <t/>
        </is>
      </c>
      <c r="F538" s="32" t="n">
        <v>1190.0</v>
      </c>
      <c r="G538" s="33" t="n">
        <v>14838.0</v>
      </c>
      <c r="H538" s="34" t="n">
        <v>5169.0</v>
      </c>
      <c r="I538" s="35" t="inlineStr">
        <is>
          <t/>
        </is>
      </c>
      <c r="J538" s="36" t="inlineStr">
        <is>
          <t/>
        </is>
      </c>
      <c r="K538" s="37" t="inlineStr">
        <is>
          <t>Electronics (B2C)</t>
        </is>
      </c>
      <c r="L538" s="38" t="inlineStr">
        <is>
          <t>Developer of portable charging devices. The company develops portable power banks, wireless chargers, wearable bands other types of chargers for mobile devices.</t>
        </is>
      </c>
      <c r="M538" s="39" t="inlineStr">
        <is>
          <t/>
        </is>
      </c>
      <c r="N538" s="40" t="inlineStr">
        <is>
          <t>Angel-Backed</t>
        </is>
      </c>
      <c r="O538" s="41" t="inlineStr">
        <is>
          <t>Privately Held (backing)</t>
        </is>
      </c>
      <c r="P538" s="42" t="inlineStr">
        <is>
          <t>Simi Valley, CA</t>
        </is>
      </c>
      <c r="Q538" s="43" t="inlineStr">
        <is>
          <t>www.tylt.com</t>
        </is>
      </c>
      <c r="R538" s="114">
        <f>HYPERLINK("https://my.pitchbook.com?c=104437-09", "View company online")</f>
      </c>
    </row>
    <row r="539">
      <c r="A539" s="9" t="inlineStr">
        <is>
          <t>172879-21</t>
        </is>
      </c>
      <c r="B539" s="10" t="inlineStr">
        <is>
          <t>TYDE</t>
        </is>
      </c>
      <c r="C539" s="85">
        <f>HYPERLINK("https://my.pitchbook.com?rrp=172879-21&amp;type=c", "This Company's information is not available to download. Need this Company? Request availability")</f>
      </c>
      <c r="D539" s="12" t="inlineStr">
        <is>
          <t/>
        </is>
      </c>
      <c r="E539" s="13" t="inlineStr">
        <is>
          <t/>
        </is>
      </c>
      <c r="F539" s="14" t="inlineStr">
        <is>
          <t/>
        </is>
      </c>
      <c r="G539" s="15" t="inlineStr">
        <is>
          <t/>
        </is>
      </c>
      <c r="H539" s="16" t="inlineStr">
        <is>
          <t/>
        </is>
      </c>
      <c r="I539" s="17" t="inlineStr">
        <is>
          <t/>
        </is>
      </c>
      <c r="J539" s="18" t="inlineStr">
        <is>
          <t/>
        </is>
      </c>
      <c r="K539" s="19" t="inlineStr">
        <is>
          <t/>
        </is>
      </c>
      <c r="L539" s="20" t="inlineStr">
        <is>
          <t/>
        </is>
      </c>
      <c r="M539" s="21" t="inlineStr">
        <is>
          <t/>
        </is>
      </c>
      <c r="N539" s="22" t="inlineStr">
        <is>
          <t/>
        </is>
      </c>
      <c r="O539" s="23" t="inlineStr">
        <is>
          <t/>
        </is>
      </c>
      <c r="P539" s="24" t="inlineStr">
        <is>
          <t/>
        </is>
      </c>
      <c r="Q539" s="25" t="inlineStr">
        <is>
          <t/>
        </is>
      </c>
      <c r="R539" s="26" t="inlineStr">
        <is>
          <t/>
        </is>
      </c>
    </row>
    <row r="540">
      <c r="A540" s="27" t="inlineStr">
        <is>
          <t>174089-89</t>
        </is>
      </c>
      <c r="B540" s="28" t="inlineStr">
        <is>
          <t>TwoWayPay</t>
        </is>
      </c>
      <c r="C540" s="86">
        <f>HYPERLINK("https://my.pitchbook.com?rrp=174089-89&amp;type=c", "This Company's information is not available to download. Need this Company? Request availability")</f>
      </c>
      <c r="D540" s="30" t="inlineStr">
        <is>
          <t/>
        </is>
      </c>
      <c r="E540" s="31" t="inlineStr">
        <is>
          <t/>
        </is>
      </c>
      <c r="F540" s="32" t="inlineStr">
        <is>
          <t/>
        </is>
      </c>
      <c r="G540" s="33" t="inlineStr">
        <is>
          <t/>
        </is>
      </c>
      <c r="H540" s="34" t="inlineStr">
        <is>
          <t/>
        </is>
      </c>
      <c r="I540" s="35" t="inlineStr">
        <is>
          <t/>
        </is>
      </c>
      <c r="J540" s="36" t="inlineStr">
        <is>
          <t/>
        </is>
      </c>
      <c r="K540" s="37" t="inlineStr">
        <is>
          <t/>
        </is>
      </c>
      <c r="L540" s="38" t="inlineStr">
        <is>
          <t/>
        </is>
      </c>
      <c r="M540" s="39" t="inlineStr">
        <is>
          <t/>
        </is>
      </c>
      <c r="N540" s="40" t="inlineStr">
        <is>
          <t/>
        </is>
      </c>
      <c r="O540" s="41" t="inlineStr">
        <is>
          <t/>
        </is>
      </c>
      <c r="P540" s="42" t="inlineStr">
        <is>
          <t/>
        </is>
      </c>
      <c r="Q540" s="43" t="inlineStr">
        <is>
          <t/>
        </is>
      </c>
      <c r="R540" s="44" t="inlineStr">
        <is>
          <t/>
        </is>
      </c>
    </row>
    <row r="541">
      <c r="A541" s="9" t="inlineStr">
        <is>
          <t>104206-15</t>
        </is>
      </c>
      <c r="B541" s="10" t="inlineStr">
        <is>
          <t>Twicketer</t>
        </is>
      </c>
      <c r="C541" s="11" t="n">
        <v>-0.0036912065860266567</v>
      </c>
      <c r="D541" s="12" t="n">
        <v>1.1344366737513385</v>
      </c>
      <c r="E541" s="13" t="inlineStr">
        <is>
          <t/>
        </is>
      </c>
      <c r="F541" s="14" t="n">
        <v>20.0</v>
      </c>
      <c r="G541" s="15" t="n">
        <v>404.0</v>
      </c>
      <c r="H541" s="16" t="n">
        <v>1046.0</v>
      </c>
      <c r="I541" s="17" t="n">
        <v>7.0</v>
      </c>
      <c r="J541" s="18" t="inlineStr">
        <is>
          <t/>
        </is>
      </c>
      <c r="K541" s="19" t="inlineStr">
        <is>
          <t>Social/Platform Software</t>
        </is>
      </c>
      <c r="L541" s="20" t="inlineStr">
        <is>
          <t>Developer of a software distribution platform. The company allows to create and distribute mobile tickets, coupons and vouchers and also offers free SMS and Twitter marketing tools to help in reaching the audience.</t>
        </is>
      </c>
      <c r="M541" s="21" t="inlineStr">
        <is>
          <t>Opus Logica</t>
        </is>
      </c>
      <c r="N541" s="22" t="inlineStr">
        <is>
          <t>Accelerator/Incubator Backed</t>
        </is>
      </c>
      <c r="O541" s="23" t="inlineStr">
        <is>
          <t>Privately Held (backing)</t>
        </is>
      </c>
      <c r="P541" s="24" t="inlineStr">
        <is>
          <t>Santa Barbara, CA</t>
        </is>
      </c>
      <c r="Q541" s="25" t="inlineStr">
        <is>
          <t>www.twicketer.com</t>
        </is>
      </c>
      <c r="R541" s="113">
        <f>HYPERLINK("https://my.pitchbook.com?c=104206-15", "View company online")</f>
      </c>
    </row>
    <row r="542">
      <c r="A542" s="27" t="inlineStr">
        <is>
          <t>148659-40</t>
        </is>
      </c>
      <c r="B542" s="28" t="inlineStr">
        <is>
          <t>TwentySeven</t>
        </is>
      </c>
      <c r="C542" s="29" t="inlineStr">
        <is>
          <t/>
        </is>
      </c>
      <c r="D542" s="30" t="inlineStr">
        <is>
          <t/>
        </is>
      </c>
      <c r="E542" s="31" t="inlineStr">
        <is>
          <t/>
        </is>
      </c>
      <c r="F542" s="32" t="inlineStr">
        <is>
          <t/>
        </is>
      </c>
      <c r="G542" s="33" t="inlineStr">
        <is>
          <t/>
        </is>
      </c>
      <c r="H542" s="34" t="inlineStr">
        <is>
          <t/>
        </is>
      </c>
      <c r="I542" s="35" t="inlineStr">
        <is>
          <t/>
        </is>
      </c>
      <c r="J542" s="36" t="n">
        <v>0.01</v>
      </c>
      <c r="K542" s="37" t="inlineStr">
        <is>
          <t>Application Software</t>
        </is>
      </c>
      <c r="L542" s="38" t="inlineStr">
        <is>
          <t>Provider of a used clothes trading platform. The company's platform allows users to sell and buy used clothing in their local community through a mobile application.</t>
        </is>
      </c>
      <c r="M542" s="39" t="inlineStr">
        <is>
          <t>SLO HotHouse</t>
        </is>
      </c>
      <c r="N542" s="40" t="inlineStr">
        <is>
          <t>Accelerator/Incubator Backed</t>
        </is>
      </c>
      <c r="O542" s="41" t="inlineStr">
        <is>
          <t>Privately Held (backing)</t>
        </is>
      </c>
      <c r="P542" s="42" t="inlineStr">
        <is>
          <t>San Luis Obispo, CA</t>
        </is>
      </c>
      <c r="Q542" s="43" t="inlineStr">
        <is>
          <t>www.twentysevenapp.com</t>
        </is>
      </c>
      <c r="R542" s="114">
        <f>HYPERLINK("https://my.pitchbook.com?c=148659-40", "View company online")</f>
      </c>
    </row>
    <row r="543">
      <c r="A543" s="9" t="inlineStr">
        <is>
          <t>119986-30</t>
        </is>
      </c>
      <c r="B543" s="10" t="inlineStr">
        <is>
          <t>TVtibi</t>
        </is>
      </c>
      <c r="C543" s="85">
        <f>HYPERLINK("https://my.pitchbook.com?rrp=119986-30&amp;type=c", "This Company's information is not available to download. Need this Company? Request availability")</f>
      </c>
      <c r="D543" s="12" t="inlineStr">
        <is>
          <t/>
        </is>
      </c>
      <c r="E543" s="13" t="inlineStr">
        <is>
          <t/>
        </is>
      </c>
      <c r="F543" s="14" t="inlineStr">
        <is>
          <t/>
        </is>
      </c>
      <c r="G543" s="15" t="inlineStr">
        <is>
          <t/>
        </is>
      </c>
      <c r="H543" s="16" t="inlineStr">
        <is>
          <t/>
        </is>
      </c>
      <c r="I543" s="17" t="inlineStr">
        <is>
          <t/>
        </is>
      </c>
      <c r="J543" s="18" t="inlineStr">
        <is>
          <t/>
        </is>
      </c>
      <c r="K543" s="19" t="inlineStr">
        <is>
          <t/>
        </is>
      </c>
      <c r="L543" s="20" t="inlineStr">
        <is>
          <t/>
        </is>
      </c>
      <c r="M543" s="21" t="inlineStr">
        <is>
          <t/>
        </is>
      </c>
      <c r="N543" s="22" t="inlineStr">
        <is>
          <t/>
        </is>
      </c>
      <c r="O543" s="23" t="inlineStr">
        <is>
          <t/>
        </is>
      </c>
      <c r="P543" s="24" t="inlineStr">
        <is>
          <t/>
        </is>
      </c>
      <c r="Q543" s="25" t="inlineStr">
        <is>
          <t/>
        </is>
      </c>
      <c r="R543" s="26" t="inlineStr">
        <is>
          <t/>
        </is>
      </c>
    </row>
    <row r="544">
      <c r="A544" s="27" t="inlineStr">
        <is>
          <t>95625-01</t>
        </is>
      </c>
      <c r="B544" s="28" t="inlineStr">
        <is>
          <t>TVPage</t>
        </is>
      </c>
      <c r="C544" s="29" t="n">
        <v>0.2327642609537834</v>
      </c>
      <c r="D544" s="30" t="n">
        <v>2.4398233716398785</v>
      </c>
      <c r="E544" s="31" t="inlineStr">
        <is>
          <t/>
        </is>
      </c>
      <c r="F544" s="32" t="n">
        <v>70.0</v>
      </c>
      <c r="G544" s="33" t="n">
        <v>4145.0</v>
      </c>
      <c r="H544" s="34" t="n">
        <v>295.0</v>
      </c>
      <c r="I544" s="35" t="n">
        <v>4.0</v>
      </c>
      <c r="J544" s="36" t="n">
        <v>6.04</v>
      </c>
      <c r="K544" s="37" t="inlineStr">
        <is>
          <t>Application Software</t>
        </is>
      </c>
      <c r="L544" s="38" t="inlineStr">
        <is>
          <t>Developer of cloud video commerce technologies designed to help merchants monetize videos. The company's video content management system empowers merchants and publishers to source, publish and monetize video experiences at scale enabling content creators, brands, retailers and media companies to monetize their content, retain customers and enhance sales.</t>
        </is>
      </c>
      <c r="M544" s="39" t="inlineStr">
        <is>
          <t>Greg Silverman</t>
        </is>
      </c>
      <c r="N544" s="40" t="inlineStr">
        <is>
          <t>Angel-Backed</t>
        </is>
      </c>
      <c r="O544" s="41" t="inlineStr">
        <is>
          <t>Privately Held (backing)</t>
        </is>
      </c>
      <c r="P544" s="42" t="inlineStr">
        <is>
          <t>San Diego, CA</t>
        </is>
      </c>
      <c r="Q544" s="43" t="inlineStr">
        <is>
          <t>www.tvpage.com</t>
        </is>
      </c>
      <c r="R544" s="114">
        <f>HYPERLINK("https://my.pitchbook.com?c=95625-01", "View company online")</f>
      </c>
    </row>
    <row r="545">
      <c r="A545" s="9" t="inlineStr">
        <is>
          <t>91243-81</t>
        </is>
      </c>
      <c r="B545" s="10" t="inlineStr">
        <is>
          <t>Tvoop</t>
        </is>
      </c>
      <c r="C545" s="11" t="n">
        <v>-0.00863241849558424</v>
      </c>
      <c r="D545" s="12" t="n">
        <v>1.2021300961978927</v>
      </c>
      <c r="E545" s="13" t="inlineStr">
        <is>
          <t/>
        </is>
      </c>
      <c r="F545" s="14" t="n">
        <v>46.0</v>
      </c>
      <c r="G545" s="15" t="inlineStr">
        <is>
          <t/>
        </is>
      </c>
      <c r="H545" s="16" t="n">
        <v>411.0</v>
      </c>
      <c r="I545" s="17" t="inlineStr">
        <is>
          <t/>
        </is>
      </c>
      <c r="J545" s="18" t="n">
        <v>0.3</v>
      </c>
      <c r="K545" s="19" t="inlineStr">
        <is>
          <t>Broadcasting, Radio and Television</t>
        </is>
      </c>
      <c r="L545" s="20" t="inlineStr">
        <is>
          <t>Provider of a live streaming platform. The company offers a live streaming platform where users can live stream and create their own channel using a camera and a computer.</t>
        </is>
      </c>
      <c r="M545" s="21" t="inlineStr">
        <is>
          <t/>
        </is>
      </c>
      <c r="N545" s="22" t="inlineStr">
        <is>
          <t>Angel-Backed</t>
        </is>
      </c>
      <c r="O545" s="23" t="inlineStr">
        <is>
          <t>Privately Held (backing)</t>
        </is>
      </c>
      <c r="P545" s="24" t="inlineStr">
        <is>
          <t>Los Angeles, CA</t>
        </is>
      </c>
      <c r="Q545" s="25" t="inlineStr">
        <is>
          <t>www.Tvoop.com</t>
        </is>
      </c>
      <c r="R545" s="113">
        <f>HYPERLINK("https://my.pitchbook.com?c=91243-81", "View company online")</f>
      </c>
    </row>
    <row r="546">
      <c r="A546" s="27" t="inlineStr">
        <is>
          <t>103392-91</t>
        </is>
      </c>
      <c r="B546" s="28" t="inlineStr">
        <is>
          <t>TVlize</t>
        </is>
      </c>
      <c r="C546" s="86">
        <f>HYPERLINK("https://my.pitchbook.com?rrp=103392-91&amp;type=c", "This Company's information is not available to download. Need this Company? Request availability")</f>
      </c>
      <c r="D546" s="30" t="inlineStr">
        <is>
          <t/>
        </is>
      </c>
      <c r="E546" s="31" t="inlineStr">
        <is>
          <t/>
        </is>
      </c>
      <c r="F546" s="32" t="inlineStr">
        <is>
          <t/>
        </is>
      </c>
      <c r="G546" s="33" t="inlineStr">
        <is>
          <t/>
        </is>
      </c>
      <c r="H546" s="34" t="inlineStr">
        <is>
          <t/>
        </is>
      </c>
      <c r="I546" s="35" t="inlineStr">
        <is>
          <t/>
        </is>
      </c>
      <c r="J546" s="36" t="inlineStr">
        <is>
          <t/>
        </is>
      </c>
      <c r="K546" s="37" t="inlineStr">
        <is>
          <t/>
        </is>
      </c>
      <c r="L546" s="38" t="inlineStr">
        <is>
          <t/>
        </is>
      </c>
      <c r="M546" s="39" t="inlineStr">
        <is>
          <t/>
        </is>
      </c>
      <c r="N546" s="40" t="inlineStr">
        <is>
          <t/>
        </is>
      </c>
      <c r="O546" s="41" t="inlineStr">
        <is>
          <t/>
        </is>
      </c>
      <c r="P546" s="42" t="inlineStr">
        <is>
          <t/>
        </is>
      </c>
      <c r="Q546" s="43" t="inlineStr">
        <is>
          <t/>
        </is>
      </c>
      <c r="R546" s="44" t="inlineStr">
        <is>
          <t/>
        </is>
      </c>
    </row>
    <row r="547">
      <c r="A547" s="9" t="inlineStr">
        <is>
          <t>89272-54</t>
        </is>
      </c>
      <c r="B547" s="10" t="inlineStr">
        <is>
          <t>TV TubeX</t>
        </is>
      </c>
      <c r="C547" s="11" t="n">
        <v>-0.0443262411347514</v>
      </c>
      <c r="D547" s="12" t="n">
        <v>0.8975416094060161</v>
      </c>
      <c r="E547" s="13" t="inlineStr">
        <is>
          <t/>
        </is>
      </c>
      <c r="F547" s="14" t="n">
        <v>66.0</v>
      </c>
      <c r="G547" s="15" t="inlineStr">
        <is>
          <t/>
        </is>
      </c>
      <c r="H547" s="16" t="n">
        <v>4.0</v>
      </c>
      <c r="I547" s="17" t="inlineStr">
        <is>
          <t/>
        </is>
      </c>
      <c r="J547" s="18" t="n">
        <v>0.01</v>
      </c>
      <c r="K547" s="19" t="inlineStr">
        <is>
          <t>Broadcasting, Radio and Television</t>
        </is>
      </c>
      <c r="L547" s="20" t="inlineStr">
        <is>
          <t>Operator of an online video streaming platform. The company's platform allows users to watch tv shows, TV series, live streaming of sports matches and events and other popular programs.</t>
        </is>
      </c>
      <c r="M547" s="21" t="inlineStr">
        <is>
          <t/>
        </is>
      </c>
      <c r="N547" s="22" t="inlineStr">
        <is>
          <t>Angel-Backed</t>
        </is>
      </c>
      <c r="O547" s="23" t="inlineStr">
        <is>
          <t>Privately Held (backing)</t>
        </is>
      </c>
      <c r="P547" s="24" t="inlineStr">
        <is>
          <t>San Francisco, CA</t>
        </is>
      </c>
      <c r="Q547" s="25" t="inlineStr">
        <is>
          <t>www.tvtubex.com</t>
        </is>
      </c>
      <c r="R547" s="113">
        <f>HYPERLINK("https://my.pitchbook.com?c=89272-54", "View company online")</f>
      </c>
    </row>
    <row r="548">
      <c r="A548" s="27" t="inlineStr">
        <is>
          <t>117493-48</t>
        </is>
      </c>
      <c r="B548" s="28" t="inlineStr">
        <is>
          <t>TutorSync</t>
        </is>
      </c>
      <c r="C548" s="29" t="n">
        <v>0.06268588934734677</v>
      </c>
      <c r="D548" s="30" t="n">
        <v>0.2542758886900375</v>
      </c>
      <c r="E548" s="31" t="inlineStr">
        <is>
          <t/>
        </is>
      </c>
      <c r="F548" s="32" t="inlineStr">
        <is>
          <t/>
        </is>
      </c>
      <c r="G548" s="33" t="n">
        <v>372.0</v>
      </c>
      <c r="H548" s="34" t="n">
        <v>16.0</v>
      </c>
      <c r="I548" s="35" t="inlineStr">
        <is>
          <t/>
        </is>
      </c>
      <c r="J548" s="36" t="n">
        <v>0.25</v>
      </c>
      <c r="K548" s="37" t="inlineStr">
        <is>
          <t>Social/Platform Software</t>
        </is>
      </c>
      <c r="L548" s="38" t="inlineStr">
        <is>
          <t>Provider of a one to one online tutoring platform. The company's software enables students across the nation with services ranging from everyday homework to helping them prepare for their examinations.</t>
        </is>
      </c>
      <c r="M548" s="39" t="inlineStr">
        <is>
          <t>Peter Wyles, The LAUNCH Incubator</t>
        </is>
      </c>
      <c r="N548" s="40" t="inlineStr">
        <is>
          <t>Accelerator/Incubator Backed</t>
        </is>
      </c>
      <c r="O548" s="41" t="inlineStr">
        <is>
          <t>Privately Held (backing)</t>
        </is>
      </c>
      <c r="P548" s="42" t="inlineStr">
        <is>
          <t>Fremont, CA</t>
        </is>
      </c>
      <c r="Q548" s="43" t="inlineStr">
        <is>
          <t>www.tutorsync.com</t>
        </is>
      </c>
      <c r="R548" s="114">
        <f>HYPERLINK("https://my.pitchbook.com?c=117493-48", "View company online")</f>
      </c>
    </row>
    <row r="549">
      <c r="A549" s="9" t="inlineStr">
        <is>
          <t>117809-20</t>
        </is>
      </c>
      <c r="B549" s="10" t="inlineStr">
        <is>
          <t>TutorMe.com</t>
        </is>
      </c>
      <c r="C549" s="85">
        <f>HYPERLINK("https://my.pitchbook.com?rrp=117809-20&amp;type=c", "This Company's information is not available to download. Need this Company? Request availability")</f>
      </c>
      <c r="D549" s="12" t="inlineStr">
        <is>
          <t/>
        </is>
      </c>
      <c r="E549" s="13" t="inlineStr">
        <is>
          <t/>
        </is>
      </c>
      <c r="F549" s="14" t="inlineStr">
        <is>
          <t/>
        </is>
      </c>
      <c r="G549" s="15" t="inlineStr">
        <is>
          <t/>
        </is>
      </c>
      <c r="H549" s="16" t="inlineStr">
        <is>
          <t/>
        </is>
      </c>
      <c r="I549" s="17" t="inlineStr">
        <is>
          <t/>
        </is>
      </c>
      <c r="J549" s="18" t="inlineStr">
        <is>
          <t/>
        </is>
      </c>
      <c r="K549" s="19" t="inlineStr">
        <is>
          <t/>
        </is>
      </c>
      <c r="L549" s="20" t="inlineStr">
        <is>
          <t/>
        </is>
      </c>
      <c r="M549" s="21" t="inlineStr">
        <is>
          <t/>
        </is>
      </c>
      <c r="N549" s="22" t="inlineStr">
        <is>
          <t/>
        </is>
      </c>
      <c r="O549" s="23" t="inlineStr">
        <is>
          <t/>
        </is>
      </c>
      <c r="P549" s="24" t="inlineStr">
        <is>
          <t/>
        </is>
      </c>
      <c r="Q549" s="25" t="inlineStr">
        <is>
          <t/>
        </is>
      </c>
      <c r="R549" s="26" t="inlineStr">
        <is>
          <t/>
        </is>
      </c>
    </row>
    <row r="550">
      <c r="A550" s="27" t="inlineStr">
        <is>
          <t>119355-22</t>
        </is>
      </c>
      <c r="B550" s="28" t="inlineStr">
        <is>
          <t>TuSimple</t>
        </is>
      </c>
      <c r="C550" s="29" t="n">
        <v>3.14281973264166</v>
      </c>
      <c r="D550" s="30" t="n">
        <v>3.5675675675675675</v>
      </c>
      <c r="E550" s="31" t="inlineStr">
        <is>
          <t/>
        </is>
      </c>
      <c r="F550" s="32" t="n">
        <v>127.0</v>
      </c>
      <c r="G550" s="33" t="inlineStr">
        <is>
          <t/>
        </is>
      </c>
      <c r="H550" s="34" t="inlineStr">
        <is>
          <t/>
        </is>
      </c>
      <c r="I550" s="35" t="n">
        <v>3.0</v>
      </c>
      <c r="J550" s="36" t="inlineStr">
        <is>
          <t/>
        </is>
      </c>
      <c r="K550" s="37" t="inlineStr">
        <is>
          <t>Other Information Technology</t>
        </is>
      </c>
      <c r="L550" s="38" t="inlineStr">
        <is>
          <t>Developer of autonomous driving technologies. The company speccalizes in the development of autonomous driving technologies using artificial intelligence for object recognition and driver assistance.</t>
        </is>
      </c>
      <c r="M550" s="39" t="inlineStr">
        <is>
          <t>Microsoft Accelerator</t>
        </is>
      </c>
      <c r="N550" s="40" t="inlineStr">
        <is>
          <t>Accelerator/Incubator Backed</t>
        </is>
      </c>
      <c r="O550" s="41" t="inlineStr">
        <is>
          <t>Privately Held (backing)</t>
        </is>
      </c>
      <c r="P550" s="42" t="inlineStr">
        <is>
          <t>Beijing, China</t>
        </is>
      </c>
      <c r="Q550" s="43" t="inlineStr">
        <is>
          <t>www.tusimple.com</t>
        </is>
      </c>
      <c r="R550" s="114">
        <f>HYPERLINK("https://my.pitchbook.com?c=119355-22", "View company online")</f>
      </c>
    </row>
    <row r="551">
      <c r="A551" s="9" t="inlineStr">
        <is>
          <t>174641-23</t>
        </is>
      </c>
      <c r="B551" s="10" t="inlineStr">
        <is>
          <t>Turtle Creek Apparel</t>
        </is>
      </c>
      <c r="C551" s="85">
        <f>HYPERLINK("https://my.pitchbook.com?rrp=174641-23&amp;type=c", "This Company's information is not available to download. Need this Company? Request availability")</f>
      </c>
      <c r="D551" s="12" t="inlineStr">
        <is>
          <t/>
        </is>
      </c>
      <c r="E551" s="13" t="inlineStr">
        <is>
          <t/>
        </is>
      </c>
      <c r="F551" s="14" t="inlineStr">
        <is>
          <t/>
        </is>
      </c>
      <c r="G551" s="15" t="inlineStr">
        <is>
          <t/>
        </is>
      </c>
      <c r="H551" s="16" t="inlineStr">
        <is>
          <t/>
        </is>
      </c>
      <c r="I551" s="17" t="inlineStr">
        <is>
          <t/>
        </is>
      </c>
      <c r="J551" s="18" t="inlineStr">
        <is>
          <t/>
        </is>
      </c>
      <c r="K551" s="19" t="inlineStr">
        <is>
          <t/>
        </is>
      </c>
      <c r="L551" s="20" t="inlineStr">
        <is>
          <t/>
        </is>
      </c>
      <c r="M551" s="21" t="inlineStr">
        <is>
          <t/>
        </is>
      </c>
      <c r="N551" s="22" t="inlineStr">
        <is>
          <t/>
        </is>
      </c>
      <c r="O551" s="23" t="inlineStr">
        <is>
          <t/>
        </is>
      </c>
      <c r="P551" s="24" t="inlineStr">
        <is>
          <t/>
        </is>
      </c>
      <c r="Q551" s="25" t="inlineStr">
        <is>
          <t/>
        </is>
      </c>
      <c r="R551" s="26" t="inlineStr">
        <is>
          <t/>
        </is>
      </c>
    </row>
    <row r="552">
      <c r="A552" s="27" t="inlineStr">
        <is>
          <t>170730-91</t>
        </is>
      </c>
      <c r="B552" s="28" t="inlineStr">
        <is>
          <t>Turnoutt</t>
        </is>
      </c>
      <c r="C552" s="29" t="n">
        <v>0.0</v>
      </c>
      <c r="D552" s="30" t="n">
        <v>0.01694915254237288</v>
      </c>
      <c r="E552" s="31" t="inlineStr">
        <is>
          <t/>
        </is>
      </c>
      <c r="F552" s="32" t="inlineStr">
        <is>
          <t/>
        </is>
      </c>
      <c r="G552" s="33" t="inlineStr">
        <is>
          <t/>
        </is>
      </c>
      <c r="H552" s="34" t="n">
        <v>6.0</v>
      </c>
      <c r="I552" s="35" t="inlineStr">
        <is>
          <t/>
        </is>
      </c>
      <c r="J552" s="36" t="n">
        <v>0.2</v>
      </c>
      <c r="K552" s="37" t="inlineStr">
        <is>
          <t>Social Content</t>
        </is>
      </c>
      <c r="L552" s="38" t="inlineStr">
        <is>
          <t>Developer of a social networking mobile application designed to help users to be view-able on an universal map. The company's social networking mobile application divides the map into quadrants with counters, enabling users to obtain usable information when viewing large populations of people.</t>
        </is>
      </c>
      <c r="M552" s="39" t="inlineStr">
        <is>
          <t/>
        </is>
      </c>
      <c r="N552" s="40" t="inlineStr">
        <is>
          <t>Angel-Backed</t>
        </is>
      </c>
      <c r="O552" s="41" t="inlineStr">
        <is>
          <t>Privately Held (backing)</t>
        </is>
      </c>
      <c r="P552" s="42" t="inlineStr">
        <is>
          <t>Santa Monica, CA</t>
        </is>
      </c>
      <c r="Q552" s="43" t="inlineStr">
        <is>
          <t>www.turnoutt.com</t>
        </is>
      </c>
      <c r="R552" s="114">
        <f>HYPERLINK("https://my.pitchbook.com?c=170730-91", "View company online")</f>
      </c>
    </row>
    <row r="553">
      <c r="A553" s="9" t="inlineStr">
        <is>
          <t>148076-83</t>
        </is>
      </c>
      <c r="B553" s="10" t="inlineStr">
        <is>
          <t>Turing Technology</t>
        </is>
      </c>
      <c r="C553" s="11" t="n">
        <v>0.0</v>
      </c>
      <c r="D553" s="12" t="n">
        <v>0.8055810047335471</v>
      </c>
      <c r="E553" s="13" t="inlineStr">
        <is>
          <t/>
        </is>
      </c>
      <c r="F553" s="14" t="n">
        <v>56.0</v>
      </c>
      <c r="G553" s="15" t="n">
        <v>381.0</v>
      </c>
      <c r="H553" s="16" t="n">
        <v>24.0</v>
      </c>
      <c r="I553" s="17" t="inlineStr">
        <is>
          <t/>
        </is>
      </c>
      <c r="J553" s="18" t="n">
        <v>0.36</v>
      </c>
      <c r="K553" s="19" t="inlineStr">
        <is>
          <t>Business/Productivity Software</t>
        </is>
      </c>
      <c r="L553" s="20" t="inlineStr">
        <is>
          <t>Provider of a suite of productivity tools for email, chat and task management. The company offers cloud based software tools for professionals to help them with daily tasks such as email, chat, tasks, calendar, contacts and notes.</t>
        </is>
      </c>
      <c r="M553" s="21" t="inlineStr">
        <is>
          <t>Reid Dennis, Timothy Draper</t>
        </is>
      </c>
      <c r="N553" s="22" t="inlineStr">
        <is>
          <t>Angel-Backed</t>
        </is>
      </c>
      <c r="O553" s="23" t="inlineStr">
        <is>
          <t>Privately Held (backing)</t>
        </is>
      </c>
      <c r="P553" s="24" t="inlineStr">
        <is>
          <t>Woodside, CA</t>
        </is>
      </c>
      <c r="Q553" s="25" t="inlineStr">
        <is>
          <t>www.turingemail.com</t>
        </is>
      </c>
      <c r="R553" s="113">
        <f>HYPERLINK("https://my.pitchbook.com?c=148076-83", "View company online")</f>
      </c>
    </row>
    <row r="554">
      <c r="A554" s="27" t="inlineStr">
        <is>
          <t>150959-80</t>
        </is>
      </c>
      <c r="B554" s="28" t="inlineStr">
        <is>
          <t>Tunesmap</t>
        </is>
      </c>
      <c r="C554" s="29" t="n">
        <v>0.017857142857143238</v>
      </c>
      <c r="D554" s="30" t="n">
        <v>0.18319590777217895</v>
      </c>
      <c r="E554" s="31" t="inlineStr">
        <is>
          <t/>
        </is>
      </c>
      <c r="F554" s="32" t="n">
        <v>3.0</v>
      </c>
      <c r="G554" s="33" t="inlineStr">
        <is>
          <t/>
        </is>
      </c>
      <c r="H554" s="34" t="n">
        <v>100.0</v>
      </c>
      <c r="I554" s="35" t="inlineStr">
        <is>
          <t/>
        </is>
      </c>
      <c r="J554" s="36" t="n">
        <v>2.53</v>
      </c>
      <c r="K554" s="37" t="inlineStr">
        <is>
          <t>Movies, Music and Entertainment</t>
        </is>
      </c>
      <c r="L554" s="38" t="inlineStr">
        <is>
          <t>Provider of an online platform for music lovers. The company's platform offers music lovers to explore and share their favorite music and also invite their friends.</t>
        </is>
      </c>
      <c r="M554" s="39" t="inlineStr">
        <is>
          <t/>
        </is>
      </c>
      <c r="N554" s="40" t="inlineStr">
        <is>
          <t>Angel-Backed</t>
        </is>
      </c>
      <c r="O554" s="41" t="inlineStr">
        <is>
          <t>Privately Held (backing)</t>
        </is>
      </c>
      <c r="P554" s="42" t="inlineStr">
        <is>
          <t>Pacific Palisades, CA</t>
        </is>
      </c>
      <c r="Q554" s="43" t="inlineStr">
        <is>
          <t>www.tunesmap.com</t>
        </is>
      </c>
      <c r="R554" s="114">
        <f>HYPERLINK("https://my.pitchbook.com?c=150959-80", "View company online")</f>
      </c>
    </row>
    <row r="555">
      <c r="A555" s="9" t="inlineStr">
        <is>
          <t>176317-30</t>
        </is>
      </c>
      <c r="B555" s="10" t="inlineStr">
        <is>
          <t>TuMee</t>
        </is>
      </c>
      <c r="C555" s="85">
        <f>HYPERLINK("https://my.pitchbook.com?rrp=176317-30&amp;type=c", "This Company's information is not available to download. Need this Company? Request availability")</f>
      </c>
      <c r="D555" s="12" t="inlineStr">
        <is>
          <t/>
        </is>
      </c>
      <c r="E555" s="13" t="inlineStr">
        <is>
          <t/>
        </is>
      </c>
      <c r="F555" s="14" t="inlineStr">
        <is>
          <t/>
        </is>
      </c>
      <c r="G555" s="15" t="inlineStr">
        <is>
          <t/>
        </is>
      </c>
      <c r="H555" s="16" t="inlineStr">
        <is>
          <t/>
        </is>
      </c>
      <c r="I555" s="17" t="inlineStr">
        <is>
          <t/>
        </is>
      </c>
      <c r="J555" s="18" t="inlineStr">
        <is>
          <t/>
        </is>
      </c>
      <c r="K555" s="19" t="inlineStr">
        <is>
          <t/>
        </is>
      </c>
      <c r="L555" s="20" t="inlineStr">
        <is>
          <t/>
        </is>
      </c>
      <c r="M555" s="21" t="inlineStr">
        <is>
          <t/>
        </is>
      </c>
      <c r="N555" s="22" t="inlineStr">
        <is>
          <t/>
        </is>
      </c>
      <c r="O555" s="23" t="inlineStr">
        <is>
          <t/>
        </is>
      </c>
      <c r="P555" s="24" t="inlineStr">
        <is>
          <t/>
        </is>
      </c>
      <c r="Q555" s="25" t="inlineStr">
        <is>
          <t/>
        </is>
      </c>
      <c r="R555" s="26" t="inlineStr">
        <is>
          <t/>
        </is>
      </c>
    </row>
    <row r="556">
      <c r="A556" s="27" t="inlineStr">
        <is>
          <t>161636-23</t>
        </is>
      </c>
      <c r="B556" s="28" t="inlineStr">
        <is>
          <t>Tueo Health</t>
        </is>
      </c>
      <c r="C556" s="29" t="n">
        <v>0.06237335359675785</v>
      </c>
      <c r="D556" s="30" t="n">
        <v>0.5886013131775844</v>
      </c>
      <c r="E556" s="31" t="inlineStr">
        <is>
          <t/>
        </is>
      </c>
      <c r="F556" s="32" t="n">
        <v>33.0</v>
      </c>
      <c r="G556" s="33" t="inlineStr">
        <is>
          <t/>
        </is>
      </c>
      <c r="H556" s="34" t="n">
        <v>101.0</v>
      </c>
      <c r="I556" s="35" t="inlineStr">
        <is>
          <t/>
        </is>
      </c>
      <c r="J556" s="36" t="n">
        <v>0.4</v>
      </c>
      <c r="K556" s="37" t="inlineStr">
        <is>
          <t>Monitoring Equipment</t>
        </is>
      </c>
      <c r="L556" s="38" t="inlineStr">
        <is>
          <t>Developer of an asthma monitoring system designed to improve asthma control in children. The company's application ingerated monitoring system uses a contactless sensor for monitoring and controlling of Asthma, enabling patients and their families to measure treatment progress and outcomes.</t>
        </is>
      </c>
      <c r="M556" s="39" t="inlineStr">
        <is>
          <t>A-Level Capital, MedTech Innovator, Plug and Play Tech Center</t>
        </is>
      </c>
      <c r="N556" s="40" t="inlineStr">
        <is>
          <t>Accelerator/Incubator Backed</t>
        </is>
      </c>
      <c r="O556" s="41" t="inlineStr">
        <is>
          <t>Privately Held (backing)</t>
        </is>
      </c>
      <c r="P556" s="42" t="inlineStr">
        <is>
          <t>Redwood City, CA</t>
        </is>
      </c>
      <c r="Q556" s="43" t="inlineStr">
        <is>
          <t>www.tueohealth.com</t>
        </is>
      </c>
      <c r="R556" s="114">
        <f>HYPERLINK("https://my.pitchbook.com?c=161636-23", "View company online")</f>
      </c>
    </row>
    <row r="557">
      <c r="A557" s="9" t="inlineStr">
        <is>
          <t>93119-32</t>
        </is>
      </c>
      <c r="B557" s="10" t="inlineStr">
        <is>
          <t>Tuebora</t>
        </is>
      </c>
      <c r="C557" s="11" t="n">
        <v>0.0</v>
      </c>
      <c r="D557" s="12" t="n">
        <v>0.40083249635570933</v>
      </c>
      <c r="E557" s="13" t="inlineStr">
        <is>
          <t/>
        </is>
      </c>
      <c r="F557" s="14" t="n">
        <v>28.0</v>
      </c>
      <c r="G557" s="15" t="n">
        <v>20.0</v>
      </c>
      <c r="H557" s="16" t="n">
        <v>22.0</v>
      </c>
      <c r="I557" s="17" t="n">
        <v>12.0</v>
      </c>
      <c r="J557" s="18" t="n">
        <v>0.25</v>
      </c>
      <c r="K557" s="19" t="inlineStr">
        <is>
          <t>Social/Platform Software</t>
        </is>
      </c>
      <c r="L557" s="20" t="inlineStr">
        <is>
          <t>Provider of a real time identity and access management platform. The company's software offers cloud based identity and access governance services to suffice the needs of organizations.</t>
        </is>
      </c>
      <c r="M557" s="21" t="inlineStr">
        <is>
          <t>Citrix Startup Accelerator, Microsoft Accelerator, Ravi Gururaj</t>
        </is>
      </c>
      <c r="N557" s="22" t="inlineStr">
        <is>
          <t>Accelerator/Incubator Backed</t>
        </is>
      </c>
      <c r="O557" s="23" t="inlineStr">
        <is>
          <t>Privately Held (backing)</t>
        </is>
      </c>
      <c r="P557" s="24" t="inlineStr">
        <is>
          <t>Santa Clara, CA</t>
        </is>
      </c>
      <c r="Q557" s="25" t="inlineStr">
        <is>
          <t>www.tuebora.com</t>
        </is>
      </c>
      <c r="R557" s="113">
        <f>HYPERLINK("https://my.pitchbook.com?c=93119-32", "View company online")</f>
      </c>
    </row>
    <row r="558">
      <c r="A558" s="27" t="inlineStr">
        <is>
          <t>158245-93</t>
        </is>
      </c>
      <c r="B558" s="28" t="inlineStr">
        <is>
          <t>Tudott</t>
        </is>
      </c>
      <c r="C558" s="29" t="n">
        <v>0.0</v>
      </c>
      <c r="D558" s="30" t="n">
        <v>0.10810810810810811</v>
      </c>
      <c r="E558" s="31" t="inlineStr">
        <is>
          <t/>
        </is>
      </c>
      <c r="F558" s="32" t="n">
        <v>4.0</v>
      </c>
      <c r="G558" s="33" t="inlineStr">
        <is>
          <t/>
        </is>
      </c>
      <c r="H558" s="34" t="inlineStr">
        <is>
          <t/>
        </is>
      </c>
      <c r="I558" s="35" t="inlineStr">
        <is>
          <t/>
        </is>
      </c>
      <c r="J558" s="36" t="n">
        <v>0.3</v>
      </c>
      <c r="K558" s="37" t="inlineStr">
        <is>
          <t>Social/Platform Software</t>
        </is>
      </c>
      <c r="L558" s="38" t="inlineStr">
        <is>
          <t>Provider of an peer-to-peer import marketplace. The company offers an online shopping platform for overseas products which connects travelers and shoppers around the world.</t>
        </is>
      </c>
      <c r="M558" s="39" t="inlineStr">
        <is>
          <t/>
        </is>
      </c>
      <c r="N558" s="40" t="inlineStr">
        <is>
          <t>Angel-Backed</t>
        </is>
      </c>
      <c r="O558" s="41" t="inlineStr">
        <is>
          <t>Privately Held (backing)</t>
        </is>
      </c>
      <c r="P558" s="42" t="inlineStr">
        <is>
          <t>Oceanside, CA</t>
        </is>
      </c>
      <c r="Q558" s="43" t="inlineStr">
        <is>
          <t>www.tudott.com</t>
        </is>
      </c>
      <c r="R558" s="114">
        <f>HYPERLINK("https://my.pitchbook.com?c=158245-93", "View company online")</f>
      </c>
    </row>
    <row r="559">
      <c r="A559" s="9" t="inlineStr">
        <is>
          <t>95500-09</t>
        </is>
      </c>
      <c r="B559" s="10" t="inlineStr">
        <is>
          <t>TubeStart</t>
        </is>
      </c>
      <c r="C559" s="11" t="n">
        <v>-0.6101564473261646</v>
      </c>
      <c r="D559" s="12" t="n">
        <v>6.351351351351352</v>
      </c>
      <c r="E559" s="13" t="inlineStr">
        <is>
          <t/>
        </is>
      </c>
      <c r="F559" s="14" t="n">
        <v>234.0</v>
      </c>
      <c r="G559" s="15" t="n">
        <v>2783.0</v>
      </c>
      <c r="H559" s="16" t="n">
        <v>24347.0</v>
      </c>
      <c r="I559" s="17" t="n">
        <v>11.0</v>
      </c>
      <c r="J559" s="18" t="n">
        <v>0.6</v>
      </c>
      <c r="K559" s="19" t="inlineStr">
        <is>
          <t>Other Financial Services</t>
        </is>
      </c>
      <c r="L559" s="20" t="inlineStr">
        <is>
          <t>Operator of an online crowdfunding platform. The company provides subscription based crowdfunding services for online film and video creators. It helps the digital video creators to raise money for their videos from their fans and followers.</t>
        </is>
      </c>
      <c r="M559" s="21" t="inlineStr">
        <is>
          <t>Vet-Tech Accelerator</t>
        </is>
      </c>
      <c r="N559" s="22" t="inlineStr">
        <is>
          <t>Angel-Backed</t>
        </is>
      </c>
      <c r="O559" s="23" t="inlineStr">
        <is>
          <t>Privately Held (backing)</t>
        </is>
      </c>
      <c r="P559" s="24" t="inlineStr">
        <is>
          <t>Santa Monica, CA</t>
        </is>
      </c>
      <c r="Q559" s="25" t="inlineStr">
        <is>
          <t>www.tubestart.com</t>
        </is>
      </c>
      <c r="R559" s="113">
        <f>HYPERLINK("https://my.pitchbook.com?c=95500-09", "View company online")</f>
      </c>
    </row>
    <row r="560">
      <c r="A560" s="27" t="inlineStr">
        <is>
          <t>109407-79</t>
        </is>
      </c>
      <c r="B560" s="28" t="inlineStr">
        <is>
          <t>TubeScience</t>
        </is>
      </c>
      <c r="C560" s="29" t="n">
        <v>0.0</v>
      </c>
      <c r="D560" s="30" t="n">
        <v>0.02702702702702703</v>
      </c>
      <c r="E560" s="31" t="inlineStr">
        <is>
          <t/>
        </is>
      </c>
      <c r="F560" s="32" t="n">
        <v>1.0</v>
      </c>
      <c r="G560" s="33" t="inlineStr">
        <is>
          <t/>
        </is>
      </c>
      <c r="H560" s="34" t="inlineStr">
        <is>
          <t/>
        </is>
      </c>
      <c r="I560" s="35" t="n">
        <v>2.0</v>
      </c>
      <c r="J560" s="36" t="inlineStr">
        <is>
          <t/>
        </is>
      </c>
      <c r="K560" s="37" t="inlineStr">
        <is>
          <t>Other IT Services</t>
        </is>
      </c>
      <c r="L560" s="38" t="inlineStr">
        <is>
          <t>Provider of algorithmic strategies for video platform. The company helps the brands to predict which video ads and influencer campaigns will generate audience engagement and many more.</t>
        </is>
      </c>
      <c r="M560" s="39" t="inlineStr">
        <is>
          <t>Orange Fab</t>
        </is>
      </c>
      <c r="N560" s="40" t="inlineStr">
        <is>
          <t>Accelerator/Incubator Backed</t>
        </is>
      </c>
      <c r="O560" s="41" t="inlineStr">
        <is>
          <t>Privately Held (backing)</t>
        </is>
      </c>
      <c r="P560" s="42" t="inlineStr">
        <is>
          <t>San Francisco, CA</t>
        </is>
      </c>
      <c r="Q560" s="43" t="inlineStr">
        <is>
          <t>www.tubeScience.com</t>
        </is>
      </c>
      <c r="R560" s="114">
        <f>HYPERLINK("https://my.pitchbook.com?c=109407-79", "View company online")</f>
      </c>
    </row>
    <row r="561">
      <c r="A561" s="9" t="inlineStr">
        <is>
          <t>169747-84</t>
        </is>
      </c>
      <c r="B561" s="10" t="inlineStr">
        <is>
          <t>Tsunami VR</t>
        </is>
      </c>
      <c r="C561" s="11" t="inlineStr">
        <is>
          <t/>
        </is>
      </c>
      <c r="D561" s="12" t="inlineStr">
        <is>
          <t/>
        </is>
      </c>
      <c r="E561" s="13" t="inlineStr">
        <is>
          <t/>
        </is>
      </c>
      <c r="F561" s="14" t="inlineStr">
        <is>
          <t/>
        </is>
      </c>
      <c r="G561" s="15" t="inlineStr">
        <is>
          <t/>
        </is>
      </c>
      <c r="H561" s="16" t="inlineStr">
        <is>
          <t/>
        </is>
      </c>
      <c r="I561" s="17" t="inlineStr">
        <is>
          <t/>
        </is>
      </c>
      <c r="J561" s="18" t="n">
        <v>4.39</v>
      </c>
      <c r="K561" s="19" t="inlineStr">
        <is>
          <t>Business/Productivity Software</t>
        </is>
      </c>
      <c r="L561" s="20" t="inlineStr">
        <is>
          <t>Developer of Virtual Reality and Augmented Reality applications designed to change the way companies collaborate and communicate tasks. The company's Virtual Reality and Augmented Reality applications help in usage of sight, sound and touch to immerse users in a manufactured world, enabling companies to improve decision making, reduce sales cycles, deepen engagement and increase revenue.</t>
        </is>
      </c>
      <c r="M561" s="21" t="inlineStr">
        <is>
          <t/>
        </is>
      </c>
      <c r="N561" s="22" t="inlineStr">
        <is>
          <t>Angel-Backed</t>
        </is>
      </c>
      <c r="O561" s="23" t="inlineStr">
        <is>
          <t>Privately Held (backing)</t>
        </is>
      </c>
      <c r="P561" s="24" t="inlineStr">
        <is>
          <t>Del Mar, CA</t>
        </is>
      </c>
      <c r="Q561" s="25" t="inlineStr">
        <is>
          <t>www.tsunamivr.com</t>
        </is>
      </c>
      <c r="R561" s="113">
        <f>HYPERLINK("https://my.pitchbook.com?c=169747-84", "View company online")</f>
      </c>
    </row>
    <row r="562">
      <c r="A562" s="27" t="inlineStr">
        <is>
          <t>89238-16</t>
        </is>
      </c>
      <c r="B562" s="28" t="inlineStr">
        <is>
          <t>TSN Advertising</t>
        </is>
      </c>
      <c r="C562" s="29" t="n">
        <v>0.133469617579618</v>
      </c>
      <c r="D562" s="30" t="n">
        <v>1.101362400404405</v>
      </c>
      <c r="E562" s="31" t="inlineStr">
        <is>
          <t/>
        </is>
      </c>
      <c r="F562" s="32" t="n">
        <v>14.0</v>
      </c>
      <c r="G562" s="33" t="n">
        <v>172.0</v>
      </c>
      <c r="H562" s="34" t="n">
        <v>1219.0</v>
      </c>
      <c r="I562" s="35" t="n">
        <v>11.0</v>
      </c>
      <c r="J562" s="36" t="inlineStr">
        <is>
          <t/>
        </is>
      </c>
      <c r="K562" s="37" t="inlineStr">
        <is>
          <t>Social/Platform Software</t>
        </is>
      </c>
      <c r="L562" s="38" t="inlineStr">
        <is>
          <t>Developer of a platform for truck-side advertising campaigns. The company provides advertising trucks across the country that provides billboard branding without the billboard pricing.</t>
        </is>
      </c>
      <c r="M562" s="39" t="inlineStr">
        <is>
          <t>Curious Minds</t>
        </is>
      </c>
      <c r="N562" s="40" t="inlineStr">
        <is>
          <t>Accelerator/Incubator Backed</t>
        </is>
      </c>
      <c r="O562" s="41" t="inlineStr">
        <is>
          <t>Privately Held (backing)</t>
        </is>
      </c>
      <c r="P562" s="42" t="inlineStr">
        <is>
          <t>Santa Monica, CA</t>
        </is>
      </c>
      <c r="Q562" s="43" t="inlineStr">
        <is>
          <t>www.tsnadvertising.com</t>
        </is>
      </c>
      <c r="R562" s="114">
        <f>HYPERLINK("https://my.pitchbook.com?c=89238-16", "View company online")</f>
      </c>
    </row>
    <row r="563">
      <c r="A563" s="9" t="inlineStr">
        <is>
          <t>89237-89</t>
        </is>
      </c>
      <c r="B563" s="10" t="inlineStr">
        <is>
          <t>TSG Solutions</t>
        </is>
      </c>
      <c r="C563" s="11" t="n">
        <v>0.3232740227701523</v>
      </c>
      <c r="D563" s="12" t="n">
        <v>1.6930829134218965</v>
      </c>
      <c r="E563" s="13" t="inlineStr">
        <is>
          <t/>
        </is>
      </c>
      <c r="F563" s="14" t="n">
        <v>103.0</v>
      </c>
      <c r="G563" s="15" t="n">
        <v>26.0</v>
      </c>
      <c r="H563" s="16" t="n">
        <v>108.0</v>
      </c>
      <c r="I563" s="17" t="n">
        <v>51.0</v>
      </c>
      <c r="J563" s="18" t="n">
        <v>1.65</v>
      </c>
      <c r="K563" s="19" t="inlineStr">
        <is>
          <t>Systems and Information Management</t>
        </is>
      </c>
      <c r="L563" s="20" t="inlineStr">
        <is>
          <t>Provider of infrastructure security and technology services. The company provides services that enhance customers physical and digital security posture.</t>
        </is>
      </c>
      <c r="M563" s="21" t="inlineStr">
        <is>
          <t>Kratos Defense &amp; Security Solutions</t>
        </is>
      </c>
      <c r="N563" s="22" t="inlineStr">
        <is>
          <t>Angel-Backed</t>
        </is>
      </c>
      <c r="O563" s="23" t="inlineStr">
        <is>
          <t>Privately Held (backing)</t>
        </is>
      </c>
      <c r="P563" s="24" t="inlineStr">
        <is>
          <t>Carlsbad, CA</t>
        </is>
      </c>
      <c r="Q563" s="25" t="inlineStr">
        <is>
          <t>www.tsgsinc.com</t>
        </is>
      </c>
      <c r="R563" s="113">
        <f>HYPERLINK("https://my.pitchbook.com?c=89237-89", "View company online")</f>
      </c>
    </row>
    <row r="564">
      <c r="A564" s="27" t="inlineStr">
        <is>
          <t>129273-22</t>
        </is>
      </c>
      <c r="B564" s="28" t="inlineStr">
        <is>
          <t>TryThisFirst</t>
        </is>
      </c>
      <c r="C564" s="29" t="inlineStr">
        <is>
          <t/>
        </is>
      </c>
      <c r="D564" s="30" t="inlineStr">
        <is>
          <t/>
        </is>
      </c>
      <c r="E564" s="31" t="inlineStr">
        <is>
          <t/>
        </is>
      </c>
      <c r="F564" s="32" t="inlineStr">
        <is>
          <t/>
        </is>
      </c>
      <c r="G564" s="33" t="inlineStr">
        <is>
          <t/>
        </is>
      </c>
      <c r="H564" s="34" t="inlineStr">
        <is>
          <t/>
        </is>
      </c>
      <c r="I564" s="35" t="inlineStr">
        <is>
          <t/>
        </is>
      </c>
      <c r="J564" s="36" t="n">
        <v>0.69</v>
      </c>
      <c r="K564" s="37" t="inlineStr">
        <is>
          <t>Other Business Products and Services</t>
        </is>
      </c>
      <c r="L564" s="38" t="inlineStr">
        <is>
          <t>The company currently operates in Stealth Mode.</t>
        </is>
      </c>
      <c r="M564" s="39" t="inlineStr">
        <is>
          <t/>
        </is>
      </c>
      <c r="N564" s="40" t="inlineStr">
        <is>
          <t>Angel-Backed</t>
        </is>
      </c>
      <c r="O564" s="41" t="inlineStr">
        <is>
          <t>Privately Held (backing)</t>
        </is>
      </c>
      <c r="P564" s="42" t="inlineStr">
        <is>
          <t>Berkeley, CA</t>
        </is>
      </c>
      <c r="Q564" s="43" t="inlineStr">
        <is>
          <t/>
        </is>
      </c>
      <c r="R564" s="114">
        <f>HYPERLINK("https://my.pitchbook.com?c=129273-22", "View company online")</f>
      </c>
    </row>
    <row r="565">
      <c r="A565" s="9" t="inlineStr">
        <is>
          <t>171694-54</t>
        </is>
      </c>
      <c r="B565" s="10" t="inlineStr">
        <is>
          <t>TRYSTEVE</t>
        </is>
      </c>
      <c r="C565" s="85">
        <f>HYPERLINK("https://my.pitchbook.com?rrp=171694-54&amp;type=c", "This Company's information is not available to download. Need this Company? Request availability")</f>
      </c>
      <c r="D565" s="12" t="inlineStr">
        <is>
          <t/>
        </is>
      </c>
      <c r="E565" s="13" t="inlineStr">
        <is>
          <t/>
        </is>
      </c>
      <c r="F565" s="14" t="inlineStr">
        <is>
          <t/>
        </is>
      </c>
      <c r="G565" s="15" t="inlineStr">
        <is>
          <t/>
        </is>
      </c>
      <c r="H565" s="16" t="inlineStr">
        <is>
          <t/>
        </is>
      </c>
      <c r="I565" s="17" t="inlineStr">
        <is>
          <t/>
        </is>
      </c>
      <c r="J565" s="18" t="inlineStr">
        <is>
          <t/>
        </is>
      </c>
      <c r="K565" s="19" t="inlineStr">
        <is>
          <t/>
        </is>
      </c>
      <c r="L565" s="20" t="inlineStr">
        <is>
          <t/>
        </is>
      </c>
      <c r="M565" s="21" t="inlineStr">
        <is>
          <t/>
        </is>
      </c>
      <c r="N565" s="22" t="inlineStr">
        <is>
          <t/>
        </is>
      </c>
      <c r="O565" s="23" t="inlineStr">
        <is>
          <t/>
        </is>
      </c>
      <c r="P565" s="24" t="inlineStr">
        <is>
          <t/>
        </is>
      </c>
      <c r="Q565" s="25" t="inlineStr">
        <is>
          <t/>
        </is>
      </c>
      <c r="R565" s="26" t="inlineStr">
        <is>
          <t/>
        </is>
      </c>
    </row>
    <row r="566">
      <c r="A566" s="27" t="inlineStr">
        <is>
          <t>95301-55</t>
        </is>
      </c>
      <c r="B566" s="28" t="inlineStr">
        <is>
          <t>Tryolabs</t>
        </is>
      </c>
      <c r="C566" s="29" t="n">
        <v>0.46697241194599964</v>
      </c>
      <c r="D566" s="30" t="n">
        <v>9.796460272252462</v>
      </c>
      <c r="E566" s="31" t="inlineStr">
        <is>
          <t/>
        </is>
      </c>
      <c r="F566" s="32" t="n">
        <v>78.0</v>
      </c>
      <c r="G566" s="33" t="n">
        <v>763.0</v>
      </c>
      <c r="H566" s="34" t="n">
        <v>12029.0</v>
      </c>
      <c r="I566" s="35" t="n">
        <v>23.0</v>
      </c>
      <c r="J566" s="36" t="inlineStr">
        <is>
          <t/>
        </is>
      </c>
      <c r="K566" s="37" t="inlineStr">
        <is>
          <t>Systems and Information Management</t>
        </is>
      </c>
      <c r="L566" s="38" t="inlineStr">
        <is>
          <t>Developer of Web applications with artificial intelligence components. The company specializes in the design and development of artificial intelligence based systems for startups.</t>
        </is>
      </c>
      <c r="M566" s="39" t="inlineStr">
        <is>
          <t>Eduardo Mangarelli</t>
        </is>
      </c>
      <c r="N566" s="40" t="inlineStr">
        <is>
          <t>Angel-Backed</t>
        </is>
      </c>
      <c r="O566" s="41" t="inlineStr">
        <is>
          <t>Privately Held (backing)</t>
        </is>
      </c>
      <c r="P566" s="42" t="inlineStr">
        <is>
          <t>San Francisco, CA</t>
        </is>
      </c>
      <c r="Q566" s="43" t="inlineStr">
        <is>
          <t>www.tryolabs.com</t>
        </is>
      </c>
      <c r="R566" s="114">
        <f>HYPERLINK("https://my.pitchbook.com?c=95301-55", "View company online")</f>
      </c>
    </row>
    <row r="567">
      <c r="A567" s="9" t="inlineStr">
        <is>
          <t>144854-38</t>
        </is>
      </c>
      <c r="B567" s="10" t="inlineStr">
        <is>
          <t>Truworth Wellness</t>
        </is>
      </c>
      <c r="C567" s="11" t="n">
        <v>1.079233900217331</v>
      </c>
      <c r="D567" s="12" t="n">
        <v>3.0447782554635907</v>
      </c>
      <c r="E567" s="13" t="inlineStr">
        <is>
          <t/>
        </is>
      </c>
      <c r="F567" s="14" t="n">
        <v>119.0</v>
      </c>
      <c r="G567" s="15" t="n">
        <v>746.0</v>
      </c>
      <c r="H567" s="16" t="n">
        <v>1666.0</v>
      </c>
      <c r="I567" s="17" t="inlineStr">
        <is>
          <t/>
        </is>
      </c>
      <c r="J567" s="18" t="inlineStr">
        <is>
          <t/>
        </is>
      </c>
      <c r="K567" s="19" t="inlineStr">
        <is>
          <t>Other Healthcare Services</t>
        </is>
      </c>
      <c r="L567" s="20" t="inlineStr">
        <is>
          <t>Owner and operator of a corporate wellness company intended to provide workplace wellness services. The company's Web and mobile engagement platform offers corporate wellness programs by permitting users to order healthy, nutritionally-balanced meals that match their personal nutrition requirements, enabling corporate employees to boost the productivity of their organization and also achieve corporate health and wellness requirements.</t>
        </is>
      </c>
      <c r="M567" s="21" t="inlineStr">
        <is>
          <t/>
        </is>
      </c>
      <c r="N567" s="22" t="inlineStr">
        <is>
          <t>Angel-Backed</t>
        </is>
      </c>
      <c r="O567" s="23" t="inlineStr">
        <is>
          <t>Privately Held (backing)</t>
        </is>
      </c>
      <c r="P567" s="24" t="inlineStr">
        <is>
          <t>Jaipur, India</t>
        </is>
      </c>
      <c r="Q567" s="25" t="inlineStr">
        <is>
          <t>www.truworthwellness.com</t>
        </is>
      </c>
      <c r="R567" s="113">
        <f>HYPERLINK("https://my.pitchbook.com?c=144854-38", "View company online")</f>
      </c>
    </row>
    <row r="568">
      <c r="A568" s="27" t="inlineStr">
        <is>
          <t>95619-97</t>
        </is>
      </c>
      <c r="B568" s="28" t="inlineStr">
        <is>
          <t>Truvolo</t>
        </is>
      </c>
      <c r="C568" s="29" t="n">
        <v>0.0</v>
      </c>
      <c r="D568" s="30" t="n">
        <v>0.6037181249045656</v>
      </c>
      <c r="E568" s="31" t="inlineStr">
        <is>
          <t/>
        </is>
      </c>
      <c r="F568" s="32" t="n">
        <v>36.0</v>
      </c>
      <c r="G568" s="33" t="inlineStr">
        <is>
          <t/>
        </is>
      </c>
      <c r="H568" s="34" t="n">
        <v>83.0</v>
      </c>
      <c r="I568" s="35" t="inlineStr">
        <is>
          <t/>
        </is>
      </c>
      <c r="J568" s="36" t="n">
        <v>0.08</v>
      </c>
      <c r="K568" s="37" t="inlineStr">
        <is>
          <t>Application Software</t>
        </is>
      </c>
      <c r="L568" s="38" t="inlineStr">
        <is>
          <t>Developer of a connected car device. The company develops a device that enables drivers to get real data about their driving and vehicle’s performance. Its TruvoloData mobile platform provides smart alerts and reports via an application to give users visibility into how their loved ones are driving and insight into how their cars are running.</t>
        </is>
      </c>
      <c r="M568" s="39" t="inlineStr">
        <is>
          <t/>
        </is>
      </c>
      <c r="N568" s="40" t="inlineStr">
        <is>
          <t>Angel-Backed</t>
        </is>
      </c>
      <c r="O568" s="41" t="inlineStr">
        <is>
          <t>Privately Held (backing)</t>
        </is>
      </c>
      <c r="P568" s="42" t="inlineStr">
        <is>
          <t>San Jose, CA</t>
        </is>
      </c>
      <c r="Q568" s="43" t="inlineStr">
        <is>
          <t>www.truvolo.com</t>
        </is>
      </c>
      <c r="R568" s="114">
        <f>HYPERLINK("https://my.pitchbook.com?c=95619-97", "View company online")</f>
      </c>
    </row>
    <row r="569">
      <c r="A569" s="9" t="inlineStr">
        <is>
          <t>156552-76</t>
        </is>
      </c>
      <c r="B569" s="10" t="inlineStr">
        <is>
          <t>Truust Neuroimaging</t>
        </is>
      </c>
      <c r="C569" s="11" t="n">
        <v>0.0</v>
      </c>
      <c r="D569" s="12" t="n">
        <v>0.3056739969783448</v>
      </c>
      <c r="E569" s="13" t="inlineStr">
        <is>
          <t/>
        </is>
      </c>
      <c r="F569" s="14" t="n">
        <v>20.0</v>
      </c>
      <c r="G569" s="15" t="n">
        <v>57.0</v>
      </c>
      <c r="H569" s="16" t="inlineStr">
        <is>
          <t/>
        </is>
      </c>
      <c r="I569" s="17" t="inlineStr">
        <is>
          <t/>
        </is>
      </c>
      <c r="J569" s="18" t="n">
        <v>0.25</v>
      </c>
      <c r="K569" s="19" t="inlineStr">
        <is>
          <t>Diagnostic Equipment</t>
        </is>
      </c>
      <c r="L569" s="20" t="inlineStr">
        <is>
          <t>Developer of a neuro-imaging device designed to increase neuro-imaging resolutions. The company's device increases the resolution of existing and future neuro-imaging systems for prevention of brain-related conditions, such as epilepsy and age-related and neuro-degenerative diseases enabling physicians to treat and prevent brain-related conditions, such as epilepsy, age-related and neuro-degenerative diseases like ALS, Alzheimer's and Parkinson's.</t>
        </is>
      </c>
      <c r="M569" s="21" t="inlineStr">
        <is>
          <t>SOSV</t>
        </is>
      </c>
      <c r="N569" s="22" t="inlineStr">
        <is>
          <t>Accelerator/Incubator Backed</t>
        </is>
      </c>
      <c r="O569" s="23" t="inlineStr">
        <is>
          <t>Privately Held (backing)</t>
        </is>
      </c>
      <c r="P569" s="24" t="inlineStr">
        <is>
          <t>San Francisco, CA</t>
        </is>
      </c>
      <c r="Q569" s="25" t="inlineStr">
        <is>
          <t>www.truustneuroimaging.com</t>
        </is>
      </c>
      <c r="R569" s="113">
        <f>HYPERLINK("https://my.pitchbook.com?c=156552-76", "View company online")</f>
      </c>
    </row>
    <row r="570">
      <c r="A570" s="27" t="inlineStr">
        <is>
          <t>179106-04</t>
        </is>
      </c>
      <c r="B570" s="28" t="inlineStr">
        <is>
          <t>Trustwork</t>
        </is>
      </c>
      <c r="C570" s="29" t="n">
        <v>0.0</v>
      </c>
      <c r="D570" s="30" t="n">
        <v>0.01694915254237288</v>
      </c>
      <c r="E570" s="31" t="inlineStr">
        <is>
          <t/>
        </is>
      </c>
      <c r="F570" s="32" t="inlineStr">
        <is>
          <t/>
        </is>
      </c>
      <c r="G570" s="33" t="n">
        <v>2.0</v>
      </c>
      <c r="H570" s="34" t="n">
        <v>6.0</v>
      </c>
      <c r="I570" s="35" t="inlineStr">
        <is>
          <t/>
        </is>
      </c>
      <c r="J570" s="36" t="inlineStr">
        <is>
          <t/>
        </is>
      </c>
      <c r="K570" s="37" t="inlineStr">
        <is>
          <t>Social/Platform Software</t>
        </is>
      </c>
      <c r="L570" s="38" t="inlineStr">
        <is>
          <t>Provider of a workers' engagement platform created to empower each worker in an organization. The company's platform permits every person in the global workforce to engage in meaningful work, to develop personal brands and build companies to realize their dreams, enabling them to create abundance for themselves and their family.</t>
        </is>
      </c>
      <c r="M570" s="39" t="inlineStr">
        <is>
          <t/>
        </is>
      </c>
      <c r="N570" s="40" t="inlineStr">
        <is>
          <t>Angel-Backed</t>
        </is>
      </c>
      <c r="O570" s="41" t="inlineStr">
        <is>
          <t>Privately Held (backing)</t>
        </is>
      </c>
      <c r="P570" s="42" t="inlineStr">
        <is>
          <t>San Francisco, CA</t>
        </is>
      </c>
      <c r="Q570" s="43" t="inlineStr">
        <is>
          <t>www.trustwork.org</t>
        </is>
      </c>
      <c r="R570" s="114">
        <f>HYPERLINK("https://my.pitchbook.com?c=179106-04", "View company online")</f>
      </c>
    </row>
    <row r="571">
      <c r="A571" s="9" t="inlineStr">
        <is>
          <t>154086-04</t>
        </is>
      </c>
      <c r="B571" s="10" t="inlineStr">
        <is>
          <t>TrustPipe Security</t>
        </is>
      </c>
      <c r="C571" s="11" t="n">
        <v>0.0</v>
      </c>
      <c r="D571" s="12" t="n">
        <v>0.2253397465261872</v>
      </c>
      <c r="E571" s="13" t="inlineStr">
        <is>
          <t/>
        </is>
      </c>
      <c r="F571" s="14" t="n">
        <v>8.0</v>
      </c>
      <c r="G571" s="15" t="inlineStr">
        <is>
          <t/>
        </is>
      </c>
      <c r="H571" s="16" t="n">
        <v>83.0</v>
      </c>
      <c r="I571" s="17" t="inlineStr">
        <is>
          <t/>
        </is>
      </c>
      <c r="J571" s="18" t="inlineStr">
        <is>
          <t/>
        </is>
      </c>
      <c r="K571" s="19" t="inlineStr">
        <is>
          <t>Security Services (B2B)</t>
        </is>
      </c>
      <c r="L571" s="20" t="inlineStr">
        <is>
          <t>Provider of security services. The company designs and develops an adaptive, real-time intrusion prevention engine That provides users with protection against polymorphic attacks.</t>
        </is>
      </c>
      <c r="M571" s="21" t="inlineStr">
        <is>
          <t>Andy Getsey</t>
        </is>
      </c>
      <c r="N571" s="22" t="inlineStr">
        <is>
          <t>Angel-Backed</t>
        </is>
      </c>
      <c r="O571" s="23" t="inlineStr">
        <is>
          <t>Privately Held (backing)</t>
        </is>
      </c>
      <c r="P571" s="24" t="inlineStr">
        <is>
          <t>Healdsburg, CA</t>
        </is>
      </c>
      <c r="Q571" s="25" t="inlineStr">
        <is>
          <t>www.trustpipe.com</t>
        </is>
      </c>
      <c r="R571" s="113">
        <f>HYPERLINK("https://my.pitchbook.com?c=154086-04", "View company online")</f>
      </c>
    </row>
    <row r="572">
      <c r="A572" s="27" t="inlineStr">
        <is>
          <t>93116-98</t>
        </is>
      </c>
      <c r="B572" s="28" t="inlineStr">
        <is>
          <t>TrustCommerce</t>
        </is>
      </c>
      <c r="C572" s="29" t="n">
        <v>-0.4788243718680709</v>
      </c>
      <c r="D572" s="30" t="n">
        <v>8.760383264620552</v>
      </c>
      <c r="E572" s="31" t="inlineStr">
        <is>
          <t/>
        </is>
      </c>
      <c r="F572" s="32" t="n">
        <v>572.0</v>
      </c>
      <c r="G572" s="33" t="inlineStr">
        <is>
          <t/>
        </is>
      </c>
      <c r="H572" s="34" t="n">
        <v>701.0</v>
      </c>
      <c r="I572" s="35" t="n">
        <v>8.0</v>
      </c>
      <c r="J572" s="36" t="inlineStr">
        <is>
          <t/>
        </is>
      </c>
      <c r="K572" s="37" t="inlineStr">
        <is>
          <t>Other Commercial Services</t>
        </is>
      </c>
      <c r="L572" s="38" t="inlineStr">
        <is>
          <t>Provider of secure payment processing platform designed to help businesses to do better business. The company's secure payment processing platform features point-to-point encryption, tokenization and seamless redirects, it assist partners and clients with reducing PCI DSS scope, enabling businesses to protect transactions and reduce risk.</t>
        </is>
      </c>
      <c r="M572" s="39" t="inlineStr">
        <is>
          <t>Caulfield Capital</t>
        </is>
      </c>
      <c r="N572" s="40" t="inlineStr">
        <is>
          <t>Angel-Backed</t>
        </is>
      </c>
      <c r="O572" s="41" t="inlineStr">
        <is>
          <t>Privately Held (backing)</t>
        </is>
      </c>
      <c r="P572" s="42" t="inlineStr">
        <is>
          <t>Santa Ana, CA</t>
        </is>
      </c>
      <c r="Q572" s="43" t="inlineStr">
        <is>
          <t>www.trustcommerce.com</t>
        </is>
      </c>
      <c r="R572" s="114">
        <f>HYPERLINK("https://my.pitchbook.com?c=93116-98", "View company online")</f>
      </c>
    </row>
    <row r="573">
      <c r="A573" s="9" t="inlineStr">
        <is>
          <t>163769-77</t>
        </is>
      </c>
      <c r="B573" s="10" t="inlineStr">
        <is>
          <t>Trust Society</t>
        </is>
      </c>
      <c r="C573" s="11" t="n">
        <v>0.0</v>
      </c>
      <c r="D573" s="12" t="n">
        <v>0.028741621925114924</v>
      </c>
      <c r="E573" s="13" t="inlineStr">
        <is>
          <t/>
        </is>
      </c>
      <c r="F573" s="14" t="inlineStr">
        <is>
          <t/>
        </is>
      </c>
      <c r="G573" s="15" t="n">
        <v>44.0</v>
      </c>
      <c r="H573" s="16" t="n">
        <v>1.0</v>
      </c>
      <c r="I573" s="17" t="inlineStr">
        <is>
          <t/>
        </is>
      </c>
      <c r="J573" s="18" t="inlineStr">
        <is>
          <t/>
        </is>
      </c>
      <c r="K573" s="19" t="inlineStr">
        <is>
          <t>Application Software</t>
        </is>
      </c>
      <c r="L573" s="20" t="inlineStr">
        <is>
          <t>Provider of a video reference platform. The company offers a platform for companies and non-profit organizations to gather feedback from their users and employees.</t>
        </is>
      </c>
      <c r="M573" s="21" t="inlineStr">
        <is>
          <t>Founders Den</t>
        </is>
      </c>
      <c r="N573" s="22" t="inlineStr">
        <is>
          <t>Accelerator/Incubator Backed</t>
        </is>
      </c>
      <c r="O573" s="23" t="inlineStr">
        <is>
          <t>Privately Held (backing)</t>
        </is>
      </c>
      <c r="P573" s="24" t="inlineStr">
        <is>
          <t>Palo Alto, CA</t>
        </is>
      </c>
      <c r="Q573" s="25" t="inlineStr">
        <is>
          <t>www.trust.fyi</t>
        </is>
      </c>
      <c r="R573" s="113">
        <f>HYPERLINK("https://my.pitchbook.com?c=163769-77", "View company online")</f>
      </c>
    </row>
    <row r="574">
      <c r="A574" s="27" t="inlineStr">
        <is>
          <t>94513-96</t>
        </is>
      </c>
      <c r="B574" s="28" t="inlineStr">
        <is>
          <t>Truminim</t>
        </is>
      </c>
      <c r="C574" s="29" t="inlineStr">
        <is>
          <t/>
        </is>
      </c>
      <c r="D574" s="30" t="inlineStr">
        <is>
          <t/>
        </is>
      </c>
      <c r="E574" s="31" t="inlineStr">
        <is>
          <t/>
        </is>
      </c>
      <c r="F574" s="32" t="inlineStr">
        <is>
          <t/>
        </is>
      </c>
      <c r="G574" s="33" t="inlineStr">
        <is>
          <t/>
        </is>
      </c>
      <c r="H574" s="34" t="inlineStr">
        <is>
          <t/>
        </is>
      </c>
      <c r="I574" s="35" t="inlineStr">
        <is>
          <t/>
        </is>
      </c>
      <c r="J574" s="36" t="n">
        <v>1.81</v>
      </c>
      <c r="K574" s="37" t="inlineStr">
        <is>
          <t>Surgical Devices</t>
        </is>
      </c>
      <c r="L574" s="38" t="inlineStr">
        <is>
          <t>Developer of alternative spinal surgery and pain management technology. The company has developed the T-Technique, a new alternative procedure and method that allows practitioners to place medical devices and tools in areas of the spine that would normally require open surgery.</t>
        </is>
      </c>
      <c r="M574" s="39" t="inlineStr">
        <is>
          <t/>
        </is>
      </c>
      <c r="N574" s="40" t="inlineStr">
        <is>
          <t>Angel-Backed</t>
        </is>
      </c>
      <c r="O574" s="41" t="inlineStr">
        <is>
          <t>Privately Held (backing)</t>
        </is>
      </c>
      <c r="P574" s="42" t="inlineStr">
        <is>
          <t>Costa Mesa, CA</t>
        </is>
      </c>
      <c r="Q574" s="43" t="inlineStr">
        <is>
          <t>truminim.com</t>
        </is>
      </c>
      <c r="R574" s="114">
        <f>HYPERLINK("https://my.pitchbook.com?c=94513-96", "View company online")</f>
      </c>
    </row>
    <row r="575">
      <c r="A575" s="9" t="inlineStr">
        <is>
          <t>124582-69</t>
        </is>
      </c>
      <c r="B575" s="10" t="inlineStr">
        <is>
          <t>Truly M.A.D.</t>
        </is>
      </c>
      <c r="C575" s="11" t="n">
        <v>0.032800078254319034</v>
      </c>
      <c r="D575" s="12" t="n">
        <v>1.8043039855309568</v>
      </c>
      <c r="E575" s="13" t="inlineStr">
        <is>
          <t/>
        </is>
      </c>
      <c r="F575" s="14" t="n">
        <v>23.0</v>
      </c>
      <c r="G575" s="15" t="n">
        <v>377.0</v>
      </c>
      <c r="H575" s="16" t="n">
        <v>1951.0</v>
      </c>
      <c r="I575" s="17" t="inlineStr">
        <is>
          <t/>
        </is>
      </c>
      <c r="J575" s="18" t="n">
        <v>1.4</v>
      </c>
      <c r="K575" s="19" t="inlineStr">
        <is>
          <t>Clothing</t>
        </is>
      </c>
      <c r="L575" s="20" t="inlineStr">
        <is>
          <t>Provider of an online platform intended to sell clothing, accessories and shoes. The company's online platform specializes in offering dresses, shoes and accessories for cycling, swimming, running, yoga and workout enabling individuals to wear proper dresses and shoes for various activities.</t>
        </is>
      </c>
      <c r="M575" s="21" t="inlineStr">
        <is>
          <t/>
        </is>
      </c>
      <c r="N575" s="22" t="inlineStr">
        <is>
          <t>Angel-Backed</t>
        </is>
      </c>
      <c r="O575" s="23" t="inlineStr">
        <is>
          <t>Privately Held (backing)</t>
        </is>
      </c>
      <c r="P575" s="24" t="inlineStr">
        <is>
          <t>Berkeley, CA</t>
        </is>
      </c>
      <c r="Q575" s="25" t="inlineStr">
        <is>
          <t>www.trulymad.com</t>
        </is>
      </c>
      <c r="R575" s="113">
        <f>HYPERLINK("https://my.pitchbook.com?c=124582-69", "View company online")</f>
      </c>
    </row>
    <row r="576">
      <c r="A576" s="27" t="inlineStr">
        <is>
          <t>113678-83</t>
        </is>
      </c>
      <c r="B576" s="28" t="inlineStr">
        <is>
          <t>TRUINJECT</t>
        </is>
      </c>
      <c r="C576" s="86">
        <f>HYPERLINK("https://my.pitchbook.com?rrp=113678-83&amp;type=c", "This Company's information is not available to download. Need this Company? Request availability")</f>
      </c>
      <c r="D576" s="30" t="inlineStr">
        <is>
          <t/>
        </is>
      </c>
      <c r="E576" s="31" t="inlineStr">
        <is>
          <t/>
        </is>
      </c>
      <c r="F576" s="32" t="inlineStr">
        <is>
          <t/>
        </is>
      </c>
      <c r="G576" s="33" t="inlineStr">
        <is>
          <t/>
        </is>
      </c>
      <c r="H576" s="34" t="inlineStr">
        <is>
          <t/>
        </is>
      </c>
      <c r="I576" s="35" t="inlineStr">
        <is>
          <t/>
        </is>
      </c>
      <c r="J576" s="36" t="inlineStr">
        <is>
          <t/>
        </is>
      </c>
      <c r="K576" s="37" t="inlineStr">
        <is>
          <t/>
        </is>
      </c>
      <c r="L576" s="38" t="inlineStr">
        <is>
          <t/>
        </is>
      </c>
      <c r="M576" s="39" t="inlineStr">
        <is>
          <t/>
        </is>
      </c>
      <c r="N576" s="40" t="inlineStr">
        <is>
          <t/>
        </is>
      </c>
      <c r="O576" s="41" t="inlineStr">
        <is>
          <t/>
        </is>
      </c>
      <c r="P576" s="42" t="inlineStr">
        <is>
          <t/>
        </is>
      </c>
      <c r="Q576" s="43" t="inlineStr">
        <is>
          <t/>
        </is>
      </c>
      <c r="R576" s="44" t="inlineStr">
        <is>
          <t/>
        </is>
      </c>
    </row>
    <row r="577">
      <c r="A577" s="9" t="inlineStr">
        <is>
          <t>103255-84</t>
        </is>
      </c>
      <c r="B577" s="10" t="inlineStr">
        <is>
          <t>Tru-Friends</t>
        </is>
      </c>
      <c r="C577" s="11" t="n">
        <v>0.0</v>
      </c>
      <c r="D577" s="12" t="n">
        <v>0.21621621621621623</v>
      </c>
      <c r="E577" s="13" t="inlineStr">
        <is>
          <t/>
        </is>
      </c>
      <c r="F577" s="14" t="n">
        <v>8.0</v>
      </c>
      <c r="G577" s="15" t="inlineStr">
        <is>
          <t/>
        </is>
      </c>
      <c r="H577" s="16" t="inlineStr">
        <is>
          <t/>
        </is>
      </c>
      <c r="I577" s="17" t="n">
        <v>17.0</v>
      </c>
      <c r="J577" s="18" t="n">
        <v>0.93</v>
      </c>
      <c r="K577" s="19" t="inlineStr">
        <is>
          <t>Social/Platform Software</t>
        </is>
      </c>
      <c r="L577" s="20" t="inlineStr">
        <is>
          <t>Owner and operator of a company that develops a social platform. The company's software allows users to aggregate and filter their social media, collaborate and compete, engage in e-commerce activities and also communicate.</t>
        </is>
      </c>
      <c r="M577" s="21" t="inlineStr">
        <is>
          <t/>
        </is>
      </c>
      <c r="N577" s="22" t="inlineStr">
        <is>
          <t>Angel-Backed</t>
        </is>
      </c>
      <c r="O577" s="23" t="inlineStr">
        <is>
          <t>Privately Held (backing)</t>
        </is>
      </c>
      <c r="P577" s="24" t="inlineStr">
        <is>
          <t>Napa, CA</t>
        </is>
      </c>
      <c r="Q577" s="25" t="inlineStr">
        <is>
          <t>www.tru-friends.com</t>
        </is>
      </c>
      <c r="R577" s="113">
        <f>HYPERLINK("https://my.pitchbook.com?c=103255-84", "View company online")</f>
      </c>
    </row>
    <row r="578">
      <c r="A578" s="27" t="inlineStr">
        <is>
          <t>168480-19</t>
        </is>
      </c>
      <c r="B578" s="28" t="inlineStr">
        <is>
          <t>TruePic</t>
        </is>
      </c>
      <c r="C578" s="29" t="n">
        <v>0.0</v>
      </c>
      <c r="D578" s="30" t="n">
        <v>0.3047507134463656</v>
      </c>
      <c r="E578" s="31" t="inlineStr">
        <is>
          <t/>
        </is>
      </c>
      <c r="F578" s="32" t="n">
        <v>19.0</v>
      </c>
      <c r="G578" s="33" t="n">
        <v>11.0</v>
      </c>
      <c r="H578" s="34" t="inlineStr">
        <is>
          <t/>
        </is>
      </c>
      <c r="I578" s="35" t="inlineStr">
        <is>
          <t/>
        </is>
      </c>
      <c r="J578" s="36" t="n">
        <v>1.75</v>
      </c>
      <c r="K578" s="37" t="inlineStr">
        <is>
          <t>Application Software</t>
        </is>
      </c>
      <c r="L578" s="38" t="inlineStr">
        <is>
          <t>Developer of image and video authenticity software designed to verify uploaded photos and videos. The company's image and video authenticity software offers an image processing engine enabling companies, including beauty, healthcare and insurance to verify and authenticate the photographer, date, time, device and the location where the photo was captured.</t>
        </is>
      </c>
      <c r="M578" s="39" t="inlineStr">
        <is>
          <t>Andrew Filipowski, Jeffrey Parker, William Sahlman</t>
        </is>
      </c>
      <c r="N578" s="40" t="inlineStr">
        <is>
          <t>Angel-Backed</t>
        </is>
      </c>
      <c r="O578" s="41" t="inlineStr">
        <is>
          <t>Privately Held (backing)</t>
        </is>
      </c>
      <c r="P578" s="42" t="inlineStr">
        <is>
          <t>San Diego, CA</t>
        </is>
      </c>
      <c r="Q578" s="43" t="inlineStr">
        <is>
          <t>www.truepic.com</t>
        </is>
      </c>
      <c r="R578" s="114">
        <f>HYPERLINK("https://my.pitchbook.com?c=168480-19", "View company online")</f>
      </c>
    </row>
    <row r="579">
      <c r="A579" s="9" t="inlineStr">
        <is>
          <t>120223-90</t>
        </is>
      </c>
      <c r="B579" s="10" t="inlineStr">
        <is>
          <t>Truecare24</t>
        </is>
      </c>
      <c r="C579" s="11" t="n">
        <v>0.40958802246079334</v>
      </c>
      <c r="D579" s="12" t="n">
        <v>0.8924623407490024</v>
      </c>
      <c r="E579" s="13" t="inlineStr">
        <is>
          <t/>
        </is>
      </c>
      <c r="F579" s="14" t="n">
        <v>48.0</v>
      </c>
      <c r="G579" s="15" t="n">
        <v>342.0</v>
      </c>
      <c r="H579" s="16" t="n">
        <v>135.0</v>
      </c>
      <c r="I579" s="17" t="n">
        <v>5.0</v>
      </c>
      <c r="J579" s="18" t="n">
        <v>0.15</v>
      </c>
      <c r="K579" s="19" t="inlineStr">
        <is>
          <t>Application Software</t>
        </is>
      </c>
      <c r="L579" s="20" t="inlineStr">
        <is>
          <t>Developer of an on-demand mobile platform designed to intuitively connects users with third-party health care providers. The company's platform gives users access to on-demand doctors with phone/video, in-home in person, or at work consultation availability in short span of time enabling users to book and avail home-based care at their convenience.</t>
        </is>
      </c>
      <c r="M579" s="21" t="inlineStr">
        <is>
          <t>500 Startups, Plug and Play Tech Center</t>
        </is>
      </c>
      <c r="N579" s="22" t="inlineStr">
        <is>
          <t>Accelerator/Incubator Backed</t>
        </is>
      </c>
      <c r="O579" s="23" t="inlineStr">
        <is>
          <t>Privately Held (backing)</t>
        </is>
      </c>
      <c r="P579" s="24" t="inlineStr">
        <is>
          <t>San Francisco, CA</t>
        </is>
      </c>
      <c r="Q579" s="25" t="inlineStr">
        <is>
          <t>www.truecare24.com</t>
        </is>
      </c>
      <c r="R579" s="113">
        <f>HYPERLINK("https://my.pitchbook.com?c=120223-90", "View company online")</f>
      </c>
    </row>
    <row r="580">
      <c r="A580" s="27" t="inlineStr">
        <is>
          <t>174437-56</t>
        </is>
      </c>
      <c r="B580" s="28" t="inlineStr">
        <is>
          <t>True North Business Exchange</t>
        </is>
      </c>
      <c r="C580" s="29" t="n">
        <v>0.8933307607811624</v>
      </c>
      <c r="D580" s="30" t="n">
        <v>0.18300503893724232</v>
      </c>
      <c r="E580" s="31" t="inlineStr">
        <is>
          <t/>
        </is>
      </c>
      <c r="F580" s="32" t="n">
        <v>1.0</v>
      </c>
      <c r="G580" s="33" t="inlineStr">
        <is>
          <t/>
        </is>
      </c>
      <c r="H580" s="34" t="n">
        <v>116.0</v>
      </c>
      <c r="I580" s="35" t="inlineStr">
        <is>
          <t/>
        </is>
      </c>
      <c r="J580" s="36" t="inlineStr">
        <is>
          <t/>
        </is>
      </c>
      <c r="K580" s="37" t="inlineStr">
        <is>
          <t>Brokerage</t>
        </is>
      </c>
      <c r="L580" s="38" t="inlineStr">
        <is>
          <t>Developer of a public stock exchange platform designed for trading securities of corporations. The company's platform helps investors and companies to buy, sell and trade financial securities of small businesses offering liquidity to investors and enabling companies to access capital more affordably.</t>
        </is>
      </c>
      <c r="M580" s="39" t="inlineStr">
        <is>
          <t>Unbank.ventures</t>
        </is>
      </c>
      <c r="N580" s="40" t="inlineStr">
        <is>
          <t>Accelerator/Incubator Backed</t>
        </is>
      </c>
      <c r="O580" s="41" t="inlineStr">
        <is>
          <t>Privately Held (backing)</t>
        </is>
      </c>
      <c r="P580" s="42" t="inlineStr">
        <is>
          <t>San Francisco, CA</t>
        </is>
      </c>
      <c r="Q580" s="43" t="inlineStr">
        <is>
          <t>www.tnbx.live</t>
        </is>
      </c>
      <c r="R580" s="114">
        <f>HYPERLINK("https://my.pitchbook.com?c=174437-56", "View company online")</f>
      </c>
    </row>
    <row r="581">
      <c r="A581" s="9" t="inlineStr">
        <is>
          <t>178656-49</t>
        </is>
      </c>
      <c r="B581" s="10" t="inlineStr">
        <is>
          <t>Trovata</t>
        </is>
      </c>
      <c r="C581" s="85">
        <f>HYPERLINK("https://my.pitchbook.com?rrp=178656-49&amp;type=c", "This Company's information is not available to download. Need this Company? Request availability")</f>
      </c>
      <c r="D581" s="12" t="inlineStr">
        <is>
          <t/>
        </is>
      </c>
      <c r="E581" s="13" t="inlineStr">
        <is>
          <t/>
        </is>
      </c>
      <c r="F581" s="14" t="inlineStr">
        <is>
          <t/>
        </is>
      </c>
      <c r="G581" s="15" t="inlineStr">
        <is>
          <t/>
        </is>
      </c>
      <c r="H581" s="16" t="inlineStr">
        <is>
          <t/>
        </is>
      </c>
      <c r="I581" s="17" t="inlineStr">
        <is>
          <t/>
        </is>
      </c>
      <c r="J581" s="18" t="inlineStr">
        <is>
          <t/>
        </is>
      </c>
      <c r="K581" s="19" t="inlineStr">
        <is>
          <t/>
        </is>
      </c>
      <c r="L581" s="20" t="inlineStr">
        <is>
          <t/>
        </is>
      </c>
      <c r="M581" s="21" t="inlineStr">
        <is>
          <t/>
        </is>
      </c>
      <c r="N581" s="22" t="inlineStr">
        <is>
          <t/>
        </is>
      </c>
      <c r="O581" s="23" t="inlineStr">
        <is>
          <t/>
        </is>
      </c>
      <c r="P581" s="24" t="inlineStr">
        <is>
          <t/>
        </is>
      </c>
      <c r="Q581" s="25" t="inlineStr">
        <is>
          <t/>
        </is>
      </c>
      <c r="R581" s="26" t="inlineStr">
        <is>
          <t/>
        </is>
      </c>
    </row>
    <row r="582">
      <c r="A582" s="27" t="inlineStr">
        <is>
          <t>178495-21</t>
        </is>
      </c>
      <c r="B582" s="28" t="inlineStr">
        <is>
          <t>Troparé</t>
        </is>
      </c>
      <c r="C582" s="86">
        <f>HYPERLINK("https://my.pitchbook.com?rrp=178495-21&amp;type=c", "This Company's information is not available to download. Need this Company? Request availability")</f>
      </c>
      <c r="D582" s="30" t="inlineStr">
        <is>
          <t/>
        </is>
      </c>
      <c r="E582" s="31" t="inlineStr">
        <is>
          <t/>
        </is>
      </c>
      <c r="F582" s="32" t="inlineStr">
        <is>
          <t/>
        </is>
      </c>
      <c r="G582" s="33" t="inlineStr">
        <is>
          <t/>
        </is>
      </c>
      <c r="H582" s="34" t="inlineStr">
        <is>
          <t/>
        </is>
      </c>
      <c r="I582" s="35" t="inlineStr">
        <is>
          <t/>
        </is>
      </c>
      <c r="J582" s="36" t="inlineStr">
        <is>
          <t/>
        </is>
      </c>
      <c r="K582" s="37" t="inlineStr">
        <is>
          <t/>
        </is>
      </c>
      <c r="L582" s="38" t="inlineStr">
        <is>
          <t/>
        </is>
      </c>
      <c r="M582" s="39" t="inlineStr">
        <is>
          <t/>
        </is>
      </c>
      <c r="N582" s="40" t="inlineStr">
        <is>
          <t/>
        </is>
      </c>
      <c r="O582" s="41" t="inlineStr">
        <is>
          <t/>
        </is>
      </c>
      <c r="P582" s="42" t="inlineStr">
        <is>
          <t/>
        </is>
      </c>
      <c r="Q582" s="43" t="inlineStr">
        <is>
          <t/>
        </is>
      </c>
      <c r="R582" s="44" t="inlineStr">
        <is>
          <t/>
        </is>
      </c>
    </row>
    <row r="583">
      <c r="A583" s="9" t="inlineStr">
        <is>
          <t>108669-61</t>
        </is>
      </c>
      <c r="B583" s="10" t="inlineStr">
        <is>
          <t>Tronic.fm</t>
        </is>
      </c>
      <c r="C583" s="11" t="n">
        <v>-0.011039704431354515</v>
      </c>
      <c r="D583" s="12" t="n">
        <v>11.274544356968823</v>
      </c>
      <c r="E583" s="13" t="inlineStr">
        <is>
          <t/>
        </is>
      </c>
      <c r="F583" s="14" t="n">
        <v>11.0</v>
      </c>
      <c r="G583" s="15" t="n">
        <v>35795.0</v>
      </c>
      <c r="H583" s="16" t="n">
        <v>16.0</v>
      </c>
      <c r="I583" s="17" t="inlineStr">
        <is>
          <t/>
        </is>
      </c>
      <c r="J583" s="18" t="n">
        <v>0.28</v>
      </c>
      <c r="K583" s="19" t="inlineStr">
        <is>
          <t>Other Commercial Services</t>
        </is>
      </c>
      <c r="L583" s="20" t="inlineStr">
        <is>
          <t>Provider of a management and publishing platform for the music industry. The company provides a platform which provides publishing and management services for businesses in the music industry . The company's services includes promotion, booking, media syndication and others.</t>
        </is>
      </c>
      <c r="M583" s="21" t="inlineStr">
        <is>
          <t>Galen Abbott, John Spinale, Sasha Robinson, Tamin Sun</t>
        </is>
      </c>
      <c r="N583" s="22" t="inlineStr">
        <is>
          <t>Angel-Backed</t>
        </is>
      </c>
      <c r="O583" s="23" t="inlineStr">
        <is>
          <t>Privately Held (backing)</t>
        </is>
      </c>
      <c r="P583" s="24" t="inlineStr">
        <is>
          <t>San Francisco, CA</t>
        </is>
      </c>
      <c r="Q583" s="25" t="inlineStr">
        <is>
          <t>www.tronic.fm</t>
        </is>
      </c>
      <c r="R583" s="113">
        <f>HYPERLINK("https://my.pitchbook.com?c=108669-61", "View company online")</f>
      </c>
    </row>
    <row r="584">
      <c r="A584" s="27" t="inlineStr">
        <is>
          <t>89235-10</t>
        </is>
      </c>
      <c r="B584" s="28" t="inlineStr">
        <is>
          <t>Trnio</t>
        </is>
      </c>
      <c r="C584" s="29" t="n">
        <v>0.24637733565816178</v>
      </c>
      <c r="D584" s="30" t="n">
        <v>1.5917851238963987</v>
      </c>
      <c r="E584" s="31" t="inlineStr">
        <is>
          <t/>
        </is>
      </c>
      <c r="F584" s="32" t="n">
        <v>96.0</v>
      </c>
      <c r="G584" s="33" t="n">
        <v>242.0</v>
      </c>
      <c r="H584" s="34" t="n">
        <v>291.0</v>
      </c>
      <c r="I584" s="35" t="n">
        <v>8.0</v>
      </c>
      <c r="J584" s="36" t="inlineStr">
        <is>
          <t/>
        </is>
      </c>
      <c r="K584" s="37" t="inlineStr">
        <is>
          <t>Application Software</t>
        </is>
      </c>
      <c r="L584" s="38" t="inlineStr">
        <is>
          <t>Developer and provider of a platform to convert still images into 3D models. The company develops an application which converts the phones into 3D scanners thus allowing the users to convert still images into 3D models.</t>
        </is>
      </c>
      <c r="M584" s="39" t="inlineStr">
        <is>
          <t>Alsop Louie Partners, Immunity Project, Runway Incubator</t>
        </is>
      </c>
      <c r="N584" s="40" t="inlineStr">
        <is>
          <t>Accelerator/Incubator Backed</t>
        </is>
      </c>
      <c r="O584" s="41" t="inlineStr">
        <is>
          <t>Privately Held (backing)</t>
        </is>
      </c>
      <c r="P584" s="42" t="inlineStr">
        <is>
          <t>San Francisco, CA</t>
        </is>
      </c>
      <c r="Q584" s="43" t="inlineStr">
        <is>
          <t>www.trnio.com</t>
        </is>
      </c>
      <c r="R584" s="114">
        <f>HYPERLINK("https://my.pitchbook.com?c=89235-10", "View company online")</f>
      </c>
    </row>
    <row r="585">
      <c r="A585" s="9" t="inlineStr">
        <is>
          <t>57049-03</t>
        </is>
      </c>
      <c r="B585" s="10" t="inlineStr">
        <is>
          <t>TRIXandTRAX</t>
        </is>
      </c>
      <c r="C585" s="11" t="n">
        <v>-0.009713132888594753</v>
      </c>
      <c r="D585" s="12" t="n">
        <v>13.087352130001356</v>
      </c>
      <c r="E585" s="13" t="inlineStr">
        <is>
          <t/>
        </is>
      </c>
      <c r="F585" s="14" t="n">
        <v>28.0</v>
      </c>
      <c r="G585" s="15" t="n">
        <v>35798.0</v>
      </c>
      <c r="H585" s="16" t="n">
        <v>2254.0</v>
      </c>
      <c r="I585" s="17" t="inlineStr">
        <is>
          <t/>
        </is>
      </c>
      <c r="J585" s="18" t="n">
        <v>0.09</v>
      </c>
      <c r="K585" s="19" t="inlineStr">
        <is>
          <t>Entertainment Software</t>
        </is>
      </c>
      <c r="L585" s="20" t="inlineStr">
        <is>
          <t>Provider of a gaming platform. The company offers recreational activities that are recorded and uploaded, virtual communities that connect through social gaming, and live events that become part of a TV franchise format.</t>
        </is>
      </c>
      <c r="M585" s="21" t="inlineStr">
        <is>
          <t>MIT NextLab, Start-Up Chile, Wayra</t>
        </is>
      </c>
      <c r="N585" s="22" t="inlineStr">
        <is>
          <t>Accelerator/Incubator Backed</t>
        </is>
      </c>
      <c r="O585" s="23" t="inlineStr">
        <is>
          <t>Privately Held (backing)</t>
        </is>
      </c>
      <c r="P585" s="24" t="inlineStr">
        <is>
          <t>Hermosa Beach, CA</t>
        </is>
      </c>
      <c r="Q585" s="25" t="inlineStr">
        <is>
          <t>www.trixandtrax.com</t>
        </is>
      </c>
      <c r="R585" s="113">
        <f>HYPERLINK("https://my.pitchbook.com?c=57049-03", "View company online")</f>
      </c>
    </row>
    <row r="586">
      <c r="A586" s="27" t="inlineStr">
        <is>
          <t>57012-40</t>
        </is>
      </c>
      <c r="B586" s="28" t="inlineStr">
        <is>
          <t>Tripshare</t>
        </is>
      </c>
      <c r="C586" s="29" t="n">
        <v>-0.008276149694907092</v>
      </c>
      <c r="D586" s="30" t="n">
        <v>1.9986485300965773</v>
      </c>
      <c r="E586" s="31" t="inlineStr">
        <is>
          <t/>
        </is>
      </c>
      <c r="F586" s="32" t="n">
        <v>7.0</v>
      </c>
      <c r="G586" s="33" t="n">
        <v>2172.0</v>
      </c>
      <c r="H586" s="34" t="n">
        <v>1742.0</v>
      </c>
      <c r="I586" s="35" t="n">
        <v>79.0</v>
      </c>
      <c r="J586" s="36" t="n">
        <v>1.47</v>
      </c>
      <c r="K586" s="37" t="inlineStr">
        <is>
          <t>Application Software</t>
        </is>
      </c>
      <c r="L586" s="38" t="inlineStr">
        <is>
          <t>Developer of travel planning application. The company offers to create bookable itineraries with actual dates, prices and availability for flights, hotels, vacation rentals and tours. It allows to browse, collect and share information with others before booking, you can flip through photos of destination and lodgings.</t>
        </is>
      </c>
      <c r="M586" s="39" t="inlineStr">
        <is>
          <t>David Rose, New York Angels, Raj Sandhu, Social Starts, William Lohse</t>
        </is>
      </c>
      <c r="N586" s="40" t="inlineStr">
        <is>
          <t>Angel-Backed</t>
        </is>
      </c>
      <c r="O586" s="41" t="inlineStr">
        <is>
          <t>Privately Held (backing)</t>
        </is>
      </c>
      <c r="P586" s="42" t="inlineStr">
        <is>
          <t>San Francisco, CA</t>
        </is>
      </c>
      <c r="Q586" s="43" t="inlineStr">
        <is>
          <t>www.tripshare.com</t>
        </is>
      </c>
      <c r="R586" s="114">
        <f>HYPERLINK("https://my.pitchbook.com?c=57012-40", "View company online")</f>
      </c>
    </row>
    <row r="587">
      <c r="A587" s="9" t="inlineStr">
        <is>
          <t>149363-11</t>
        </is>
      </c>
      <c r="B587" s="10" t="inlineStr">
        <is>
          <t>TriPrism</t>
        </is>
      </c>
      <c r="C587" s="11" t="n">
        <v>-0.06963182070790076</v>
      </c>
      <c r="D587" s="12" t="n">
        <v>0.4481802257041756</v>
      </c>
      <c r="E587" s="13" t="inlineStr">
        <is>
          <t/>
        </is>
      </c>
      <c r="F587" s="14" t="n">
        <v>20.0</v>
      </c>
      <c r="G587" s="15" t="n">
        <v>159.0</v>
      </c>
      <c r="H587" s="16" t="n">
        <v>181.0</v>
      </c>
      <c r="I587" s="17" t="inlineStr">
        <is>
          <t/>
        </is>
      </c>
      <c r="J587" s="18" t="inlineStr">
        <is>
          <t/>
        </is>
      </c>
      <c r="K587" s="19" t="inlineStr">
        <is>
          <t>Media and Information Services (B2B)</t>
        </is>
      </c>
      <c r="L587" s="20" t="inlineStr">
        <is>
          <t>Developer of a digital imaging technology. The company specializes in photographic technology for the event and brand activation markets.</t>
        </is>
      </c>
      <c r="M587" s="21" t="inlineStr">
        <is>
          <t>Tech.Co</t>
        </is>
      </c>
      <c r="N587" s="22" t="inlineStr">
        <is>
          <t>Accelerator/Incubator Backed</t>
        </is>
      </c>
      <c r="O587" s="23" t="inlineStr">
        <is>
          <t>Privately Held (backing)</t>
        </is>
      </c>
      <c r="P587" s="24" t="inlineStr">
        <is>
          <t>San Diego, CA</t>
        </is>
      </c>
      <c r="Q587" s="25" t="inlineStr">
        <is>
          <t>www.triprism.com</t>
        </is>
      </c>
      <c r="R587" s="113">
        <f>HYPERLINK("https://my.pitchbook.com?c=149363-11", "View company online")</f>
      </c>
    </row>
    <row r="588">
      <c r="A588" s="27" t="inlineStr">
        <is>
          <t>181346-59</t>
        </is>
      </c>
      <c r="B588" s="28" t="inlineStr">
        <is>
          <t>Tripplus</t>
        </is>
      </c>
      <c r="C588" s="29" t="inlineStr">
        <is>
          <t/>
        </is>
      </c>
      <c r="D588" s="30" t="inlineStr">
        <is>
          <t/>
        </is>
      </c>
      <c r="E588" s="31" t="inlineStr">
        <is>
          <t/>
        </is>
      </c>
      <c r="F588" s="32" t="inlineStr">
        <is>
          <t/>
        </is>
      </c>
      <c r="G588" s="33" t="inlineStr">
        <is>
          <t/>
        </is>
      </c>
      <c r="H588" s="34" t="inlineStr">
        <is>
          <t/>
        </is>
      </c>
      <c r="I588" s="35" t="inlineStr">
        <is>
          <t/>
        </is>
      </c>
      <c r="J588" s="36" t="n">
        <v>0.15</v>
      </c>
      <c r="K588" s="37" t="inlineStr">
        <is>
          <t>Other Services (B2C Non-Financial)</t>
        </is>
      </c>
      <c r="L588" s="38" t="inlineStr">
        <is>
          <t>Operator of an online travel service company designed to provide an online meta-search engine for travel related purposes. The company's online ticket booking platform is designed for users to book flight tickets and make hotel reservations along with an opportunity to earn reward points, enabling users to accumulate, redeem points and get discounts on travel bookings.</t>
        </is>
      </c>
      <c r="M588" s="39" t="inlineStr">
        <is>
          <t>500 Startups</t>
        </is>
      </c>
      <c r="N588" s="40" t="inlineStr">
        <is>
          <t>Accelerator/Incubator Backed</t>
        </is>
      </c>
      <c r="O588" s="41" t="inlineStr">
        <is>
          <t>Privately Held (backing)</t>
        </is>
      </c>
      <c r="P588" s="42" t="inlineStr">
        <is>
          <t>San Jose, CA</t>
        </is>
      </c>
      <c r="Q588" s="43" t="inlineStr">
        <is>
          <t>www.tripplus.cc</t>
        </is>
      </c>
      <c r="R588" s="114">
        <f>HYPERLINK("https://my.pitchbook.com?c=181346-59", "View company online")</f>
      </c>
    </row>
    <row r="589">
      <c r="A589" s="9" t="inlineStr">
        <is>
          <t>65774-53</t>
        </is>
      </c>
      <c r="B589" s="10" t="inlineStr">
        <is>
          <t>TriplePulse</t>
        </is>
      </c>
      <c r="C589" s="11" t="n">
        <v>-0.011222801900990044</v>
      </c>
      <c r="D589" s="12" t="n">
        <v>0.8552945355082422</v>
      </c>
      <c r="E589" s="13" t="inlineStr">
        <is>
          <t/>
        </is>
      </c>
      <c r="F589" s="14" t="n">
        <v>4.0</v>
      </c>
      <c r="G589" s="15" t="n">
        <v>1302.0</v>
      </c>
      <c r="H589" s="16" t="n">
        <v>562.0</v>
      </c>
      <c r="I589" s="17" t="n">
        <v>1.0</v>
      </c>
      <c r="J589" s="18" t="n">
        <v>1.59</v>
      </c>
      <c r="K589" s="19" t="inlineStr">
        <is>
          <t>Personal Products</t>
        </is>
      </c>
      <c r="L589" s="20" t="inlineStr">
        <is>
          <t>Manufacturer of stacks of sports nutrition for endurance athletes. The company also provides custom packs of essential vitamins, samples of the diet supplements and expert fitness advice.</t>
        </is>
      </c>
      <c r="M589" s="21" t="inlineStr">
        <is>
          <t>500 Startups, StartEngine.com</t>
        </is>
      </c>
      <c r="N589" s="22" t="inlineStr">
        <is>
          <t>Accelerator/Incubator Backed</t>
        </is>
      </c>
      <c r="O589" s="23" t="inlineStr">
        <is>
          <t>Privately Held (backing)</t>
        </is>
      </c>
      <c r="P589" s="24" t="inlineStr">
        <is>
          <t>Santa Monica, CA</t>
        </is>
      </c>
      <c r="Q589" s="25" t="inlineStr">
        <is>
          <t>www.triplepulse.com</t>
        </is>
      </c>
      <c r="R589" s="113">
        <f>HYPERLINK("https://my.pitchbook.com?c=65774-53", "View company online")</f>
      </c>
    </row>
    <row r="590">
      <c r="A590" s="27" t="inlineStr">
        <is>
          <t>108066-52</t>
        </is>
      </c>
      <c r="B590" s="28" t="inlineStr">
        <is>
          <t>Triple Ring Technologies</t>
        </is>
      </c>
      <c r="C590" s="29" t="n">
        <v>0.3467396710673387</v>
      </c>
      <c r="D590" s="30" t="n">
        <v>1.758439532278884</v>
      </c>
      <c r="E590" s="31" t="inlineStr">
        <is>
          <t/>
        </is>
      </c>
      <c r="F590" s="32" t="n">
        <v>119.0</v>
      </c>
      <c r="G590" s="33" t="n">
        <v>104.0</v>
      </c>
      <c r="H590" s="34" t="n">
        <v>147.0</v>
      </c>
      <c r="I590" s="35" t="n">
        <v>92.0</v>
      </c>
      <c r="J590" s="36" t="n">
        <v>1.0</v>
      </c>
      <c r="K590" s="37" t="inlineStr">
        <is>
          <t>Other Commercial Services</t>
        </is>
      </c>
      <c r="L590" s="38" t="inlineStr">
        <is>
          <t>Provider of research services and developer of medical products. The company is engaged in research and development and provides research and engineering services, such as feasibility analysis, experimental design, product requirements definition, systems architecture etc.</t>
        </is>
      </c>
      <c r="M590" s="39" t="inlineStr">
        <is>
          <t>National Institutes of Health, U.S. Department of Health and Human Services, US Department of Homeland Security</t>
        </is>
      </c>
      <c r="N590" s="40" t="inlineStr">
        <is>
          <t>Angel-Backed</t>
        </is>
      </c>
      <c r="O590" s="41" t="inlineStr">
        <is>
          <t>Privately Held (backing)</t>
        </is>
      </c>
      <c r="P590" s="42" t="inlineStr">
        <is>
          <t>Newark, CA</t>
        </is>
      </c>
      <c r="Q590" s="43" t="inlineStr">
        <is>
          <t>www.tripleringtech.com</t>
        </is>
      </c>
      <c r="R590" s="114">
        <f>HYPERLINK("https://my.pitchbook.com?c=108066-52", "View company online")</f>
      </c>
    </row>
    <row r="591">
      <c r="A591" s="9" t="inlineStr">
        <is>
          <t>121701-34</t>
        </is>
      </c>
      <c r="B591" s="10" t="inlineStr">
        <is>
          <t>Tripcloud</t>
        </is>
      </c>
      <c r="C591" s="11" t="n">
        <v>0.0</v>
      </c>
      <c r="D591" s="12" t="n">
        <v>0.3971598717361429</v>
      </c>
      <c r="E591" s="13" t="inlineStr">
        <is>
          <t/>
        </is>
      </c>
      <c r="F591" s="14" t="n">
        <v>25.0</v>
      </c>
      <c r="G591" s="15" t="inlineStr">
        <is>
          <t/>
        </is>
      </c>
      <c r="H591" s="16" t="n">
        <v>42.0</v>
      </c>
      <c r="I591" s="17" t="inlineStr">
        <is>
          <t/>
        </is>
      </c>
      <c r="J591" s="18" t="n">
        <v>0.05</v>
      </c>
      <c r="K591" s="19" t="inlineStr">
        <is>
          <t>Other Commercial Services</t>
        </is>
      </c>
      <c r="L591" s="20" t="inlineStr">
        <is>
          <t>Developer of a cloud platform for corporate travel planning. The company develops a cloud platform which allows business enterprises to book tickets and manage their expenses related to traveling.</t>
        </is>
      </c>
      <c r="M591" s="21" t="inlineStr">
        <is>
          <t>Acceleprise, Right Side Capital Management</t>
        </is>
      </c>
      <c r="N591" s="22" t="inlineStr">
        <is>
          <t>Accelerator/Incubator Backed</t>
        </is>
      </c>
      <c r="O591" s="23" t="inlineStr">
        <is>
          <t>Privately Held (backing)</t>
        </is>
      </c>
      <c r="P591" s="24" t="inlineStr">
        <is>
          <t>San Francisco, CA</t>
        </is>
      </c>
      <c r="Q591" s="25" t="inlineStr">
        <is>
          <t>tripcloud.io</t>
        </is>
      </c>
      <c r="R591" s="113">
        <f>HYPERLINK("https://my.pitchbook.com?c=121701-34", "View company online")</f>
      </c>
    </row>
    <row r="592">
      <c r="A592" s="27" t="inlineStr">
        <is>
          <t>103298-95</t>
        </is>
      </c>
      <c r="B592" s="28" t="inlineStr">
        <is>
          <t>Tripcipe</t>
        </is>
      </c>
      <c r="C592" s="29" t="n">
        <v>0.024122315465248637</v>
      </c>
      <c r="D592" s="30" t="n">
        <v>1.88839050388424</v>
      </c>
      <c r="E592" s="31" t="inlineStr">
        <is>
          <t/>
        </is>
      </c>
      <c r="F592" s="32" t="n">
        <v>39.0</v>
      </c>
      <c r="G592" s="33" t="n">
        <v>279.0</v>
      </c>
      <c r="H592" s="34" t="n">
        <v>1803.0</v>
      </c>
      <c r="I592" s="35" t="n">
        <v>4.0</v>
      </c>
      <c r="J592" s="36" t="inlineStr">
        <is>
          <t/>
        </is>
      </c>
      <c r="K592" s="37" t="inlineStr">
        <is>
          <t>Social/Platform Software</t>
        </is>
      </c>
      <c r="L592" s="38" t="inlineStr">
        <is>
          <t>Provider of a travel planning platform. The company provides a platform for planning and organizing trips and allows users to collect and condense information from various sites in one place.</t>
        </is>
      </c>
      <c r="M592" s="39" t="inlineStr">
        <is>
          <t>Lightspeed Venture Partners, StartX</t>
        </is>
      </c>
      <c r="N592" s="40" t="inlineStr">
        <is>
          <t>Accelerator/Incubator Backed</t>
        </is>
      </c>
      <c r="O592" s="41" t="inlineStr">
        <is>
          <t>Privately Held (backing)</t>
        </is>
      </c>
      <c r="P592" s="42" t="inlineStr">
        <is>
          <t>Palo Alto, CA</t>
        </is>
      </c>
      <c r="Q592" s="43" t="inlineStr">
        <is>
          <t>www.tripcipe.com</t>
        </is>
      </c>
      <c r="R592" s="114">
        <f>HYPERLINK("https://my.pitchbook.com?c=103298-95", "View company online")</f>
      </c>
    </row>
    <row r="593">
      <c r="A593" s="9" t="inlineStr">
        <is>
          <t>156812-59</t>
        </is>
      </c>
      <c r="B593" s="10" t="inlineStr">
        <is>
          <t>Trinity Foods</t>
        </is>
      </c>
      <c r="C593" s="11" t="n">
        <v>0.0</v>
      </c>
      <c r="D593" s="12" t="n">
        <v>0.13513513513513514</v>
      </c>
      <c r="E593" s="13" t="inlineStr">
        <is>
          <t/>
        </is>
      </c>
      <c r="F593" s="14" t="n">
        <v>5.0</v>
      </c>
      <c r="G593" s="15" t="inlineStr">
        <is>
          <t/>
        </is>
      </c>
      <c r="H593" s="16" t="inlineStr">
        <is>
          <t/>
        </is>
      </c>
      <c r="I593" s="17" t="inlineStr">
        <is>
          <t/>
        </is>
      </c>
      <c r="J593" s="18" t="n">
        <v>0.52</v>
      </c>
      <c r="K593" s="19" t="inlineStr">
        <is>
          <t>Food Products</t>
        </is>
      </c>
      <c r="L593" s="20" t="inlineStr">
        <is>
          <t>Owner and operator of a global food manufacturing company. The company develops and sells food products internationally that include low-lactose, whey-based milk alternatives and baked Kabocha snack chips for their customers.</t>
        </is>
      </c>
      <c r="M593" s="21" t="inlineStr">
        <is>
          <t/>
        </is>
      </c>
      <c r="N593" s="22" t="inlineStr">
        <is>
          <t>Angel-Backed</t>
        </is>
      </c>
      <c r="O593" s="23" t="inlineStr">
        <is>
          <t>Privately Held (backing)</t>
        </is>
      </c>
      <c r="P593" s="24" t="inlineStr">
        <is>
          <t>San Diego, CA</t>
        </is>
      </c>
      <c r="Q593" s="25" t="inlineStr">
        <is>
          <t>www.trinityfoodsusa.com</t>
        </is>
      </c>
      <c r="R593" s="113">
        <f>HYPERLINK("https://my.pitchbook.com?c=156812-59", "View company online")</f>
      </c>
    </row>
    <row r="594">
      <c r="A594" s="27" t="inlineStr">
        <is>
          <t>102751-21</t>
        </is>
      </c>
      <c r="B594" s="28" t="inlineStr">
        <is>
          <t>Trinity Energy Group</t>
        </is>
      </c>
      <c r="C594" s="29" t="n">
        <v>0.0</v>
      </c>
      <c r="D594" s="30" t="n">
        <v>0.10810810810810811</v>
      </c>
      <c r="E594" s="31" t="inlineStr">
        <is>
          <t/>
        </is>
      </c>
      <c r="F594" s="32" t="n">
        <v>4.0</v>
      </c>
      <c r="G594" s="33" t="inlineStr">
        <is>
          <t/>
        </is>
      </c>
      <c r="H594" s="34" t="inlineStr">
        <is>
          <t/>
        </is>
      </c>
      <c r="I594" s="35" t="inlineStr">
        <is>
          <t/>
        </is>
      </c>
      <c r="J594" s="36" t="n">
        <v>0.2</v>
      </c>
      <c r="K594" s="37" t="inlineStr">
        <is>
          <t>Other Energy Services</t>
        </is>
      </c>
      <c r="L594" s="38" t="inlineStr">
        <is>
          <t>Operator of an investment arm to fund the acquisition of oil producing properties. The company operates an investment vehicle to fund the acquisition of oil producing properties, oil exploration opportunities and the capital expenditures to increase oil production on acquired properties.</t>
        </is>
      </c>
      <c r="M594" s="39" t="inlineStr">
        <is>
          <t/>
        </is>
      </c>
      <c r="N594" s="40" t="inlineStr">
        <is>
          <t>Angel-Backed</t>
        </is>
      </c>
      <c r="O594" s="41" t="inlineStr">
        <is>
          <t>Privately Held (backing)</t>
        </is>
      </c>
      <c r="P594" s="42" t="inlineStr">
        <is>
          <t>Irvine, CA</t>
        </is>
      </c>
      <c r="Q594" s="43" t="inlineStr">
        <is>
          <t>www.trinitygp.com</t>
        </is>
      </c>
      <c r="R594" s="114">
        <f>HYPERLINK("https://my.pitchbook.com?c=102751-21", "View company online")</f>
      </c>
    </row>
    <row r="595">
      <c r="A595" s="9" t="inlineStr">
        <is>
          <t>153816-76</t>
        </is>
      </c>
      <c r="B595" s="10" t="inlineStr">
        <is>
          <t>Tring Chat</t>
        </is>
      </c>
      <c r="C595" s="11" t="n">
        <v>0.0</v>
      </c>
      <c r="D595" s="12" t="n">
        <v>0.1369817021990935</v>
      </c>
      <c r="E595" s="13" t="inlineStr">
        <is>
          <t/>
        </is>
      </c>
      <c r="F595" s="14" t="inlineStr">
        <is>
          <t/>
        </is>
      </c>
      <c r="G595" s="15" t="inlineStr">
        <is>
          <t/>
        </is>
      </c>
      <c r="H595" s="16" t="inlineStr">
        <is>
          <t/>
        </is>
      </c>
      <c r="I595" s="17" t="inlineStr">
        <is>
          <t/>
        </is>
      </c>
      <c r="J595" s="18" t="inlineStr">
        <is>
          <t/>
        </is>
      </c>
      <c r="K595" s="19" t="inlineStr">
        <is>
          <t>Application Software</t>
        </is>
      </c>
      <c r="L595" s="20" t="inlineStr">
        <is>
          <t>Developer of a network messaging application designed to offer chat based customer services. The company's mobile application provides group discovery tools
for browsing for network by category or location, networks admin tools, special network features which includes member-to-member networks and owner-to-member networks, enabling small and large businesses to to generate leads, send marketing messages and provide customer service all on a single channel.</t>
        </is>
      </c>
      <c r="M595" s="21" t="inlineStr">
        <is>
          <t>Alok Gupta, Ranganathan V, Vishwadeep Bajaj</t>
        </is>
      </c>
      <c r="N595" s="22" t="inlineStr">
        <is>
          <t>Angel-Backed</t>
        </is>
      </c>
      <c r="O595" s="23" t="inlineStr">
        <is>
          <t>Privately Held (backing)</t>
        </is>
      </c>
      <c r="P595" s="24" t="inlineStr">
        <is>
          <t>Bangalore, India</t>
        </is>
      </c>
      <c r="Q595" s="25" t="inlineStr">
        <is>
          <t>www.tringchat.com</t>
        </is>
      </c>
      <c r="R595" s="113">
        <f>HYPERLINK("https://my.pitchbook.com?c=153816-76", "View company online")</f>
      </c>
    </row>
    <row r="596">
      <c r="A596" s="27" t="inlineStr">
        <is>
          <t>156451-69</t>
        </is>
      </c>
      <c r="B596" s="28" t="inlineStr">
        <is>
          <t>Trimian</t>
        </is>
      </c>
      <c r="C596" s="29" t="n">
        <v>0.004464285714285587</v>
      </c>
      <c r="D596" s="30" t="n">
        <v>0.6323169864253136</v>
      </c>
      <c r="E596" s="31" t="inlineStr">
        <is>
          <t/>
        </is>
      </c>
      <c r="F596" s="32" t="n">
        <v>45.0</v>
      </c>
      <c r="G596" s="33" t="n">
        <v>98.0</v>
      </c>
      <c r="H596" s="34" t="n">
        <v>9.0</v>
      </c>
      <c r="I596" s="35" t="inlineStr">
        <is>
          <t/>
        </is>
      </c>
      <c r="J596" s="36" t="inlineStr">
        <is>
          <t/>
        </is>
      </c>
      <c r="K596" s="37" t="inlineStr">
        <is>
          <t>Other Services (B2C Non-Financial)</t>
        </is>
      </c>
      <c r="L596" s="38" t="inlineStr">
        <is>
          <t>Developer of mobile applications for professionals. The company specializes in designing and developing mobile application tools to help professionals in their work.</t>
        </is>
      </c>
      <c r="M596" s="39" t="inlineStr">
        <is>
          <t>500 Startups</t>
        </is>
      </c>
      <c r="N596" s="40" t="inlineStr">
        <is>
          <t>Accelerator/Incubator Backed</t>
        </is>
      </c>
      <c r="O596" s="41" t="inlineStr">
        <is>
          <t>Privately Held (backing)</t>
        </is>
      </c>
      <c r="P596" s="42" t="inlineStr">
        <is>
          <t>Menlo Park, CA</t>
        </is>
      </c>
      <c r="Q596" s="43" t="inlineStr">
        <is>
          <t>www.trimian.com</t>
        </is>
      </c>
      <c r="R596" s="114">
        <f>HYPERLINK("https://my.pitchbook.com?c=156451-69", "View company online")</f>
      </c>
    </row>
    <row r="597">
      <c r="A597" s="9" t="inlineStr">
        <is>
          <t>113917-87</t>
        </is>
      </c>
      <c r="B597" s="10" t="inlineStr">
        <is>
          <t>Trillium Finishing</t>
        </is>
      </c>
      <c r="C597" s="85">
        <f>HYPERLINK("https://my.pitchbook.com?rrp=113917-87&amp;type=c", "This Company's information is not available to download. Need this Company? Request availability")</f>
      </c>
      <c r="D597" s="12" t="inlineStr">
        <is>
          <t/>
        </is>
      </c>
      <c r="E597" s="13" t="inlineStr">
        <is>
          <t/>
        </is>
      </c>
      <c r="F597" s="14" t="inlineStr">
        <is>
          <t/>
        </is>
      </c>
      <c r="G597" s="15" t="inlineStr">
        <is>
          <t/>
        </is>
      </c>
      <c r="H597" s="16" t="inlineStr">
        <is>
          <t/>
        </is>
      </c>
      <c r="I597" s="17" t="inlineStr">
        <is>
          <t/>
        </is>
      </c>
      <c r="J597" s="18" t="inlineStr">
        <is>
          <t/>
        </is>
      </c>
      <c r="K597" s="19" t="inlineStr">
        <is>
          <t/>
        </is>
      </c>
      <c r="L597" s="20" t="inlineStr">
        <is>
          <t/>
        </is>
      </c>
      <c r="M597" s="21" t="inlineStr">
        <is>
          <t/>
        </is>
      </c>
      <c r="N597" s="22" t="inlineStr">
        <is>
          <t/>
        </is>
      </c>
      <c r="O597" s="23" t="inlineStr">
        <is>
          <t/>
        </is>
      </c>
      <c r="P597" s="24" t="inlineStr">
        <is>
          <t/>
        </is>
      </c>
      <c r="Q597" s="25" t="inlineStr">
        <is>
          <t/>
        </is>
      </c>
      <c r="R597" s="26" t="inlineStr">
        <is>
          <t/>
        </is>
      </c>
    </row>
    <row r="598">
      <c r="A598" s="27" t="inlineStr">
        <is>
          <t>107852-05</t>
        </is>
      </c>
      <c r="B598" s="28" t="inlineStr">
        <is>
          <t>Triggar</t>
        </is>
      </c>
      <c r="C598" s="29" t="n">
        <v>-0.015802769298946973</v>
      </c>
      <c r="D598" s="30" t="n">
        <v>1.5340187539892773</v>
      </c>
      <c r="E598" s="31" t="inlineStr">
        <is>
          <t/>
        </is>
      </c>
      <c r="F598" s="32" t="n">
        <v>68.0</v>
      </c>
      <c r="G598" s="33" t="n">
        <v>75.0</v>
      </c>
      <c r="H598" s="34" t="n">
        <v>837.0</v>
      </c>
      <c r="I598" s="35" t="n">
        <v>3.0</v>
      </c>
      <c r="J598" s="36" t="n">
        <v>0.1</v>
      </c>
      <c r="K598" s="37" t="inlineStr">
        <is>
          <t>Electronics (B2C)</t>
        </is>
      </c>
      <c r="L598" s="38" t="inlineStr">
        <is>
          <t>Developer of a 360 degree capture camera system. The company develops a system for capturing and sharing 360 degree Virtual Reality (VR) imagery.</t>
        </is>
      </c>
      <c r="M598" s="39" t="inlineStr">
        <is>
          <t>River</t>
        </is>
      </c>
      <c r="N598" s="40" t="inlineStr">
        <is>
          <t>Accelerator/Incubator Backed</t>
        </is>
      </c>
      <c r="O598" s="41" t="inlineStr">
        <is>
          <t>Privately Held (backing)</t>
        </is>
      </c>
      <c r="P598" s="42" t="inlineStr">
        <is>
          <t>Surry Hills, Australia</t>
        </is>
      </c>
      <c r="Q598" s="43" t="inlineStr">
        <is>
          <t>www.triggar.com.au</t>
        </is>
      </c>
      <c r="R598" s="114">
        <f>HYPERLINK("https://my.pitchbook.com?c=107852-05", "View company online")</f>
      </c>
    </row>
    <row r="599">
      <c r="A599" s="9" t="inlineStr">
        <is>
          <t>110715-58</t>
        </is>
      </c>
      <c r="B599" s="10" t="inlineStr">
        <is>
          <t>Tri-D Dynamics</t>
        </is>
      </c>
      <c r="C599" s="11" t="n">
        <v>0.0</v>
      </c>
      <c r="D599" s="12" t="n">
        <v>0.8108108108108109</v>
      </c>
      <c r="E599" s="13" t="inlineStr">
        <is>
          <t/>
        </is>
      </c>
      <c r="F599" s="14" t="n">
        <v>30.0</v>
      </c>
      <c r="G599" s="15" t="inlineStr">
        <is>
          <t/>
        </is>
      </c>
      <c r="H599" s="16" t="inlineStr">
        <is>
          <t/>
        </is>
      </c>
      <c r="I599" s="17" t="n">
        <v>2.0</v>
      </c>
      <c r="J599" s="18" t="inlineStr">
        <is>
          <t/>
        </is>
      </c>
      <c r="K599" s="19" t="inlineStr">
        <is>
          <t>Aerospace and Defense</t>
        </is>
      </c>
      <c r="L599" s="20" t="inlineStr">
        <is>
          <t>Developer of a 3D-printed rocket engine designed to improve on advanced 3-D printing methods for metalworking. The company's rocket engine is created by 3-D printer and are lightweight, enabling launch vehicle developers to get reduced cost to access space.</t>
        </is>
      </c>
      <c r="M599" s="21" t="inlineStr">
        <is>
          <t>Moxie Center, NASA SBIR/STTR, Purdue Foundry, Purdue University Endowment</t>
        </is>
      </c>
      <c r="N599" s="22" t="inlineStr">
        <is>
          <t>Accelerator/Incubator Backed</t>
        </is>
      </c>
      <c r="O599" s="23" t="inlineStr">
        <is>
          <t>Privately Held (backing)</t>
        </is>
      </c>
      <c r="P599" s="24" t="inlineStr">
        <is>
          <t>Cerritos, CA</t>
        </is>
      </c>
      <c r="Q599" s="25" t="inlineStr">
        <is>
          <t>www.triddynamics.com</t>
        </is>
      </c>
      <c r="R599" s="113">
        <f>HYPERLINK("https://my.pitchbook.com?c=110715-58", "View company online")</f>
      </c>
    </row>
    <row r="600">
      <c r="A600" s="27" t="inlineStr">
        <is>
          <t>61588-99</t>
        </is>
      </c>
      <c r="B600" s="28" t="inlineStr">
        <is>
          <t>Trice Imaging</t>
        </is>
      </c>
      <c r="C600" s="29" t="n">
        <v>0.16978192825251748</v>
      </c>
      <c r="D600" s="30" t="n">
        <v>0.5698951715163949</v>
      </c>
      <c r="E600" s="31" t="inlineStr">
        <is>
          <t/>
        </is>
      </c>
      <c r="F600" s="32" t="n">
        <v>18.0</v>
      </c>
      <c r="G600" s="33" t="n">
        <v>406.0</v>
      </c>
      <c r="H600" s="34" t="n">
        <v>282.0</v>
      </c>
      <c r="I600" s="35" t="n">
        <v>15.0</v>
      </c>
      <c r="J600" s="36" t="n">
        <v>3.0</v>
      </c>
      <c r="K600" s="37" t="inlineStr">
        <is>
          <t>Other Healthcare Services</t>
        </is>
      </c>
      <c r="L600" s="38" t="inlineStr">
        <is>
          <t>Provider of a cloud-based medical imaging routing platform. The company offers a medical image routing platform that mobilizes DICOM information from any imaging modality to any cell phone, email account or remote archive.</t>
        </is>
      </c>
      <c r="M600" s="39" t="inlineStr">
        <is>
          <t>Elin Elkehag, GE Healthcare, Qualcomm</t>
        </is>
      </c>
      <c r="N600" s="40" t="inlineStr">
        <is>
          <t>Angel-Backed</t>
        </is>
      </c>
      <c r="O600" s="41" t="inlineStr">
        <is>
          <t>Privately Held (backing)</t>
        </is>
      </c>
      <c r="P600" s="42" t="inlineStr">
        <is>
          <t>Del Mar, CA</t>
        </is>
      </c>
      <c r="Q600" s="43" t="inlineStr">
        <is>
          <t>www.triceimaging.com</t>
        </is>
      </c>
      <c r="R600" s="114">
        <f>HYPERLINK("https://my.pitchbook.com?c=61588-99", "View company online")</f>
      </c>
    </row>
    <row r="601">
      <c r="A601" s="9" t="inlineStr">
        <is>
          <t>127243-54</t>
        </is>
      </c>
      <c r="B601" s="10" t="inlineStr">
        <is>
          <t>Tribeworthy</t>
        </is>
      </c>
      <c r="C601" s="11" t="n">
        <v>0.029956301526226144</v>
      </c>
      <c r="D601" s="12" t="n">
        <v>0.32004364613060265</v>
      </c>
      <c r="E601" s="13" t="inlineStr">
        <is>
          <t/>
        </is>
      </c>
      <c r="F601" s="14" t="n">
        <v>3.0</v>
      </c>
      <c r="G601" s="15" t="n">
        <v>449.0</v>
      </c>
      <c r="H601" s="16" t="n">
        <v>105.0</v>
      </c>
      <c r="I601" s="17" t="inlineStr">
        <is>
          <t/>
        </is>
      </c>
      <c r="J601" s="18" t="inlineStr">
        <is>
          <t/>
        </is>
      </c>
      <c r="K601" s="19" t="inlineStr">
        <is>
          <t>Application Software</t>
        </is>
      </c>
      <c r="L601" s="20" t="inlineStr">
        <is>
          <t>Provider of online news articles. The company provides an online platform that helps its users to find online rated news articles. Users can review the online article as 'Trustworthy' or 'Not Trustworthy' and select the reason an article is not trustworthy.</t>
        </is>
      </c>
      <c r="M601" s="21" t="inlineStr">
        <is>
          <t>Chicostart</t>
        </is>
      </c>
      <c r="N601" s="22" t="inlineStr">
        <is>
          <t>Accelerator/Incubator Backed</t>
        </is>
      </c>
      <c r="O601" s="23" t="inlineStr">
        <is>
          <t>Privately Held (backing)</t>
        </is>
      </c>
      <c r="P601" s="24" t="inlineStr">
        <is>
          <t>Chico, CA</t>
        </is>
      </c>
      <c r="Q601" s="25" t="inlineStr">
        <is>
          <t>www.tribeworthy.com</t>
        </is>
      </c>
      <c r="R601" s="113">
        <f>HYPERLINK("https://my.pitchbook.com?c=127243-54", "View company online")</f>
      </c>
    </row>
    <row r="602">
      <c r="A602" s="27" t="inlineStr">
        <is>
          <t>167551-75</t>
        </is>
      </c>
      <c r="B602" s="28" t="inlineStr">
        <is>
          <t>Trials.ai</t>
        </is>
      </c>
      <c r="C602" s="29" t="n">
        <v>0.0</v>
      </c>
      <c r="D602" s="30" t="n">
        <v>0.14631364705056674</v>
      </c>
      <c r="E602" s="31" t="inlineStr">
        <is>
          <t/>
        </is>
      </c>
      <c r="F602" s="32" t="inlineStr">
        <is>
          <t/>
        </is>
      </c>
      <c r="G602" s="33" t="n">
        <v>40.0</v>
      </c>
      <c r="H602" s="34" t="n">
        <v>84.0</v>
      </c>
      <c r="I602" s="35" t="inlineStr">
        <is>
          <t/>
        </is>
      </c>
      <c r="J602" s="36" t="inlineStr">
        <is>
          <t/>
        </is>
      </c>
      <c r="K602" s="37" t="inlineStr">
        <is>
          <t>Other Healthcare</t>
        </is>
      </c>
      <c r="L602" s="38" t="inlineStr">
        <is>
          <t>Provider of an artificial intelligence based clinical trials management platform. The company's cloud-based platform leverages artificial intelligence to automate the clinical trials management process.</t>
        </is>
      </c>
      <c r="M602" s="39" t="inlineStr">
        <is>
          <t>EvoNexus</t>
        </is>
      </c>
      <c r="N602" s="40" t="inlineStr">
        <is>
          <t>Accelerator/Incubator Backed</t>
        </is>
      </c>
      <c r="O602" s="41" t="inlineStr">
        <is>
          <t>Privately Held (backing)</t>
        </is>
      </c>
      <c r="P602" s="42" t="inlineStr">
        <is>
          <t>San Diego, CA</t>
        </is>
      </c>
      <c r="Q602" s="43" t="inlineStr">
        <is>
          <t>www.trials.ai</t>
        </is>
      </c>
      <c r="R602" s="114">
        <f>HYPERLINK("https://my.pitchbook.com?c=167551-75", "View company online")</f>
      </c>
    </row>
    <row r="603">
      <c r="A603" s="9" t="inlineStr">
        <is>
          <t>113748-49</t>
        </is>
      </c>
      <c r="B603" s="10" t="inlineStr">
        <is>
          <t>Trial Funder</t>
        </is>
      </c>
      <c r="C603" s="11" t="n">
        <v>-0.037800835754548165</v>
      </c>
      <c r="D603" s="12" t="n">
        <v>4.265531720266429</v>
      </c>
      <c r="E603" s="13" t="inlineStr">
        <is>
          <t/>
        </is>
      </c>
      <c r="F603" s="14" t="n">
        <v>31.0</v>
      </c>
      <c r="G603" s="15" t="n">
        <v>468.0</v>
      </c>
      <c r="H603" s="16" t="n">
        <v>5242.0</v>
      </c>
      <c r="I603" s="17" t="n">
        <v>11.0</v>
      </c>
      <c r="J603" s="18" t="inlineStr">
        <is>
          <t/>
        </is>
      </c>
      <c r="K603" s="19" t="inlineStr">
        <is>
          <t>Other Financial Services</t>
        </is>
      </c>
      <c r="L603" s="20" t="inlineStr">
        <is>
          <t>Provider of an online litigation crowdfunding platform. The company offers a web-based crowdfunding platform for investment in litigation to help plaintiffs obtain the highest recoveries possible and access to the justice system.</t>
        </is>
      </c>
      <c r="M603" s="21" t="inlineStr">
        <is>
          <t/>
        </is>
      </c>
      <c r="N603" s="22" t="inlineStr">
        <is>
          <t>Angel-Backed</t>
        </is>
      </c>
      <c r="O603" s="23" t="inlineStr">
        <is>
          <t>Privately Held (backing)</t>
        </is>
      </c>
      <c r="P603" s="24" t="inlineStr">
        <is>
          <t>Los Angeles, CA</t>
        </is>
      </c>
      <c r="Q603" s="25" t="inlineStr">
        <is>
          <t>www.trialfunder.com</t>
        </is>
      </c>
      <c r="R603" s="113">
        <f>HYPERLINK("https://my.pitchbook.com?c=113748-49", "View company online")</f>
      </c>
    </row>
    <row r="604">
      <c r="A604" s="27" t="inlineStr">
        <is>
          <t>114987-25</t>
        </is>
      </c>
      <c r="B604" s="28" t="inlineStr">
        <is>
          <t>TriAct Therapeutics</t>
        </is>
      </c>
      <c r="C604" s="29" t="inlineStr">
        <is>
          <t/>
        </is>
      </c>
      <c r="D604" s="30" t="inlineStr">
        <is>
          <t/>
        </is>
      </c>
      <c r="E604" s="31" t="inlineStr">
        <is>
          <t/>
        </is>
      </c>
      <c r="F604" s="32" t="inlineStr">
        <is>
          <t/>
        </is>
      </c>
      <c r="G604" s="33" t="inlineStr">
        <is>
          <t/>
        </is>
      </c>
      <c r="H604" s="34" t="inlineStr">
        <is>
          <t/>
        </is>
      </c>
      <c r="I604" s="35" t="inlineStr">
        <is>
          <t/>
        </is>
      </c>
      <c r="J604" s="36" t="inlineStr">
        <is>
          <t/>
        </is>
      </c>
      <c r="K604" s="37" t="inlineStr">
        <is>
          <t>Pharmaceuticals</t>
        </is>
      </c>
      <c r="L604" s="38" t="inlineStr">
        <is>
          <t>Developer of a novel signaling pathway inhibitor designed to meet the significant and unmet needs of lung cancer patients. The company's pathway inhibitor focuses on high-value non-small cell lung cancer indications that effectively deny tumor cells, enabling healthcare providers to enhance the anti-tumor effects of both standard and next-generation cancer therapies.</t>
        </is>
      </c>
      <c r="M604" s="39" t="inlineStr">
        <is>
          <t/>
        </is>
      </c>
      <c r="N604" s="40" t="inlineStr">
        <is>
          <t>Angel-Backed</t>
        </is>
      </c>
      <c r="O604" s="41" t="inlineStr">
        <is>
          <t>Privately Held (backing)</t>
        </is>
      </c>
      <c r="P604" s="42" t="inlineStr">
        <is>
          <t>San Francisco, CA</t>
        </is>
      </c>
      <c r="Q604" s="43" t="inlineStr">
        <is>
          <t/>
        </is>
      </c>
      <c r="R604" s="114">
        <f>HYPERLINK("https://my.pitchbook.com?c=114987-25", "View company online")</f>
      </c>
    </row>
    <row r="605">
      <c r="A605" s="9" t="inlineStr">
        <is>
          <t>66175-03</t>
        </is>
      </c>
      <c r="B605" s="10" t="inlineStr">
        <is>
          <t>Trevi Systems</t>
        </is>
      </c>
      <c r="C605" s="11" t="n">
        <v>-0.0014727217752848018</v>
      </c>
      <c r="D605" s="12" t="n">
        <v>0.6252240634149256</v>
      </c>
      <c r="E605" s="13" t="inlineStr">
        <is>
          <t/>
        </is>
      </c>
      <c r="F605" s="14" t="n">
        <v>12.0</v>
      </c>
      <c r="G605" s="15" t="n">
        <v>420.0</v>
      </c>
      <c r="H605" s="16" t="n">
        <v>471.0</v>
      </c>
      <c r="I605" s="17" t="n">
        <v>3.0</v>
      </c>
      <c r="J605" s="18" t="n">
        <v>10.02</v>
      </c>
      <c r="K605" s="19" t="inlineStr">
        <is>
          <t>Water Utilities</t>
        </is>
      </c>
      <c r="L605" s="20" t="inlineStr">
        <is>
          <t>Developer of an osmosis desalination technology. The company's technology helps to produce clean water from saltwater, brackish water and industrial wastewater.</t>
        </is>
      </c>
      <c r="M605" s="21" t="inlineStr">
        <is>
          <t>Nelson Chu</t>
        </is>
      </c>
      <c r="N605" s="22" t="inlineStr">
        <is>
          <t>Angel-Backed</t>
        </is>
      </c>
      <c r="O605" s="23" t="inlineStr">
        <is>
          <t>Privately Held (backing)</t>
        </is>
      </c>
      <c r="P605" s="24" t="inlineStr">
        <is>
          <t>Petaluma, CA</t>
        </is>
      </c>
      <c r="Q605" s="25" t="inlineStr">
        <is>
          <t>www.trevisystems.com</t>
        </is>
      </c>
      <c r="R605" s="113">
        <f>HYPERLINK("https://my.pitchbook.com?c=66175-03", "View company online")</f>
      </c>
    </row>
    <row r="606">
      <c r="A606" s="27" t="inlineStr">
        <is>
          <t>172440-55</t>
        </is>
      </c>
      <c r="B606" s="28" t="inlineStr">
        <is>
          <t>Tresidder Networks</t>
        </is>
      </c>
      <c r="C606" s="86">
        <f>HYPERLINK("https://my.pitchbook.com?rrp=172440-55&amp;type=c", "This Company's information is not available to download. Need this Company? Request availability")</f>
      </c>
      <c r="D606" s="30" t="inlineStr">
        <is>
          <t/>
        </is>
      </c>
      <c r="E606" s="31" t="inlineStr">
        <is>
          <t/>
        </is>
      </c>
      <c r="F606" s="32" t="inlineStr">
        <is>
          <t/>
        </is>
      </c>
      <c r="G606" s="33" t="inlineStr">
        <is>
          <t/>
        </is>
      </c>
      <c r="H606" s="34" t="inlineStr">
        <is>
          <t/>
        </is>
      </c>
      <c r="I606" s="35" t="inlineStr">
        <is>
          <t/>
        </is>
      </c>
      <c r="J606" s="36" t="inlineStr">
        <is>
          <t/>
        </is>
      </c>
      <c r="K606" s="37" t="inlineStr">
        <is>
          <t/>
        </is>
      </c>
      <c r="L606" s="38" t="inlineStr">
        <is>
          <t/>
        </is>
      </c>
      <c r="M606" s="39" t="inlineStr">
        <is>
          <t/>
        </is>
      </c>
      <c r="N606" s="40" t="inlineStr">
        <is>
          <t/>
        </is>
      </c>
      <c r="O606" s="41" t="inlineStr">
        <is>
          <t/>
        </is>
      </c>
      <c r="P606" s="42" t="inlineStr">
        <is>
          <t/>
        </is>
      </c>
      <c r="Q606" s="43" t="inlineStr">
        <is>
          <t/>
        </is>
      </c>
      <c r="R606" s="44" t="inlineStr">
        <is>
          <t/>
        </is>
      </c>
    </row>
    <row r="607">
      <c r="A607" s="9" t="inlineStr">
        <is>
          <t>162203-05</t>
        </is>
      </c>
      <c r="B607" s="10" t="inlineStr">
        <is>
          <t>Trepic</t>
        </is>
      </c>
      <c r="C607" s="11" t="n">
        <v>0.05207114499836624</v>
      </c>
      <c r="D607" s="12" t="n">
        <v>6.971070947250018</v>
      </c>
      <c r="E607" s="13" t="inlineStr">
        <is>
          <t/>
        </is>
      </c>
      <c r="F607" s="14" t="n">
        <v>40.0</v>
      </c>
      <c r="G607" s="15" t="n">
        <v>2613.0</v>
      </c>
      <c r="H607" s="16" t="n">
        <v>8570.0</v>
      </c>
      <c r="I607" s="17" t="inlineStr">
        <is>
          <t/>
        </is>
      </c>
      <c r="J607" s="18" t="inlineStr">
        <is>
          <t/>
        </is>
      </c>
      <c r="K607" s="19" t="inlineStr">
        <is>
          <t>Application Software</t>
        </is>
      </c>
      <c r="L607" s="20" t="inlineStr">
        <is>
          <t>Developer of a mobile application for trip and vacation planning. The company develops a mobile application that enables users to find and plan adventure based vacations and trips.</t>
        </is>
      </c>
      <c r="M607" s="21" t="inlineStr">
        <is>
          <t/>
        </is>
      </c>
      <c r="N607" s="22" t="inlineStr">
        <is>
          <t>Angel-Backed</t>
        </is>
      </c>
      <c r="O607" s="23" t="inlineStr">
        <is>
          <t>Privately Held (backing)</t>
        </is>
      </c>
      <c r="P607" s="24" t="inlineStr">
        <is>
          <t>Palo Alto, CA</t>
        </is>
      </c>
      <c r="Q607" s="25" t="inlineStr">
        <is>
          <t>www.trepic.co</t>
        </is>
      </c>
      <c r="R607" s="113">
        <f>HYPERLINK("https://my.pitchbook.com?c=162203-05", "View company online")</f>
      </c>
    </row>
    <row r="608">
      <c r="A608" s="27" t="inlineStr">
        <is>
          <t>91230-13</t>
        </is>
      </c>
      <c r="B608" s="28" t="inlineStr">
        <is>
          <t>Trendy Mondays</t>
        </is>
      </c>
      <c r="C608" s="29" t="n">
        <v>-0.39747663499283303</v>
      </c>
      <c r="D608" s="30" t="n">
        <v>2.805066061956261</v>
      </c>
      <c r="E608" s="31" t="inlineStr">
        <is>
          <t/>
        </is>
      </c>
      <c r="F608" s="32" t="n">
        <v>154.0</v>
      </c>
      <c r="G608" s="33" t="n">
        <v>793.0</v>
      </c>
      <c r="H608" s="34" t="n">
        <v>676.0</v>
      </c>
      <c r="I608" s="35" t="n">
        <v>11.0</v>
      </c>
      <c r="J608" s="36" t="n">
        <v>0.13</v>
      </c>
      <c r="K608" s="37" t="inlineStr">
        <is>
          <t>Internet Retail</t>
        </is>
      </c>
      <c r="L608" s="38" t="inlineStr">
        <is>
          <t>Operator of an online store for selling garments. The company develops an e-commerce platform for selling designer clothes and accessories such as tops, dresses, pants and shoes.</t>
        </is>
      </c>
      <c r="M608" s="39" t="inlineStr">
        <is>
          <t/>
        </is>
      </c>
      <c r="N608" s="40" t="inlineStr">
        <is>
          <t>Angel-Backed</t>
        </is>
      </c>
      <c r="O608" s="41" t="inlineStr">
        <is>
          <t>Privately Held (backing)</t>
        </is>
      </c>
      <c r="P608" s="42" t="inlineStr">
        <is>
          <t>San Francisco, CA</t>
        </is>
      </c>
      <c r="Q608" s="43" t="inlineStr">
        <is>
          <t>www.trendymondays.com</t>
        </is>
      </c>
      <c r="R608" s="114">
        <f>HYPERLINK("https://my.pitchbook.com?c=91230-13", "View company online")</f>
      </c>
    </row>
    <row r="609">
      <c r="A609" s="9" t="inlineStr">
        <is>
          <t>150910-48</t>
        </is>
      </c>
      <c r="B609" s="10" t="inlineStr">
        <is>
          <t>Trendage</t>
        </is>
      </c>
      <c r="C609" s="11" t="n">
        <v>0.0</v>
      </c>
      <c r="D609" s="12" t="n">
        <v>0.5675675675675675</v>
      </c>
      <c r="E609" s="13" t="inlineStr">
        <is>
          <t/>
        </is>
      </c>
      <c r="F609" s="14" t="n">
        <v>21.0</v>
      </c>
      <c r="G609" s="15" t="inlineStr">
        <is>
          <t/>
        </is>
      </c>
      <c r="H609" s="16" t="inlineStr">
        <is>
          <t/>
        </is>
      </c>
      <c r="I609" s="17" t="inlineStr">
        <is>
          <t/>
        </is>
      </c>
      <c r="J609" s="18" t="inlineStr">
        <is>
          <t/>
        </is>
      </c>
      <c r="K609" s="19" t="inlineStr">
        <is>
          <t>Social/Platform Software</t>
        </is>
      </c>
      <c r="L609" s="20" t="inlineStr">
        <is>
          <t>Provider of a online fashion shopping platform designed to offer personalized shopping experiences. The company's shopping website offers mixing and matching of brands enabling users to digitally create personalized looks on all devices and platforms.</t>
        </is>
      </c>
      <c r="M609" s="21" t="inlineStr">
        <is>
          <t/>
        </is>
      </c>
      <c r="N609" s="22" t="inlineStr">
        <is>
          <t>Angel-Backed</t>
        </is>
      </c>
      <c r="O609" s="23" t="inlineStr">
        <is>
          <t>Privately Held (backing)</t>
        </is>
      </c>
      <c r="P609" s="24" t="inlineStr">
        <is>
          <t>Santa Clara, CA</t>
        </is>
      </c>
      <c r="Q609" s="25" t="inlineStr">
        <is>
          <t>www.trendage.com</t>
        </is>
      </c>
      <c r="R609" s="113">
        <f>HYPERLINK("https://my.pitchbook.com?c=150910-48", "View company online")</f>
      </c>
    </row>
    <row r="610">
      <c r="A610" s="27" t="inlineStr">
        <is>
          <t>173708-56</t>
        </is>
      </c>
      <c r="B610" s="28" t="inlineStr">
        <is>
          <t>Trekk</t>
        </is>
      </c>
      <c r="C610" s="86">
        <f>HYPERLINK("https://my.pitchbook.com?rrp=173708-56&amp;type=c", "This Company's information is not available to download. Need this Company? Request availability")</f>
      </c>
      <c r="D610" s="30" t="inlineStr">
        <is>
          <t/>
        </is>
      </c>
      <c r="E610" s="31" t="inlineStr">
        <is>
          <t/>
        </is>
      </c>
      <c r="F610" s="32" t="inlineStr">
        <is>
          <t/>
        </is>
      </c>
      <c r="G610" s="33" t="inlineStr">
        <is>
          <t/>
        </is>
      </c>
      <c r="H610" s="34" t="inlineStr">
        <is>
          <t/>
        </is>
      </c>
      <c r="I610" s="35" t="inlineStr">
        <is>
          <t/>
        </is>
      </c>
      <c r="J610" s="36" t="inlineStr">
        <is>
          <t/>
        </is>
      </c>
      <c r="K610" s="37" t="inlineStr">
        <is>
          <t/>
        </is>
      </c>
      <c r="L610" s="38" t="inlineStr">
        <is>
          <t/>
        </is>
      </c>
      <c r="M610" s="39" t="inlineStr">
        <is>
          <t/>
        </is>
      </c>
      <c r="N610" s="40" t="inlineStr">
        <is>
          <t/>
        </is>
      </c>
      <c r="O610" s="41" t="inlineStr">
        <is>
          <t/>
        </is>
      </c>
      <c r="P610" s="42" t="inlineStr">
        <is>
          <t/>
        </is>
      </c>
      <c r="Q610" s="43" t="inlineStr">
        <is>
          <t/>
        </is>
      </c>
      <c r="R610" s="44" t="inlineStr">
        <is>
          <t/>
        </is>
      </c>
    </row>
    <row r="611">
      <c r="A611" s="9" t="inlineStr">
        <is>
          <t>94273-21</t>
        </is>
      </c>
      <c r="B611" s="10" t="inlineStr">
        <is>
          <t>Trekaroo</t>
        </is>
      </c>
      <c r="C611" s="11" t="n">
        <v>-0.7043715066508258</v>
      </c>
      <c r="D611" s="12" t="n">
        <v>37.71136091613247</v>
      </c>
      <c r="E611" s="13" t="inlineStr">
        <is>
          <t/>
        </is>
      </c>
      <c r="F611" s="14" t="n">
        <v>1661.0</v>
      </c>
      <c r="G611" s="15" t="n">
        <v>17057.0</v>
      </c>
      <c r="H611" s="16" t="n">
        <v>14130.0</v>
      </c>
      <c r="I611" s="17" t="n">
        <v>27.0</v>
      </c>
      <c r="J611" s="18" t="inlineStr">
        <is>
          <t/>
        </is>
      </c>
      <c r="K611" s="19" t="inlineStr">
        <is>
          <t>Leisure Facilities</t>
        </is>
      </c>
      <c r="L611" s="20" t="inlineStr">
        <is>
          <t>Developer of a family travel community. The company develops a community for travelling with kids and helps in discovering kid-friendly activities, hotels and restaurants.</t>
        </is>
      </c>
      <c r="M611" s="21" t="inlineStr">
        <is>
          <t>SoftLayer Catalyst</t>
        </is>
      </c>
      <c r="N611" s="22" t="inlineStr">
        <is>
          <t>Accelerator/Incubator Backed</t>
        </is>
      </c>
      <c r="O611" s="23" t="inlineStr">
        <is>
          <t>Privately Held (backing)</t>
        </is>
      </c>
      <c r="P611" s="24" t="inlineStr">
        <is>
          <t>Pacifica, CA</t>
        </is>
      </c>
      <c r="Q611" s="25" t="inlineStr">
        <is>
          <t>www.trekaroo.com</t>
        </is>
      </c>
      <c r="R611" s="113">
        <f>HYPERLINK("https://my.pitchbook.com?c=94273-21", "View company online")</f>
      </c>
    </row>
    <row r="612">
      <c r="A612" s="27" t="inlineStr">
        <is>
          <t>112850-47</t>
        </is>
      </c>
      <c r="B612" s="28" t="inlineStr">
        <is>
          <t>Trefoil Therapeutics</t>
        </is>
      </c>
      <c r="C612" s="29" t="n">
        <v>0.0</v>
      </c>
      <c r="D612" s="30" t="n">
        <v>0.2702702702702703</v>
      </c>
      <c r="E612" s="31" t="inlineStr">
        <is>
          <t/>
        </is>
      </c>
      <c r="F612" s="32" t="n">
        <v>10.0</v>
      </c>
      <c r="G612" s="33" t="inlineStr">
        <is>
          <t/>
        </is>
      </c>
      <c r="H612" s="34" t="inlineStr">
        <is>
          <t/>
        </is>
      </c>
      <c r="I612" s="35" t="n">
        <v>5.0</v>
      </c>
      <c r="J612" s="36" t="n">
        <v>4.16</v>
      </c>
      <c r="K612" s="37" t="inlineStr">
        <is>
          <t>Drug Discovery</t>
        </is>
      </c>
      <c r="L612" s="38" t="inlineStr">
        <is>
          <t>Developer of new therapies for treating cell deficiency diseases. The company develops therapies for treatments in endothelial cell deficiency and corneal endothelial dystrophies diseases.</t>
        </is>
      </c>
      <c r="M612" s="39" t="inlineStr">
        <is>
          <t>CONNECT (Accelerator), Correlation Ventures, National Institutes of Health</t>
        </is>
      </c>
      <c r="N612" s="40" t="inlineStr">
        <is>
          <t>Accelerator/Incubator Backed</t>
        </is>
      </c>
      <c r="O612" s="41" t="inlineStr">
        <is>
          <t>Privately Held (backing)</t>
        </is>
      </c>
      <c r="P612" s="42" t="inlineStr">
        <is>
          <t>San Diego, CA</t>
        </is>
      </c>
      <c r="Q612" s="43" t="inlineStr">
        <is>
          <t>www.trefoiltherapeutics.com</t>
        </is>
      </c>
      <c r="R612" s="114">
        <f>HYPERLINK("https://my.pitchbook.com?c=112850-47", "View company online")</f>
      </c>
    </row>
    <row r="613">
      <c r="A613" s="9" t="inlineStr">
        <is>
          <t>178285-42</t>
        </is>
      </c>
      <c r="B613" s="10" t="inlineStr">
        <is>
          <t>Tree To Tub</t>
        </is>
      </c>
      <c r="C613" s="11" t="n">
        <v>-0.003625753979544167</v>
      </c>
      <c r="D613" s="12" t="n">
        <v>2.7694220301994807</v>
      </c>
      <c r="E613" s="13" t="inlineStr">
        <is>
          <t/>
        </is>
      </c>
      <c r="F613" s="14" t="n">
        <v>71.0</v>
      </c>
      <c r="G613" s="15" t="n">
        <v>3356.0</v>
      </c>
      <c r="H613" s="16" t="n">
        <v>1009.0</v>
      </c>
      <c r="I613" s="17" t="inlineStr">
        <is>
          <t/>
        </is>
      </c>
      <c r="J613" s="18" t="inlineStr">
        <is>
          <t/>
        </is>
      </c>
      <c r="K613" s="19" t="inlineStr">
        <is>
          <t>Personal Products</t>
        </is>
      </c>
      <c r="L613" s="20" t="inlineStr">
        <is>
          <t>Provider of natural cosmetics created to ensure skin safety and avoid chemical reaction. The company's natural cosmetics include organic body care soaps, shampoos, hair oils and skin cleansers that are made from tree sap, plan oils and seed extracts, enabling users to find and buy body care products that are natural, anti-allergic and healthy.</t>
        </is>
      </c>
      <c r="M613" s="21" t="inlineStr">
        <is>
          <t>Parallel 18</t>
        </is>
      </c>
      <c r="N613" s="22" t="inlineStr">
        <is>
          <t>Accelerator/Incubator Backed</t>
        </is>
      </c>
      <c r="O613" s="23" t="inlineStr">
        <is>
          <t>Privately Held (backing)</t>
        </is>
      </c>
      <c r="P613" s="24" t="inlineStr">
        <is>
          <t>San Francisco, CA</t>
        </is>
      </c>
      <c r="Q613" s="25" t="inlineStr">
        <is>
          <t>www.treetotub.com</t>
        </is>
      </c>
      <c r="R613" s="113">
        <f>HYPERLINK("https://my.pitchbook.com?c=178285-42", "View company online")</f>
      </c>
    </row>
    <row r="614">
      <c r="A614" s="27" t="inlineStr">
        <is>
          <t>107187-67</t>
        </is>
      </c>
      <c r="B614" s="28" t="inlineStr">
        <is>
          <t>Tree Computer</t>
        </is>
      </c>
      <c r="C614" s="29" t="inlineStr">
        <is>
          <t/>
        </is>
      </c>
      <c r="D614" s="30" t="inlineStr">
        <is>
          <t/>
        </is>
      </c>
      <c r="E614" s="31" t="inlineStr">
        <is>
          <t/>
        </is>
      </c>
      <c r="F614" s="32" t="inlineStr">
        <is>
          <t/>
        </is>
      </c>
      <c r="G614" s="33" t="inlineStr">
        <is>
          <t/>
        </is>
      </c>
      <c r="H614" s="34" t="inlineStr">
        <is>
          <t/>
        </is>
      </c>
      <c r="I614" s="35" t="inlineStr">
        <is>
          <t/>
        </is>
      </c>
      <c r="J614" s="36" t="n">
        <v>0.2</v>
      </c>
      <c r="K614" s="37" t="inlineStr">
        <is>
          <t>Social/Platform Software</t>
        </is>
      </c>
      <c r="L614" s="38" t="inlineStr">
        <is>
          <t>Developer of an interface software for online communities. The company develops a community platform through which online users connects each other.</t>
        </is>
      </c>
      <c r="M614" s="39" t="inlineStr">
        <is>
          <t/>
        </is>
      </c>
      <c r="N614" s="40" t="inlineStr">
        <is>
          <t>Angel-Backed</t>
        </is>
      </c>
      <c r="O614" s="41" t="inlineStr">
        <is>
          <t>Privately Held (backing)</t>
        </is>
      </c>
      <c r="P614" s="42" t="inlineStr">
        <is>
          <t>San Francisco, CA</t>
        </is>
      </c>
      <c r="Q614" s="43" t="inlineStr">
        <is>
          <t>www.tree.is</t>
        </is>
      </c>
      <c r="R614" s="114">
        <f>HYPERLINK("https://my.pitchbook.com?c=107187-67", "View company online")</f>
      </c>
    </row>
    <row r="615">
      <c r="A615" s="9" t="inlineStr">
        <is>
          <t>115487-20</t>
        </is>
      </c>
      <c r="B615" s="10" t="inlineStr">
        <is>
          <t>Treats</t>
        </is>
      </c>
      <c r="C615" s="11" t="n">
        <v>-0.00571634367630391</v>
      </c>
      <c r="D615" s="12" t="n">
        <v>1.58255235970785</v>
      </c>
      <c r="E615" s="13" t="inlineStr">
        <is>
          <t/>
        </is>
      </c>
      <c r="F615" s="14" t="n">
        <v>1.0</v>
      </c>
      <c r="G615" s="15" t="n">
        <v>4835.0</v>
      </c>
      <c r="H615" s="16" t="n">
        <v>96.0</v>
      </c>
      <c r="I615" s="17" t="inlineStr">
        <is>
          <t/>
        </is>
      </c>
      <c r="J615" s="18" t="inlineStr">
        <is>
          <t/>
        </is>
      </c>
      <c r="K615" s="19" t="inlineStr">
        <is>
          <t>Clothing</t>
        </is>
      </c>
      <c r="L615" s="20" t="inlineStr">
        <is>
          <t>Provider of an online platform for menswear retailers. The company's online platform allows user to purchase leisure shirts from menswear retailers.</t>
        </is>
      </c>
      <c r="M615" s="21" t="inlineStr">
        <is>
          <t>StartX</t>
        </is>
      </c>
      <c r="N615" s="22" t="inlineStr">
        <is>
          <t>Accelerator/Incubator Backed</t>
        </is>
      </c>
      <c r="O615" s="23" t="inlineStr">
        <is>
          <t>Privately Held (backing)</t>
        </is>
      </c>
      <c r="P615" s="24" t="inlineStr">
        <is>
          <t>Los Angeles, CA</t>
        </is>
      </c>
      <c r="Q615" s="25" t="inlineStr">
        <is>
          <t>www.weartreats.com</t>
        </is>
      </c>
      <c r="R615" s="113">
        <f>HYPERLINK("https://my.pitchbook.com?c=115487-20", "View company online")</f>
      </c>
    </row>
    <row r="616">
      <c r="A616" s="27" t="inlineStr">
        <is>
          <t>163577-62</t>
        </is>
      </c>
      <c r="B616" s="28" t="inlineStr">
        <is>
          <t>Treat App</t>
        </is>
      </c>
      <c r="C616" s="29" t="n">
        <v>0.060785440741888075</v>
      </c>
      <c r="D616" s="30" t="n">
        <v>0.397671305372116</v>
      </c>
      <c r="E616" s="31" t="inlineStr">
        <is>
          <t/>
        </is>
      </c>
      <c r="F616" s="32" t="n">
        <v>2.0</v>
      </c>
      <c r="G616" s="33" t="n">
        <v>674.0</v>
      </c>
      <c r="H616" s="34" t="n">
        <v>228.0</v>
      </c>
      <c r="I616" s="35" t="inlineStr">
        <is>
          <t/>
        </is>
      </c>
      <c r="J616" s="36" t="n">
        <v>0.13</v>
      </c>
      <c r="K616" s="37" t="inlineStr">
        <is>
          <t>Application Software</t>
        </is>
      </c>
      <c r="L616" s="38" t="inlineStr">
        <is>
          <t>Provider of an application for pet care. The company's application offers users to book for veterinary care, training and grooming of their pets.</t>
        </is>
      </c>
      <c r="M616" s="39" t="inlineStr">
        <is>
          <t>500 Startups</t>
        </is>
      </c>
      <c r="N616" s="40" t="inlineStr">
        <is>
          <t>Accelerator/Incubator Backed</t>
        </is>
      </c>
      <c r="O616" s="41" t="inlineStr">
        <is>
          <t>Privately Held (backing)</t>
        </is>
      </c>
      <c r="P616" s="42" t="inlineStr">
        <is>
          <t>San Francisco, CA</t>
        </is>
      </c>
      <c r="Q616" s="43" t="inlineStr">
        <is>
          <t>www.treat.co</t>
        </is>
      </c>
      <c r="R616" s="114">
        <f>HYPERLINK("https://my.pitchbook.com?c=163577-62", "View company online")</f>
      </c>
    </row>
    <row r="617">
      <c r="A617" s="9" t="inlineStr">
        <is>
          <t>58183-03</t>
        </is>
      </c>
      <c r="B617" s="10" t="inlineStr">
        <is>
          <t>Treasury Holdings</t>
        </is>
      </c>
      <c r="C617" s="11" t="inlineStr">
        <is>
          <t/>
        </is>
      </c>
      <c r="D617" s="12" t="inlineStr">
        <is>
          <t/>
        </is>
      </c>
      <c r="E617" s="13" t="inlineStr">
        <is>
          <t/>
        </is>
      </c>
      <c r="F617" s="14" t="inlineStr">
        <is>
          <t/>
        </is>
      </c>
      <c r="G617" s="15" t="inlineStr">
        <is>
          <t/>
        </is>
      </c>
      <c r="H617" s="16" t="inlineStr">
        <is>
          <t/>
        </is>
      </c>
      <c r="I617" s="17" t="n">
        <v>2.0</v>
      </c>
      <c r="J617" s="18" t="n">
        <v>3.57</v>
      </c>
      <c r="K617" s="19" t="inlineStr">
        <is>
          <t>Other Commercial Services</t>
        </is>
      </c>
      <c r="L617" s="20" t="inlineStr">
        <is>
          <t>Operator of holding company.</t>
        </is>
      </c>
      <c r="M617" s="21" t="inlineStr">
        <is>
          <t/>
        </is>
      </c>
      <c r="N617" s="22" t="inlineStr">
        <is>
          <t>Angel-Backed</t>
        </is>
      </c>
      <c r="O617" s="23" t="inlineStr">
        <is>
          <t>Privately Held (backing)</t>
        </is>
      </c>
      <c r="P617" s="24" t="inlineStr">
        <is>
          <t>Menlo Park, CA</t>
        </is>
      </c>
      <c r="Q617" s="25" t="inlineStr">
        <is>
          <t/>
        </is>
      </c>
      <c r="R617" s="113">
        <f>HYPERLINK("https://my.pitchbook.com?c=58183-03", "View company online")</f>
      </c>
    </row>
    <row r="618">
      <c r="A618" s="27" t="inlineStr">
        <is>
          <t>95475-88</t>
        </is>
      </c>
      <c r="B618" s="28" t="inlineStr">
        <is>
          <t>Traxian</t>
        </is>
      </c>
      <c r="C618" s="29" t="n">
        <v>0.0</v>
      </c>
      <c r="D618" s="30" t="n">
        <v>0.4594594594594595</v>
      </c>
      <c r="E618" s="31" t="inlineStr">
        <is>
          <t/>
        </is>
      </c>
      <c r="F618" s="32" t="n">
        <v>17.0</v>
      </c>
      <c r="G618" s="33" t="inlineStr">
        <is>
          <t/>
        </is>
      </c>
      <c r="H618" s="34" t="inlineStr">
        <is>
          <t/>
        </is>
      </c>
      <c r="I618" s="35" t="inlineStr">
        <is>
          <t/>
        </is>
      </c>
      <c r="J618" s="36" t="n">
        <v>0.3</v>
      </c>
      <c r="K618" s="37" t="inlineStr">
        <is>
          <t>Application Software</t>
        </is>
      </c>
      <c r="L618" s="38" t="inlineStr">
        <is>
          <t>Developer of software for paperless transactions. The company offers an application that enables small and mid-size businesses to receive and reconcile transactions via an integrated system.</t>
        </is>
      </c>
      <c r="M618" s="39" t="inlineStr">
        <is>
          <t>Elaine Lennox, Eric Dunn, John Grant, Leslie Murdock, Mark Goines</t>
        </is>
      </c>
      <c r="N618" s="40" t="inlineStr">
        <is>
          <t>Angel-Backed</t>
        </is>
      </c>
      <c r="O618" s="41" t="inlineStr">
        <is>
          <t>Privately Held (backing)</t>
        </is>
      </c>
      <c r="P618" s="42" t="inlineStr">
        <is>
          <t>San Francisco, CA</t>
        </is>
      </c>
      <c r="Q618" s="43" t="inlineStr">
        <is>
          <t>www.traxian.com</t>
        </is>
      </c>
      <c r="R618" s="114">
        <f>HYPERLINK("https://my.pitchbook.com?c=95475-88", "View company online")</f>
      </c>
    </row>
    <row r="619">
      <c r="A619" s="9" t="inlineStr">
        <is>
          <t>90368-56</t>
        </is>
      </c>
      <c r="B619" s="10" t="inlineStr">
        <is>
          <t>TravelZeeky</t>
        </is>
      </c>
      <c r="C619" s="11" t="n">
        <v>-0.10219648053748338</v>
      </c>
      <c r="D619" s="12" t="n">
        <v>0.19793098182928692</v>
      </c>
      <c r="E619" s="13" t="inlineStr">
        <is>
          <t/>
        </is>
      </c>
      <c r="F619" s="14" t="n">
        <v>2.0</v>
      </c>
      <c r="G619" s="15" t="inlineStr">
        <is>
          <t/>
        </is>
      </c>
      <c r="H619" s="16" t="n">
        <v>121.0</v>
      </c>
      <c r="I619" s="17" t="n">
        <v>11.0</v>
      </c>
      <c r="J619" s="18" t="inlineStr">
        <is>
          <t/>
        </is>
      </c>
      <c r="K619" s="19" t="inlineStr">
        <is>
          <t>Other Restaurants, Hotels and Leisure</t>
        </is>
      </c>
      <c r="L619" s="20" t="inlineStr">
        <is>
          <t>Operator of a boutique agency for providing customized itinerary services. The company provides reservation services for a variety of events such as trade shows, conferences, leadership weekends, round tables, bachelor weekends, family vacations, destination weddings and birthdays along with travel packages.</t>
        </is>
      </c>
      <c r="M619" s="21" t="inlineStr">
        <is>
          <t/>
        </is>
      </c>
      <c r="N619" s="22" t="inlineStr">
        <is>
          <t>Angel-Backed</t>
        </is>
      </c>
      <c r="O619" s="23" t="inlineStr">
        <is>
          <t>Privately Held (backing)</t>
        </is>
      </c>
      <c r="P619" s="24" t="inlineStr">
        <is>
          <t>West Hollywood, CA</t>
        </is>
      </c>
      <c r="Q619" s="25" t="inlineStr">
        <is>
          <t>www.travelzeeky.com</t>
        </is>
      </c>
      <c r="R619" s="113">
        <f>HYPERLINK("https://my.pitchbook.com?c=90368-56", "View company online")</f>
      </c>
    </row>
    <row r="620">
      <c r="A620" s="27" t="inlineStr">
        <is>
          <t>93003-31</t>
        </is>
      </c>
      <c r="B620" s="28" t="inlineStr">
        <is>
          <t>TravelSite.com</t>
        </is>
      </c>
      <c r="C620" s="29" t="n">
        <v>0.01837739931026218</v>
      </c>
      <c r="D620" s="30" t="n">
        <v>1.4551862500462354</v>
      </c>
      <c r="E620" s="31" t="inlineStr">
        <is>
          <t/>
        </is>
      </c>
      <c r="F620" s="32" t="n">
        <v>80.0</v>
      </c>
      <c r="G620" s="33" t="n">
        <v>269.0</v>
      </c>
      <c r="H620" s="34" t="n">
        <v>411.0</v>
      </c>
      <c r="I620" s="35" t="n">
        <v>1.0</v>
      </c>
      <c r="J620" s="36" t="n">
        <v>0.13</v>
      </c>
      <c r="K620" s="37" t="inlineStr">
        <is>
          <t>Social/Platform Software</t>
        </is>
      </c>
      <c r="L620" s="38" t="inlineStr">
        <is>
          <t>Developer of an online social travel platform. The company develops a platform for providing travel information and recommendations.</t>
        </is>
      </c>
      <c r="M620" s="39" t="inlineStr">
        <is>
          <t/>
        </is>
      </c>
      <c r="N620" s="40" t="inlineStr">
        <is>
          <t>Angel-Backed</t>
        </is>
      </c>
      <c r="O620" s="41" t="inlineStr">
        <is>
          <t>Privately Held (backing)</t>
        </is>
      </c>
      <c r="P620" s="42" t="inlineStr">
        <is>
          <t>San Francisco, CA</t>
        </is>
      </c>
      <c r="Q620" s="43" t="inlineStr">
        <is>
          <t>www.travelsite.com</t>
        </is>
      </c>
      <c r="R620" s="114">
        <f>HYPERLINK("https://my.pitchbook.com?c=93003-31", "View company online")</f>
      </c>
    </row>
    <row r="621">
      <c r="A621" s="9" t="inlineStr">
        <is>
          <t>95290-84</t>
        </is>
      </c>
      <c r="B621" s="10" t="inlineStr">
        <is>
          <t>TravelKnowledge</t>
        </is>
      </c>
      <c r="C621" s="11" t="n">
        <v>0.0</v>
      </c>
      <c r="D621" s="12" t="n">
        <v>0.06779661016949153</v>
      </c>
      <c r="E621" s="13" t="inlineStr">
        <is>
          <t/>
        </is>
      </c>
      <c r="F621" s="14" t="inlineStr">
        <is>
          <t/>
        </is>
      </c>
      <c r="G621" s="15" t="inlineStr">
        <is>
          <t/>
        </is>
      </c>
      <c r="H621" s="16" t="n">
        <v>24.0</v>
      </c>
      <c r="I621" s="17" t="inlineStr">
        <is>
          <t/>
        </is>
      </c>
      <c r="J621" s="18" t="n">
        <v>0.1</v>
      </c>
      <c r="K621" s="19" t="inlineStr">
        <is>
          <t>Information Services (B2C)</t>
        </is>
      </c>
      <c r="L621" s="20" t="inlineStr">
        <is>
          <t>Provider of an online travel-content discovery platform. The company offers a web-based platform and mobile application that enables the travelers to discover information regarding their destinations and plan their tip accordingly.</t>
        </is>
      </c>
      <c r="M621" s="21" t="inlineStr">
        <is>
          <t/>
        </is>
      </c>
      <c r="N621" s="22" t="inlineStr">
        <is>
          <t>Angel-Backed</t>
        </is>
      </c>
      <c r="O621" s="23" t="inlineStr">
        <is>
          <t>Privately Held (backing)</t>
        </is>
      </c>
      <c r="P621" s="24" t="inlineStr">
        <is>
          <t>San Francisco, CA</t>
        </is>
      </c>
      <c r="Q621" s="25" t="inlineStr">
        <is>
          <t>www.travelknowledgeinc.com</t>
        </is>
      </c>
      <c r="R621" s="113">
        <f>HYPERLINK("https://my.pitchbook.com?c=95290-84", "View company online")</f>
      </c>
    </row>
    <row r="622">
      <c r="A622" s="27" t="inlineStr">
        <is>
          <t>166369-15</t>
        </is>
      </c>
      <c r="B622" s="28" t="inlineStr">
        <is>
          <t>TravelJoy</t>
        </is>
      </c>
      <c r="C622" s="29" t="n">
        <v>0.1590031545960918</v>
      </c>
      <c r="D622" s="30" t="n">
        <v>0.5216048346483129</v>
      </c>
      <c r="E622" s="31" t="inlineStr">
        <is>
          <t/>
        </is>
      </c>
      <c r="F622" s="32" t="n">
        <v>5.0</v>
      </c>
      <c r="G622" s="33" t="n">
        <v>729.0</v>
      </c>
      <c r="H622" s="34" t="inlineStr">
        <is>
          <t/>
        </is>
      </c>
      <c r="I622" s="35" t="inlineStr">
        <is>
          <t/>
        </is>
      </c>
      <c r="J622" s="36" t="n">
        <v>0.12</v>
      </c>
      <c r="K622" s="37" t="inlineStr">
        <is>
          <t>Social/Platform Software</t>
        </is>
      </c>
      <c r="L622" s="38" t="inlineStr">
        <is>
          <t>Provider of a platform to connect travelers with travel agents. The company provides an online intermediary platform to connect customers to local and international travel agents that help them to manage travel needs such as hotel and flight booking and make online payments.</t>
        </is>
      </c>
      <c r="M622" s="39" t="inlineStr">
        <is>
          <t>NFX Guild</t>
        </is>
      </c>
      <c r="N622" s="40" t="inlineStr">
        <is>
          <t>Accelerator/Incubator Backed</t>
        </is>
      </c>
      <c r="O622" s="41" t="inlineStr">
        <is>
          <t>Privately Held (backing)</t>
        </is>
      </c>
      <c r="P622" s="42" t="inlineStr">
        <is>
          <t>San Francisco, CA</t>
        </is>
      </c>
      <c r="Q622" s="43" t="inlineStr">
        <is>
          <t>www.traveljoy.com</t>
        </is>
      </c>
      <c r="R622" s="114">
        <f>HYPERLINK("https://my.pitchbook.com?c=166369-15", "View company online")</f>
      </c>
    </row>
    <row r="623">
      <c r="A623" s="9" t="inlineStr">
        <is>
          <t>95611-42</t>
        </is>
      </c>
      <c r="B623" s="10" t="inlineStr">
        <is>
          <t>Travelenvy</t>
        </is>
      </c>
      <c r="C623" s="11" t="n">
        <v>7.463277122162938E-5</v>
      </c>
      <c r="D623" s="12" t="n">
        <v>0.4910674807874513</v>
      </c>
      <c r="E623" s="13" t="inlineStr">
        <is>
          <t/>
        </is>
      </c>
      <c r="F623" s="14" t="inlineStr">
        <is>
          <t/>
        </is>
      </c>
      <c r="G623" s="15" t="n">
        <v>661.0</v>
      </c>
      <c r="H623" s="16" t="n">
        <v>57.0</v>
      </c>
      <c r="I623" s="17" t="inlineStr">
        <is>
          <t/>
        </is>
      </c>
      <c r="J623" s="18" t="n">
        <v>0.6</v>
      </c>
      <c r="K623" s="19" t="inlineStr">
        <is>
          <t>Application Software</t>
        </is>
      </c>
      <c r="L623" s="20" t="inlineStr">
        <is>
          <t>Provider of an application to help in planning a trip. The company offers an online platform which enables users to plan trips, share recommendations and reviews, book hotels and flights as well as follow travelers who share their recommendations, tips and past itineraries.</t>
        </is>
      </c>
      <c r="M623" s="21" t="inlineStr">
        <is>
          <t/>
        </is>
      </c>
      <c r="N623" s="22" t="inlineStr">
        <is>
          <t>Angel-Backed</t>
        </is>
      </c>
      <c r="O623" s="23" t="inlineStr">
        <is>
          <t>Privately Held (backing)</t>
        </is>
      </c>
      <c r="P623" s="24" t="inlineStr">
        <is>
          <t>Los Angeles, CA</t>
        </is>
      </c>
      <c r="Q623" s="25" t="inlineStr">
        <is>
          <t>www.travelenvy.com</t>
        </is>
      </c>
      <c r="R623" s="113">
        <f>HYPERLINK("https://my.pitchbook.com?c=95611-42", "View company online")</f>
      </c>
    </row>
    <row r="624">
      <c r="A624" s="27" t="inlineStr">
        <is>
          <t>127590-40</t>
        </is>
      </c>
      <c r="B624" s="28" t="inlineStr">
        <is>
          <t>Travel With Dusita</t>
        </is>
      </c>
      <c r="C624" s="29" t="n">
        <v>-0.029177881205101834</v>
      </c>
      <c r="D624" s="30" t="n">
        <v>0.14141294152347947</v>
      </c>
      <c r="E624" s="31" t="inlineStr">
        <is>
          <t/>
        </is>
      </c>
      <c r="F624" s="32" t="n">
        <v>1.0</v>
      </c>
      <c r="G624" s="33" t="n">
        <v>380.0</v>
      </c>
      <c r="H624" s="34" t="n">
        <v>14.0</v>
      </c>
      <c r="I624" s="35" t="inlineStr">
        <is>
          <t/>
        </is>
      </c>
      <c r="J624" s="36" t="inlineStr">
        <is>
          <t/>
        </is>
      </c>
      <c r="K624" s="37" t="inlineStr">
        <is>
          <t>Other Services (B2C Non-Financial)</t>
        </is>
      </c>
      <c r="L624" s="38" t="inlineStr">
        <is>
          <t>Provider of a travel arrangement service. The company offers travel planning and tourism packages for people traveling to Thailand.</t>
        </is>
      </c>
      <c r="M624" s="39" t="inlineStr">
        <is>
          <t>Chicostart</t>
        </is>
      </c>
      <c r="N624" s="40" t="inlineStr">
        <is>
          <t>Accelerator/Incubator Backed</t>
        </is>
      </c>
      <c r="O624" s="41" t="inlineStr">
        <is>
          <t>Privately Held (backing)</t>
        </is>
      </c>
      <c r="P624" s="42" t="inlineStr">
        <is>
          <t>Chico, CA</t>
        </is>
      </c>
      <c r="Q624" s="43" t="inlineStr">
        <is>
          <t>www.tripsocity.com</t>
        </is>
      </c>
      <c r="R624" s="114">
        <f>HYPERLINK("https://my.pitchbook.com?c=127590-40", "View company online")</f>
      </c>
    </row>
    <row r="625">
      <c r="A625" s="9" t="inlineStr">
        <is>
          <t>171434-53</t>
        </is>
      </c>
      <c r="B625" s="10" t="inlineStr">
        <is>
          <t>TransPower</t>
        </is>
      </c>
      <c r="C625" s="85">
        <f>HYPERLINK("https://my.pitchbook.com?rrp=171434-53&amp;type=c", "This Company's information is not available to download. Need this Company? Request availability")</f>
      </c>
      <c r="D625" s="12" t="inlineStr">
        <is>
          <t/>
        </is>
      </c>
      <c r="E625" s="13" t="inlineStr">
        <is>
          <t/>
        </is>
      </c>
      <c r="F625" s="14" t="inlineStr">
        <is>
          <t/>
        </is>
      </c>
      <c r="G625" s="15" t="inlineStr">
        <is>
          <t/>
        </is>
      </c>
      <c r="H625" s="16" t="inlineStr">
        <is>
          <t/>
        </is>
      </c>
      <c r="I625" s="17" t="inlineStr">
        <is>
          <t/>
        </is>
      </c>
      <c r="J625" s="18" t="inlineStr">
        <is>
          <t/>
        </is>
      </c>
      <c r="K625" s="19" t="inlineStr">
        <is>
          <t/>
        </is>
      </c>
      <c r="L625" s="20" t="inlineStr">
        <is>
          <t/>
        </is>
      </c>
      <c r="M625" s="21" t="inlineStr">
        <is>
          <t/>
        </is>
      </c>
      <c r="N625" s="22" t="inlineStr">
        <is>
          <t/>
        </is>
      </c>
      <c r="O625" s="23" t="inlineStr">
        <is>
          <t/>
        </is>
      </c>
      <c r="P625" s="24" t="inlineStr">
        <is>
          <t/>
        </is>
      </c>
      <c r="Q625" s="25" t="inlineStr">
        <is>
          <t/>
        </is>
      </c>
      <c r="R625" s="26" t="inlineStr">
        <is>
          <t/>
        </is>
      </c>
    </row>
    <row r="626">
      <c r="A626" s="27" t="inlineStr">
        <is>
          <t>174327-40</t>
        </is>
      </c>
      <c r="B626" s="28" t="inlineStr">
        <is>
          <t>Translational Research Management</t>
        </is>
      </c>
      <c r="C626" s="86">
        <f>HYPERLINK("https://my.pitchbook.com?rrp=174327-40&amp;type=c", "This Company's information is not available to download. Need this Company? Request availability")</f>
      </c>
      <c r="D626" s="30" t="inlineStr">
        <is>
          <t/>
        </is>
      </c>
      <c r="E626" s="31" t="inlineStr">
        <is>
          <t/>
        </is>
      </c>
      <c r="F626" s="32" t="inlineStr">
        <is>
          <t/>
        </is>
      </c>
      <c r="G626" s="33" t="inlineStr">
        <is>
          <t/>
        </is>
      </c>
      <c r="H626" s="34" t="inlineStr">
        <is>
          <t/>
        </is>
      </c>
      <c r="I626" s="35" t="inlineStr">
        <is>
          <t/>
        </is>
      </c>
      <c r="J626" s="36" t="inlineStr">
        <is>
          <t/>
        </is>
      </c>
      <c r="K626" s="37" t="inlineStr">
        <is>
          <t/>
        </is>
      </c>
      <c r="L626" s="38" t="inlineStr">
        <is>
          <t/>
        </is>
      </c>
      <c r="M626" s="39" t="inlineStr">
        <is>
          <t/>
        </is>
      </c>
      <c r="N626" s="40" t="inlineStr">
        <is>
          <t/>
        </is>
      </c>
      <c r="O626" s="41" t="inlineStr">
        <is>
          <t/>
        </is>
      </c>
      <c r="P626" s="42" t="inlineStr">
        <is>
          <t/>
        </is>
      </c>
      <c r="Q626" s="43" t="inlineStr">
        <is>
          <t/>
        </is>
      </c>
      <c r="R626" s="44" t="inlineStr">
        <is>
          <t/>
        </is>
      </c>
    </row>
    <row r="627">
      <c r="A627" s="9" t="inlineStr">
        <is>
          <t>157836-52</t>
        </is>
      </c>
      <c r="B627" s="10" t="inlineStr">
        <is>
          <t>Translate Now</t>
        </is>
      </c>
      <c r="C627" s="11" t="n">
        <v>0.0</v>
      </c>
      <c r="D627" s="12" t="n">
        <v>0.21621621621621623</v>
      </c>
      <c r="E627" s="13" t="inlineStr">
        <is>
          <t/>
        </is>
      </c>
      <c r="F627" s="14" t="n">
        <v>8.0</v>
      </c>
      <c r="G627" s="15" t="inlineStr">
        <is>
          <t/>
        </is>
      </c>
      <c r="H627" s="16" t="inlineStr">
        <is>
          <t/>
        </is>
      </c>
      <c r="I627" s="17" t="inlineStr">
        <is>
          <t/>
        </is>
      </c>
      <c r="J627" s="18" t="inlineStr">
        <is>
          <t/>
        </is>
      </c>
      <c r="K627" s="19" t="inlineStr">
        <is>
          <t>Other Commercial Services</t>
        </is>
      </c>
      <c r="L627" s="20" t="inlineStr">
        <is>
          <t>Provider of technical translation services for businesses. The company integrates modern translation technology with human translators to service the world's corporate enterprises.</t>
        </is>
      </c>
      <c r="M627" s="21" t="inlineStr">
        <is>
          <t/>
        </is>
      </c>
      <c r="N627" s="22" t="inlineStr">
        <is>
          <t>Angel-Backed</t>
        </is>
      </c>
      <c r="O627" s="23" t="inlineStr">
        <is>
          <t>Privately Held (backing)</t>
        </is>
      </c>
      <c r="P627" s="24" t="inlineStr">
        <is>
          <t>San Francisco, CA</t>
        </is>
      </c>
      <c r="Q627" s="25" t="inlineStr">
        <is>
          <t>www.translatenow.com</t>
        </is>
      </c>
      <c r="R627" s="113">
        <f>HYPERLINK("https://my.pitchbook.com?c=157836-52", "View company online")</f>
      </c>
    </row>
    <row r="628">
      <c r="A628" s="27" t="inlineStr">
        <is>
          <t>171480-34</t>
        </is>
      </c>
      <c r="B628" s="28" t="inlineStr">
        <is>
          <t>TransferTravel.com</t>
        </is>
      </c>
      <c r="C628" s="86">
        <f>HYPERLINK("https://my.pitchbook.com?rrp=171480-34&amp;type=c", "This Company's information is not available to download. Need this Company? Request availability")</f>
      </c>
      <c r="D628" s="30" t="inlineStr">
        <is>
          <t/>
        </is>
      </c>
      <c r="E628" s="31" t="inlineStr">
        <is>
          <t/>
        </is>
      </c>
      <c r="F628" s="32" t="inlineStr">
        <is>
          <t/>
        </is>
      </c>
      <c r="G628" s="33" t="inlineStr">
        <is>
          <t/>
        </is>
      </c>
      <c r="H628" s="34" t="inlineStr">
        <is>
          <t/>
        </is>
      </c>
      <c r="I628" s="35" t="inlineStr">
        <is>
          <t/>
        </is>
      </c>
      <c r="J628" s="36" t="inlineStr">
        <is>
          <t/>
        </is>
      </c>
      <c r="K628" s="37" t="inlineStr">
        <is>
          <t/>
        </is>
      </c>
      <c r="L628" s="38" t="inlineStr">
        <is>
          <t/>
        </is>
      </c>
      <c r="M628" s="39" t="inlineStr">
        <is>
          <t/>
        </is>
      </c>
      <c r="N628" s="40" t="inlineStr">
        <is>
          <t/>
        </is>
      </c>
      <c r="O628" s="41" t="inlineStr">
        <is>
          <t/>
        </is>
      </c>
      <c r="P628" s="42" t="inlineStr">
        <is>
          <t/>
        </is>
      </c>
      <c r="Q628" s="43" t="inlineStr">
        <is>
          <t/>
        </is>
      </c>
      <c r="R628" s="44" t="inlineStr">
        <is>
          <t/>
        </is>
      </c>
    </row>
    <row r="629">
      <c r="A629" s="9" t="inlineStr">
        <is>
          <t>119394-82</t>
        </is>
      </c>
      <c r="B629" s="10" t="inlineStr">
        <is>
          <t>Transcend Lighting</t>
        </is>
      </c>
      <c r="C629" s="11" t="n">
        <v>0.0</v>
      </c>
      <c r="D629" s="12" t="n">
        <v>0.2542372881355932</v>
      </c>
      <c r="E629" s="13" t="inlineStr">
        <is>
          <t/>
        </is>
      </c>
      <c r="F629" s="14" t="inlineStr">
        <is>
          <t/>
        </is>
      </c>
      <c r="G629" s="15" t="inlineStr">
        <is>
          <t/>
        </is>
      </c>
      <c r="H629" s="16" t="n">
        <v>89.0</v>
      </c>
      <c r="I629" s="17" t="inlineStr">
        <is>
          <t/>
        </is>
      </c>
      <c r="J629" s="18" t="inlineStr">
        <is>
          <t/>
        </is>
      </c>
      <c r="K629" s="19" t="inlineStr">
        <is>
          <t>Electronics (B2C)</t>
        </is>
      </c>
      <c r="L629" s="20" t="inlineStr">
        <is>
          <t>Manufacturer of energy saving light emitting diode lights. The company designs and manufactures energy efficient light fixtures for farmers. It manufactures products such as TL-D200, TL-RL20.</t>
        </is>
      </c>
      <c r="M629" s="21" t="inlineStr">
        <is>
          <t>Y Combinator</t>
        </is>
      </c>
      <c r="N629" s="22" t="inlineStr">
        <is>
          <t>Accelerator/Incubator Backed</t>
        </is>
      </c>
      <c r="O629" s="23" t="inlineStr">
        <is>
          <t>Privately Held (backing)</t>
        </is>
      </c>
      <c r="P629" s="24" t="inlineStr">
        <is>
          <t>New York, NY</t>
        </is>
      </c>
      <c r="Q629" s="25" t="inlineStr">
        <is>
          <t>www.transcendlighting.com</t>
        </is>
      </c>
      <c r="R629" s="113">
        <f>HYPERLINK("https://my.pitchbook.com?c=119394-82", "View company online")</f>
      </c>
    </row>
    <row r="630">
      <c r="A630" s="27" t="inlineStr">
        <is>
          <t>148192-84</t>
        </is>
      </c>
      <c r="B630" s="28" t="inlineStr">
        <is>
          <t>Trans*H4CK</t>
        </is>
      </c>
      <c r="C630" s="29" t="n">
        <v>0.34627008090241507</v>
      </c>
      <c r="D630" s="30" t="n">
        <v>6.5266475655569245</v>
      </c>
      <c r="E630" s="31" t="inlineStr">
        <is>
          <t/>
        </is>
      </c>
      <c r="F630" s="32" t="n">
        <v>171.0</v>
      </c>
      <c r="G630" s="33" t="n">
        <v>1027.0</v>
      </c>
      <c r="H630" s="34" t="n">
        <v>5513.0</v>
      </c>
      <c r="I630" s="35" t="inlineStr">
        <is>
          <t/>
        </is>
      </c>
      <c r="J630" s="36" t="n">
        <v>0.01</v>
      </c>
      <c r="K630" s="37" t="inlineStr">
        <is>
          <t>Other Services (B2C Non-Financial)</t>
        </is>
      </c>
      <c r="L630" s="38" t="inlineStr">
        <is>
          <t>Provider of annual hackathon and speaker series for the transgender people. The company develops technology for the transgender people to empower them economically, improve access to social services, promote gender safety and community sustainability.</t>
        </is>
      </c>
      <c r="M630" s="39" t="inlineStr">
        <is>
          <t>Kapor Center for Social Impact, Marc Andreessen</t>
        </is>
      </c>
      <c r="N630" s="40" t="inlineStr">
        <is>
          <t>Angel-Backed</t>
        </is>
      </c>
      <c r="O630" s="41" t="inlineStr">
        <is>
          <t>Privately Held (backing)</t>
        </is>
      </c>
      <c r="P630" s="42" t="inlineStr">
        <is>
          <t>Oakland, CA</t>
        </is>
      </c>
      <c r="Q630" s="43" t="inlineStr">
        <is>
          <t>www.transhack.org</t>
        </is>
      </c>
      <c r="R630" s="114">
        <f>HYPERLINK("https://my.pitchbook.com?c=148192-84", "View company online")</f>
      </c>
    </row>
    <row r="631">
      <c r="A631" s="9" t="inlineStr">
        <is>
          <t>56356-75</t>
        </is>
      </c>
      <c r="B631" s="10" t="inlineStr">
        <is>
          <t>Tran Ventures</t>
        </is>
      </c>
      <c r="C631" s="11" t="inlineStr">
        <is>
          <t/>
        </is>
      </c>
      <c r="D631" s="12" t="inlineStr">
        <is>
          <t/>
        </is>
      </c>
      <c r="E631" s="13" t="inlineStr">
        <is>
          <t/>
        </is>
      </c>
      <c r="F631" s="14" t="inlineStr">
        <is>
          <t/>
        </is>
      </c>
      <c r="G631" s="15" t="inlineStr">
        <is>
          <t/>
        </is>
      </c>
      <c r="H631" s="16" t="inlineStr">
        <is>
          <t/>
        </is>
      </c>
      <c r="I631" s="17" t="inlineStr">
        <is>
          <t/>
        </is>
      </c>
      <c r="J631" s="18" t="n">
        <v>0.4</v>
      </c>
      <c r="K631" s="19" t="inlineStr">
        <is>
          <t>Other Business Products and Services</t>
        </is>
      </c>
      <c r="L631" s="20" t="inlineStr">
        <is>
          <t>The company is currently operating in Stealth mode.</t>
        </is>
      </c>
      <c r="M631" s="21" t="inlineStr">
        <is>
          <t/>
        </is>
      </c>
      <c r="N631" s="22" t="inlineStr">
        <is>
          <t>Angel-Backed</t>
        </is>
      </c>
      <c r="O631" s="23" t="inlineStr">
        <is>
          <t>Privately Held (backing)</t>
        </is>
      </c>
      <c r="P631" s="24" t="inlineStr">
        <is>
          <t>San Diego, CA</t>
        </is>
      </c>
      <c r="Q631" s="25" t="inlineStr">
        <is>
          <t/>
        </is>
      </c>
      <c r="R631" s="113">
        <f>HYPERLINK("https://my.pitchbook.com?c=56356-75", "View company online")</f>
      </c>
    </row>
    <row r="632">
      <c r="A632" s="27" t="inlineStr">
        <is>
          <t>93106-90</t>
        </is>
      </c>
      <c r="B632" s="28" t="inlineStr">
        <is>
          <t>TraktoPRO</t>
        </is>
      </c>
      <c r="C632" s="29" t="n">
        <v>0.01858063875233062</v>
      </c>
      <c r="D632" s="30" t="n">
        <v>0.8305084745762712</v>
      </c>
      <c r="E632" s="31" t="inlineStr">
        <is>
          <t/>
        </is>
      </c>
      <c r="F632" s="32" t="inlineStr">
        <is>
          <t/>
        </is>
      </c>
      <c r="G632" s="33" t="inlineStr">
        <is>
          <t/>
        </is>
      </c>
      <c r="H632" s="34" t="n">
        <v>294.0</v>
      </c>
      <c r="I632" s="35" t="n">
        <v>2.0</v>
      </c>
      <c r="J632" s="36" t="n">
        <v>0.08</v>
      </c>
      <c r="K632" s="37" t="inlineStr">
        <is>
          <t>Application Software</t>
        </is>
      </c>
      <c r="L632" s="38" t="inlineStr">
        <is>
          <t>Provider of a calculation platform. The company's software calculates the price for a project or service and send a business proposal right from a smartphone.</t>
        </is>
      </c>
      <c r="M632" s="39" t="inlineStr">
        <is>
          <t>Abril Plug And Play, SEED - Startups and Entrepreneurship Ecosystem Development, Start-Up Chile</t>
        </is>
      </c>
      <c r="N632" s="40" t="inlineStr">
        <is>
          <t>Accelerator/Incubator Backed</t>
        </is>
      </c>
      <c r="O632" s="41" t="inlineStr">
        <is>
          <t>Privately Held (backing)</t>
        </is>
      </c>
      <c r="P632" s="42" t="inlineStr">
        <is>
          <t>Sunnyvale, CA</t>
        </is>
      </c>
      <c r="Q632" s="43" t="inlineStr">
        <is>
          <t>www.traktopro.com</t>
        </is>
      </c>
      <c r="R632" s="114">
        <f>HYPERLINK("https://my.pitchbook.com?c=93106-90", "View company online")</f>
      </c>
    </row>
    <row r="633">
      <c r="A633" s="9" t="inlineStr">
        <is>
          <t>168300-91</t>
        </is>
      </c>
      <c r="B633" s="10" t="inlineStr">
        <is>
          <t>Trakkx.com</t>
        </is>
      </c>
      <c r="C633" s="11" t="inlineStr">
        <is>
          <t/>
        </is>
      </c>
      <c r="D633" s="12" t="inlineStr">
        <is>
          <t/>
        </is>
      </c>
      <c r="E633" s="13" t="inlineStr">
        <is>
          <t/>
        </is>
      </c>
      <c r="F633" s="14" t="inlineStr">
        <is>
          <t/>
        </is>
      </c>
      <c r="G633" s="15" t="inlineStr">
        <is>
          <t/>
        </is>
      </c>
      <c r="H633" s="16" t="inlineStr">
        <is>
          <t/>
        </is>
      </c>
      <c r="I633" s="17" t="inlineStr">
        <is>
          <t/>
        </is>
      </c>
      <c r="J633" s="18" t="n">
        <v>0.06</v>
      </c>
      <c r="K633" s="19" t="inlineStr">
        <is>
          <t>Other Business Products and Services</t>
        </is>
      </c>
      <c r="L633" s="20" t="inlineStr">
        <is>
          <t>Provider of undisclosed products and services.</t>
        </is>
      </c>
      <c r="M633" s="21" t="inlineStr">
        <is>
          <t/>
        </is>
      </c>
      <c r="N633" s="22" t="inlineStr">
        <is>
          <t>Angel-Backed</t>
        </is>
      </c>
      <c r="O633" s="23" t="inlineStr">
        <is>
          <t>Privately Held (backing)</t>
        </is>
      </c>
      <c r="P633" s="24" t="inlineStr">
        <is>
          <t>Carlsbad, CA</t>
        </is>
      </c>
      <c r="Q633" s="25" t="inlineStr">
        <is>
          <t>www.trakkx.com</t>
        </is>
      </c>
      <c r="R633" s="113">
        <f>HYPERLINK("https://my.pitchbook.com?c=168300-91", "View company online")</f>
      </c>
    </row>
    <row r="634">
      <c r="A634" s="27" t="inlineStr">
        <is>
          <t>119556-10</t>
        </is>
      </c>
      <c r="B634" s="28" t="inlineStr">
        <is>
          <t>Trajectory Solutions</t>
        </is>
      </c>
      <c r="C634" s="29" t="n">
        <v>0.0</v>
      </c>
      <c r="D634" s="30" t="n">
        <v>0.10810810810810811</v>
      </c>
      <c r="E634" s="31" t="inlineStr">
        <is>
          <t/>
        </is>
      </c>
      <c r="F634" s="32" t="n">
        <v>4.0</v>
      </c>
      <c r="G634" s="33" t="inlineStr">
        <is>
          <t/>
        </is>
      </c>
      <c r="H634" s="34" t="inlineStr">
        <is>
          <t/>
        </is>
      </c>
      <c r="I634" s="35" t="n">
        <v>5.0</v>
      </c>
      <c r="J634" s="36" t="n">
        <v>0.06</v>
      </c>
      <c r="K634" s="37" t="inlineStr">
        <is>
          <t>Social/Platform Software</t>
        </is>
      </c>
      <c r="L634" s="38" t="inlineStr">
        <is>
          <t>Developer of platform for transportation companies. The company develops a platform that provides the commercial passenger transportation industry with a technology that brings passengers, drivers, operators and business partners together on a single connected platform.</t>
        </is>
      </c>
      <c r="M634" s="39" t="inlineStr">
        <is>
          <t>Kenneth Branson</t>
        </is>
      </c>
      <c r="N634" s="40" t="inlineStr">
        <is>
          <t>Angel-Backed</t>
        </is>
      </c>
      <c r="O634" s="41" t="inlineStr">
        <is>
          <t>Privately Held (backing)</t>
        </is>
      </c>
      <c r="P634" s="42" t="inlineStr">
        <is>
          <t>San Francisco, CA</t>
        </is>
      </c>
      <c r="Q634" s="43" t="inlineStr">
        <is>
          <t>www.getarrive.co</t>
        </is>
      </c>
      <c r="R634" s="114">
        <f>HYPERLINK("https://my.pitchbook.com?c=119556-10", "View company online")</f>
      </c>
    </row>
    <row r="635">
      <c r="A635" s="9" t="inlineStr">
        <is>
          <t>90959-05</t>
        </is>
      </c>
      <c r="B635" s="10" t="inlineStr">
        <is>
          <t>TraitWare</t>
        </is>
      </c>
      <c r="C635" s="11" t="n">
        <v>0.0</v>
      </c>
      <c r="D635" s="12" t="n">
        <v>0.29069323560848986</v>
      </c>
      <c r="E635" s="13" t="inlineStr">
        <is>
          <t/>
        </is>
      </c>
      <c r="F635" s="14" t="n">
        <v>12.0</v>
      </c>
      <c r="G635" s="15" t="inlineStr">
        <is>
          <t/>
        </is>
      </c>
      <c r="H635" s="16" t="n">
        <v>91.0</v>
      </c>
      <c r="I635" s="17" t="n">
        <v>4.0</v>
      </c>
      <c r="J635" s="18" t="n">
        <v>12.6</v>
      </c>
      <c r="K635" s="19" t="inlineStr">
        <is>
          <t>Application Software</t>
        </is>
      </c>
      <c r="L635" s="20" t="inlineStr">
        <is>
          <t>Developer of a smartphone and tablet security technology designed to verify user identity without passwords or PINs. The company's software authenticates the identity of an end user and certain "digital personality traits" on their smartphone or tablet device in real time, in-transaction enabling users to prevent identity theft and transaction fraud by integrating with websites and applications, all while enhancing the user experience.</t>
        </is>
      </c>
      <c r="M635" s="21" t="inlineStr">
        <is>
          <t>John Racine</t>
        </is>
      </c>
      <c r="N635" s="22" t="inlineStr">
        <is>
          <t>Angel-Backed</t>
        </is>
      </c>
      <c r="O635" s="23" t="inlineStr">
        <is>
          <t>Privately Held (backing)</t>
        </is>
      </c>
      <c r="P635" s="24" t="inlineStr">
        <is>
          <t>Nevada City, CA</t>
        </is>
      </c>
      <c r="Q635" s="25" t="inlineStr">
        <is>
          <t>www.traitware.com</t>
        </is>
      </c>
      <c r="R635" s="113">
        <f>HYPERLINK("https://my.pitchbook.com?c=90959-05", "View company online")</f>
      </c>
    </row>
    <row r="636">
      <c r="A636" s="27" t="inlineStr">
        <is>
          <t>130352-50</t>
        </is>
      </c>
      <c r="B636" s="28" t="inlineStr">
        <is>
          <t>Trainersvault</t>
        </is>
      </c>
      <c r="C636" s="29" t="n">
        <v>0.0181011719252294</v>
      </c>
      <c r="D636" s="30" t="n">
        <v>1.2435082545436267</v>
      </c>
      <c r="E636" s="31" t="inlineStr">
        <is>
          <t/>
        </is>
      </c>
      <c r="F636" s="32" t="n">
        <v>13.0</v>
      </c>
      <c r="G636" s="33" t="n">
        <v>2853.0</v>
      </c>
      <c r="H636" s="34" t="n">
        <v>257.0</v>
      </c>
      <c r="I636" s="35" t="inlineStr">
        <is>
          <t/>
        </is>
      </c>
      <c r="J636" s="36" t="n">
        <v>0.03</v>
      </c>
      <c r="K636" s="37" t="inlineStr">
        <is>
          <t>Social/Platform Software</t>
        </is>
      </c>
      <c r="L636" s="38" t="inlineStr">
        <is>
          <t>Provider of an online platform for connecting people with personal trainers. The company's platform helps users in appointment bookings, customer referrals and online payments for their personal trainers and fitness person.</t>
        </is>
      </c>
      <c r="M636" s="39" t="inlineStr">
        <is>
          <t>SOSV</t>
        </is>
      </c>
      <c r="N636" s="40" t="inlineStr">
        <is>
          <t>Accelerator/Incubator Backed</t>
        </is>
      </c>
      <c r="O636" s="41" t="inlineStr">
        <is>
          <t>Privately Held (backing)</t>
        </is>
      </c>
      <c r="P636" s="42" t="inlineStr">
        <is>
          <t>Los Angeles, CA</t>
        </is>
      </c>
      <c r="Q636" s="43" t="inlineStr">
        <is>
          <t>www.trainersvault.com</t>
        </is>
      </c>
      <c r="R636" s="114">
        <f>HYPERLINK("https://my.pitchbook.com?c=130352-50", "View company online")</f>
      </c>
    </row>
    <row r="637">
      <c r="A637" s="9" t="inlineStr">
        <is>
          <t>159353-29</t>
        </is>
      </c>
      <c r="B637" s="10" t="inlineStr">
        <is>
          <t>Trainerbotics</t>
        </is>
      </c>
      <c r="C637" s="11" t="n">
        <v>0.23151428151920572</v>
      </c>
      <c r="D637" s="12" t="n">
        <v>0.7324827933523586</v>
      </c>
      <c r="E637" s="13" t="inlineStr">
        <is>
          <t/>
        </is>
      </c>
      <c r="F637" s="14" t="n">
        <v>7.0</v>
      </c>
      <c r="G637" s="15" t="n">
        <v>1024.0</v>
      </c>
      <c r="H637" s="16" t="inlineStr">
        <is>
          <t/>
        </is>
      </c>
      <c r="I637" s="17" t="inlineStr">
        <is>
          <t/>
        </is>
      </c>
      <c r="J637" s="18" t="inlineStr">
        <is>
          <t/>
        </is>
      </c>
      <c r="K637" s="19" t="inlineStr">
        <is>
          <t>Electronics (B2C)</t>
        </is>
      </c>
      <c r="L637" s="20" t="inlineStr">
        <is>
          <t>Developer of an app enabled robot for playing ping pong. The company specializes in developing a table-tennis-training machine, that can be programmed via smartphone to place balls at specific areas and give them certain spins.</t>
        </is>
      </c>
      <c r="M637" s="21" t="inlineStr">
        <is>
          <t>SOSV</t>
        </is>
      </c>
      <c r="N637" s="22" t="inlineStr">
        <is>
          <t>Accelerator/Incubator Backed</t>
        </is>
      </c>
      <c r="O637" s="23" t="inlineStr">
        <is>
          <t>Privately Held (backing)</t>
        </is>
      </c>
      <c r="P637" s="24" t="inlineStr">
        <is>
          <t>San Francisco, CA</t>
        </is>
      </c>
      <c r="Q637" s="25" t="inlineStr">
        <is>
          <t>www.trainerbot.com</t>
        </is>
      </c>
      <c r="R637" s="113">
        <f>HYPERLINK("https://my.pitchbook.com?c=159353-29", "View company online")</f>
      </c>
    </row>
    <row r="638">
      <c r="A638" s="27" t="inlineStr">
        <is>
          <t>162771-13</t>
        </is>
      </c>
      <c r="B638" s="28" t="inlineStr">
        <is>
          <t>Trademark Brewing</t>
        </is>
      </c>
      <c r="C638" s="29" t="n">
        <v>0.0</v>
      </c>
      <c r="D638" s="30" t="n">
        <v>0.1244846541456711</v>
      </c>
      <c r="E638" s="31" t="inlineStr">
        <is>
          <t/>
        </is>
      </c>
      <c r="F638" s="32" t="n">
        <v>2.0</v>
      </c>
      <c r="G638" s="33" t="inlineStr">
        <is>
          <t/>
        </is>
      </c>
      <c r="H638" s="34" t="n">
        <v>69.0</v>
      </c>
      <c r="I638" s="35" t="inlineStr">
        <is>
          <t/>
        </is>
      </c>
      <c r="J638" s="36" t="n">
        <v>0.33</v>
      </c>
      <c r="K638" s="37" t="inlineStr">
        <is>
          <t>Beverages</t>
        </is>
      </c>
      <c r="L638" s="38" t="inlineStr">
        <is>
          <t>Owner and operator of a beer brewing company. The company offers flavored crafted beer made from local ingredients in the Los Angeles area.</t>
        </is>
      </c>
      <c r="M638" s="39" t="inlineStr">
        <is>
          <t/>
        </is>
      </c>
      <c r="N638" s="40" t="inlineStr">
        <is>
          <t>Angel-Backed</t>
        </is>
      </c>
      <c r="O638" s="41" t="inlineStr">
        <is>
          <t>Privately Held (backing)</t>
        </is>
      </c>
      <c r="P638" s="42" t="inlineStr">
        <is>
          <t>Los Angeles, CA</t>
        </is>
      </c>
      <c r="Q638" s="43" t="inlineStr">
        <is>
          <t>www.trademarkbrewing.com</t>
        </is>
      </c>
      <c r="R638" s="114">
        <f>HYPERLINK("https://my.pitchbook.com?c=162771-13", "View company online")</f>
      </c>
    </row>
    <row r="639">
      <c r="A639" s="9" t="inlineStr">
        <is>
          <t>65955-97</t>
        </is>
      </c>
      <c r="B639" s="10" t="inlineStr">
        <is>
          <t>TradeHill</t>
        </is>
      </c>
      <c r="C639" s="11" t="n">
        <v>-0.016461825083745017</v>
      </c>
      <c r="D639" s="12" t="n">
        <v>5.554315034584009</v>
      </c>
      <c r="E639" s="13" t="inlineStr">
        <is>
          <t/>
        </is>
      </c>
      <c r="F639" s="14" t="n">
        <v>306.0</v>
      </c>
      <c r="G639" s="15" t="n">
        <v>548.0</v>
      </c>
      <c r="H639" s="16" t="n">
        <v>1747.0</v>
      </c>
      <c r="I639" s="17" t="n">
        <v>11.0</v>
      </c>
      <c r="J639" s="18" t="n">
        <v>0.4</v>
      </c>
      <c r="K639" s="19" t="inlineStr">
        <is>
          <t>Financial Software</t>
        </is>
      </c>
      <c r="L639" s="20" t="inlineStr">
        <is>
          <t>Provider of an online currency exchange platform for investors, businesses, and governments. The company provides an online currency exchange platform for bitcoin and ripple transactions.</t>
        </is>
      </c>
      <c r="M639" s="21" t="inlineStr">
        <is>
          <t>500 Startups, Digital Currency Group, Individual Investor, Parker Thompson, Vet-Tech Accelerator</t>
        </is>
      </c>
      <c r="N639" s="22" t="inlineStr">
        <is>
          <t>Angel-Backed</t>
        </is>
      </c>
      <c r="O639" s="23" t="inlineStr">
        <is>
          <t>Privately Held (backing)</t>
        </is>
      </c>
      <c r="P639" s="24" t="inlineStr">
        <is>
          <t>San Francisco, CA</t>
        </is>
      </c>
      <c r="Q639" s="25" t="inlineStr">
        <is>
          <t/>
        </is>
      </c>
      <c r="R639" s="113">
        <f>HYPERLINK("https://my.pitchbook.com?c=65955-97", "View company online")</f>
      </c>
    </row>
    <row r="640">
      <c r="A640" s="27" t="inlineStr">
        <is>
          <t>90851-50</t>
        </is>
      </c>
      <c r="B640" s="28" t="inlineStr">
        <is>
          <t>TradeGig</t>
        </is>
      </c>
      <c r="C640" s="29" t="n">
        <v>0.01953965013146609</v>
      </c>
      <c r="D640" s="30" t="n">
        <v>0.2773903417050064</v>
      </c>
      <c r="E640" s="31" t="inlineStr">
        <is>
          <t/>
        </is>
      </c>
      <c r="F640" s="32" t="n">
        <v>6.0</v>
      </c>
      <c r="G640" s="33" t="n">
        <v>266.0</v>
      </c>
      <c r="H640" s="34" t="n">
        <v>161.0</v>
      </c>
      <c r="I640" s="35" t="n">
        <v>3.0</v>
      </c>
      <c r="J640" s="36" t="n">
        <v>0.04</v>
      </c>
      <c r="K640" s="37" t="inlineStr">
        <is>
          <t>Social/Platform Software</t>
        </is>
      </c>
      <c r="L640" s="38" t="inlineStr">
        <is>
          <t>Provider of a location-based online marketplace for trading, buying, and selling personal services. The company's platform emphasizes on social networking, trading tools and web-based self-services to help users manage each buying, selling and trading transaction.</t>
        </is>
      </c>
      <c r="M640" s="39" t="inlineStr">
        <is>
          <t>Start-Up Chile</t>
        </is>
      </c>
      <c r="N640" s="40" t="inlineStr">
        <is>
          <t>Accelerator/Incubator Backed</t>
        </is>
      </c>
      <c r="O640" s="41" t="inlineStr">
        <is>
          <t>Privately Held (backing)</t>
        </is>
      </c>
      <c r="P640" s="42" t="inlineStr">
        <is>
          <t>San Francisco, CA</t>
        </is>
      </c>
      <c r="Q640" s="43" t="inlineStr">
        <is>
          <t>www.tradegig.com</t>
        </is>
      </c>
      <c r="R640" s="114">
        <f>HYPERLINK("https://my.pitchbook.com?c=90851-50", "View company online")</f>
      </c>
    </row>
    <row r="641">
      <c r="A641" s="9" t="inlineStr">
        <is>
          <t>113299-21</t>
        </is>
      </c>
      <c r="B641" s="10" t="inlineStr">
        <is>
          <t>Trade Capital Funding</t>
        </is>
      </c>
      <c r="C641" s="85">
        <f>HYPERLINK("https://my.pitchbook.com?rrp=113299-21&amp;type=c", "This Company's information is not available to download. Need this Company? Request availability")</f>
      </c>
      <c r="D641" s="12" t="inlineStr">
        <is>
          <t/>
        </is>
      </c>
      <c r="E641" s="13" t="inlineStr">
        <is>
          <t/>
        </is>
      </c>
      <c r="F641" s="14" t="inlineStr">
        <is>
          <t/>
        </is>
      </c>
      <c r="G641" s="15" t="inlineStr">
        <is>
          <t/>
        </is>
      </c>
      <c r="H641" s="16" t="inlineStr">
        <is>
          <t/>
        </is>
      </c>
      <c r="I641" s="17" t="inlineStr">
        <is>
          <t/>
        </is>
      </c>
      <c r="J641" s="18" t="inlineStr">
        <is>
          <t/>
        </is>
      </c>
      <c r="K641" s="19" t="inlineStr">
        <is>
          <t/>
        </is>
      </c>
      <c r="L641" s="20" t="inlineStr">
        <is>
          <t/>
        </is>
      </c>
      <c r="M641" s="21" t="inlineStr">
        <is>
          <t/>
        </is>
      </c>
      <c r="N641" s="22" t="inlineStr">
        <is>
          <t/>
        </is>
      </c>
      <c r="O641" s="23" t="inlineStr">
        <is>
          <t/>
        </is>
      </c>
      <c r="P641" s="24" t="inlineStr">
        <is>
          <t/>
        </is>
      </c>
      <c r="Q641" s="25" t="inlineStr">
        <is>
          <t/>
        </is>
      </c>
      <c r="R641" s="26" t="inlineStr">
        <is>
          <t/>
        </is>
      </c>
    </row>
    <row r="642">
      <c r="A642" s="27" t="inlineStr">
        <is>
          <t>103228-48</t>
        </is>
      </c>
      <c r="B642" s="28" t="inlineStr">
        <is>
          <t>Trade as One</t>
        </is>
      </c>
      <c r="C642" s="29" t="n">
        <v>-0.020308213082204124</v>
      </c>
      <c r="D642" s="30" t="n">
        <v>5.434310771451523</v>
      </c>
      <c r="E642" s="31" t="inlineStr">
        <is>
          <t/>
        </is>
      </c>
      <c r="F642" s="32" t="n">
        <v>64.0</v>
      </c>
      <c r="G642" s="33" t="n">
        <v>9925.0</v>
      </c>
      <c r="H642" s="34" t="n">
        <v>2108.0</v>
      </c>
      <c r="I642" s="35" t="inlineStr">
        <is>
          <t/>
        </is>
      </c>
      <c r="J642" s="36" t="inlineStr">
        <is>
          <t/>
        </is>
      </c>
      <c r="K642" s="37" t="inlineStr">
        <is>
          <t>Food Products</t>
        </is>
      </c>
      <c r="L642" s="38" t="inlineStr">
        <is>
          <t>Provider of organically sourced products at doorstep. The company provides employment to small producers and deliver gourmet and healthy foods.</t>
        </is>
      </c>
      <c r="M642" s="39" t="inlineStr">
        <is>
          <t>David Gardner, Jeremy Almond, Kim Tan, Leo Perry, Robert Nelson</t>
        </is>
      </c>
      <c r="N642" s="40" t="inlineStr">
        <is>
          <t>Angel-Backed</t>
        </is>
      </c>
      <c r="O642" s="41" t="inlineStr">
        <is>
          <t>Privately Held (backing)</t>
        </is>
      </c>
      <c r="P642" s="42" t="inlineStr">
        <is>
          <t>Palo Alto, CA</t>
        </is>
      </c>
      <c r="Q642" s="43" t="inlineStr">
        <is>
          <t>www.tradeasone.com</t>
        </is>
      </c>
      <c r="R642" s="114">
        <f>HYPERLINK("https://my.pitchbook.com?c=103228-48", "View company online")</f>
      </c>
    </row>
    <row r="643">
      <c r="A643" s="9" t="inlineStr">
        <is>
          <t>169822-09</t>
        </is>
      </c>
      <c r="B643" s="10" t="inlineStr">
        <is>
          <t>TrackNet</t>
        </is>
      </c>
      <c r="C643" s="11" t="n">
        <v>0.0</v>
      </c>
      <c r="D643" s="12" t="n">
        <v>0.15254237288135594</v>
      </c>
      <c r="E643" s="13" t="inlineStr">
        <is>
          <t/>
        </is>
      </c>
      <c r="F643" s="14" t="inlineStr">
        <is>
          <t/>
        </is>
      </c>
      <c r="G643" s="15" t="inlineStr">
        <is>
          <t/>
        </is>
      </c>
      <c r="H643" s="16" t="n">
        <v>52.0</v>
      </c>
      <c r="I643" s="17" t="inlineStr">
        <is>
          <t/>
        </is>
      </c>
      <c r="J643" s="18" t="n">
        <v>7.0</v>
      </c>
      <c r="K643" s="19" t="inlineStr">
        <is>
          <t>Wireless Service Providers</t>
        </is>
      </c>
      <c r="L643" s="20" t="inlineStr">
        <is>
          <t>Provider of LoRaWAN IoT services intended to give unparalleled scalability to enable exponentially growing LPWAN deployments. The company's service including sensors, gateways, and applications with optimized user experience for targeted LPWAN and IoT applications, enabling consumers and industry to make it easy for them to use and for low power usage.</t>
        </is>
      </c>
      <c r="M643" s="21" t="inlineStr">
        <is>
          <t>Gemtek Corporation, Minol-ZENNER Group</t>
        </is>
      </c>
      <c r="N643" s="22" t="inlineStr">
        <is>
          <t>Angel-Backed</t>
        </is>
      </c>
      <c r="O643" s="23" t="inlineStr">
        <is>
          <t>Privately Held (backing)</t>
        </is>
      </c>
      <c r="P643" s="24" t="inlineStr">
        <is>
          <t>Rapperswil, Switzerland</t>
        </is>
      </c>
      <c r="Q643" s="25" t="inlineStr">
        <is>
          <t>www.tracknet.io</t>
        </is>
      </c>
      <c r="R643" s="113">
        <f>HYPERLINK("https://my.pitchbook.com?c=169822-09", "View company online")</f>
      </c>
    </row>
    <row r="644">
      <c r="A644" s="27" t="inlineStr">
        <is>
          <t>133098-85</t>
        </is>
      </c>
      <c r="B644" s="28" t="inlineStr">
        <is>
          <t>Track Technologies</t>
        </is>
      </c>
      <c r="C644" s="29" t="n">
        <v>0.16478781617695723</v>
      </c>
      <c r="D644" s="30" t="n">
        <v>1.409451919547719</v>
      </c>
      <c r="E644" s="31" t="inlineStr">
        <is>
          <t/>
        </is>
      </c>
      <c r="F644" s="32" t="n">
        <v>46.0</v>
      </c>
      <c r="G644" s="33" t="n">
        <v>1416.0</v>
      </c>
      <c r="H644" s="34" t="n">
        <v>493.0</v>
      </c>
      <c r="I644" s="35" t="inlineStr">
        <is>
          <t/>
        </is>
      </c>
      <c r="J644" s="36" t="n">
        <v>0.13</v>
      </c>
      <c r="K644" s="37" t="inlineStr">
        <is>
          <t>Business/Productivity Software</t>
        </is>
      </c>
      <c r="L644" s="38" t="inlineStr">
        <is>
          <t>Provider of a tax filing and tax management platform for self employed professionals. The company offers a Web-based platform which uses artificial intelligence and machine learning to estimate, withhold and pay self-employment taxes on time.</t>
        </is>
      </c>
      <c r="M644" s="39" t="inlineStr">
        <is>
          <t>500 Startups, Ynext Incubator</t>
        </is>
      </c>
      <c r="N644" s="40" t="inlineStr">
        <is>
          <t>Accelerator/Incubator Backed</t>
        </is>
      </c>
      <c r="O644" s="41" t="inlineStr">
        <is>
          <t>Privately Held (backing)</t>
        </is>
      </c>
      <c r="P644" s="42" t="inlineStr">
        <is>
          <t>Santa Barbara, CA</t>
        </is>
      </c>
      <c r="Q644" s="43" t="inlineStr">
        <is>
          <t>www.track.tax</t>
        </is>
      </c>
      <c r="R644" s="114">
        <f>HYPERLINK("https://my.pitchbook.com?c=133098-85", "View company online")</f>
      </c>
    </row>
    <row r="645">
      <c r="A645" s="9" t="inlineStr">
        <is>
          <t>159201-01</t>
        </is>
      </c>
      <c r="B645" s="10" t="inlineStr">
        <is>
          <t>TraceAir Technologies</t>
        </is>
      </c>
      <c r="C645" s="11" t="n">
        <v>0.0</v>
      </c>
      <c r="D645" s="12" t="n">
        <v>0.26433619375771183</v>
      </c>
      <c r="E645" s="13" t="inlineStr">
        <is>
          <t/>
        </is>
      </c>
      <c r="F645" s="14" t="n">
        <v>16.0</v>
      </c>
      <c r="G645" s="15" t="n">
        <v>89.0</v>
      </c>
      <c r="H645" s="16" t="n">
        <v>29.0</v>
      </c>
      <c r="I645" s="17" t="inlineStr">
        <is>
          <t/>
        </is>
      </c>
      <c r="J645" s="18" t="n">
        <v>0.13</v>
      </c>
      <c r="K645" s="19" t="inlineStr">
        <is>
          <t>Construction and Engineering</t>
        </is>
      </c>
      <c r="L645" s="20" t="inlineStr">
        <is>
          <t>Developer of a cloud based platform for construction companies. The company allows construction companies to connect the reality of the construction site to the planned virtual design by means of visual and intuitive map-based platform interface to control quality and costs of construction.</t>
        </is>
      </c>
      <c r="M645" s="21" t="inlineStr">
        <is>
          <t>500 Startups</t>
        </is>
      </c>
      <c r="N645" s="22" t="inlineStr">
        <is>
          <t>Accelerator/Incubator Backed</t>
        </is>
      </c>
      <c r="O645" s="23" t="inlineStr">
        <is>
          <t>Privately Held (backing)</t>
        </is>
      </c>
      <c r="P645" s="24" t="inlineStr">
        <is>
          <t>Mountain View, CA</t>
        </is>
      </c>
      <c r="Q645" s="25" t="inlineStr">
        <is>
          <t>www.traceair.net</t>
        </is>
      </c>
      <c r="R645" s="113">
        <f>HYPERLINK("https://my.pitchbook.com?c=159201-01", "View company online")</f>
      </c>
    </row>
    <row r="646">
      <c r="A646" s="27" t="inlineStr">
        <is>
          <t>94394-53</t>
        </is>
      </c>
      <c r="B646" s="28" t="inlineStr">
        <is>
          <t>Tower59</t>
        </is>
      </c>
      <c r="C646" s="29" t="n">
        <v>0.0</v>
      </c>
      <c r="D646" s="30" t="n">
        <v>0.02702702702702703</v>
      </c>
      <c r="E646" s="31" t="inlineStr">
        <is>
          <t/>
        </is>
      </c>
      <c r="F646" s="32" t="n">
        <v>1.0</v>
      </c>
      <c r="G646" s="33" t="inlineStr">
        <is>
          <t/>
        </is>
      </c>
      <c r="H646" s="34" t="inlineStr">
        <is>
          <t/>
        </is>
      </c>
      <c r="I646" s="35" t="n">
        <v>3.0</v>
      </c>
      <c r="J646" s="36" t="inlineStr">
        <is>
          <t/>
        </is>
      </c>
      <c r="K646" s="37" t="inlineStr">
        <is>
          <t>Other Financial Services</t>
        </is>
      </c>
      <c r="L646" s="38" t="inlineStr">
        <is>
          <t>Provider of financial services. The company offers professional financial services such as company valuations to early- and mid-stage companies.</t>
        </is>
      </c>
      <c r="M646" s="39" t="inlineStr">
        <is>
          <t/>
        </is>
      </c>
      <c r="N646" s="40" t="inlineStr">
        <is>
          <t>Angel-Backed</t>
        </is>
      </c>
      <c r="O646" s="41" t="inlineStr">
        <is>
          <t>Privately Held (backing)</t>
        </is>
      </c>
      <c r="P646" s="42" t="inlineStr">
        <is>
          <t>San Francisco, CA</t>
        </is>
      </c>
      <c r="Q646" s="43" t="inlineStr">
        <is>
          <t>www.tower59.com</t>
        </is>
      </c>
      <c r="R646" s="114">
        <f>HYPERLINK("https://my.pitchbook.com?c=94394-53", "View company online")</f>
      </c>
    </row>
    <row r="647">
      <c r="A647" s="9" t="inlineStr">
        <is>
          <t>90954-82</t>
        </is>
      </c>
      <c r="B647" s="10" t="inlineStr">
        <is>
          <t>Tower Paddle Boards</t>
        </is>
      </c>
      <c r="C647" s="11" t="n">
        <v>0.3640274610039335</v>
      </c>
      <c r="D647" s="12" t="n">
        <v>19.334330237701643</v>
      </c>
      <c r="E647" s="13" t="inlineStr">
        <is>
          <t/>
        </is>
      </c>
      <c r="F647" s="14" t="n">
        <v>669.0</v>
      </c>
      <c r="G647" s="15" t="n">
        <v>10433.0</v>
      </c>
      <c r="H647" s="16" t="n">
        <v>9989.0</v>
      </c>
      <c r="I647" s="17" t="n">
        <v>4.0</v>
      </c>
      <c r="J647" s="18" t="n">
        <v>0.15</v>
      </c>
      <c r="K647" s="19" t="inlineStr">
        <is>
          <t>Internet Retail</t>
        </is>
      </c>
      <c r="L647" s="20" t="inlineStr">
        <is>
          <t>Manufacturer of a stand up paddle board. The company manufactures, designs and sells stand up paddle boards, carbon fiber and wooden SUP paddles, flat-water paddle boarding accessories, stand up paddle surfing gear and SUP surfing boards.</t>
        </is>
      </c>
      <c r="M647" s="21" t="inlineStr">
        <is>
          <t>Mark Cuban</t>
        </is>
      </c>
      <c r="N647" s="22" t="inlineStr">
        <is>
          <t>Angel-Backed</t>
        </is>
      </c>
      <c r="O647" s="23" t="inlineStr">
        <is>
          <t>Privately Held (backing)</t>
        </is>
      </c>
      <c r="P647" s="24" t="inlineStr">
        <is>
          <t>San Diego, CA</t>
        </is>
      </c>
      <c r="Q647" s="25" t="inlineStr">
        <is>
          <t>www.towerpaddleboards.com</t>
        </is>
      </c>
      <c r="R647" s="113">
        <f>HYPERLINK("https://my.pitchbook.com?c=90954-82", "View company online")</f>
      </c>
    </row>
    <row r="648">
      <c r="A648" s="27" t="inlineStr">
        <is>
          <t>169425-82</t>
        </is>
      </c>
      <c r="B648" s="28" t="inlineStr">
        <is>
          <t>TourUs</t>
        </is>
      </c>
      <c r="C648" s="29" t="inlineStr">
        <is>
          <t/>
        </is>
      </c>
      <c r="D648" s="30" t="inlineStr">
        <is>
          <t/>
        </is>
      </c>
      <c r="E648" s="31" t="inlineStr">
        <is>
          <t/>
        </is>
      </c>
      <c r="F648" s="32" t="inlineStr">
        <is>
          <t/>
        </is>
      </c>
      <c r="G648" s="33" t="inlineStr">
        <is>
          <t/>
        </is>
      </c>
      <c r="H648" s="34" t="inlineStr">
        <is>
          <t/>
        </is>
      </c>
      <c r="I648" s="35" t="inlineStr">
        <is>
          <t/>
        </is>
      </c>
      <c r="J648" s="36" t="inlineStr">
        <is>
          <t/>
        </is>
      </c>
      <c r="K648" s="37" t="inlineStr">
        <is>
          <t>Application Software</t>
        </is>
      </c>
      <c r="L648" s="38" t="inlineStr">
        <is>
          <t>Provider of a real-time gaming application. The company provides an interactive gaming application for the travelers.</t>
        </is>
      </c>
      <c r="M648" s="39" t="inlineStr">
        <is>
          <t>Catapult Ideas</t>
        </is>
      </c>
      <c r="N648" s="40" t="inlineStr">
        <is>
          <t>Accelerator/Incubator Backed</t>
        </is>
      </c>
      <c r="O648" s="41" t="inlineStr">
        <is>
          <t>Privately Held (backing)</t>
        </is>
      </c>
      <c r="P648" s="42" t="inlineStr">
        <is>
          <t>San Francisco, CA</t>
        </is>
      </c>
      <c r="Q648" s="43" t="inlineStr">
        <is>
          <t/>
        </is>
      </c>
      <c r="R648" s="114">
        <f>HYPERLINK("https://my.pitchbook.com?c=169425-82", "View company online")</f>
      </c>
    </row>
    <row r="649">
      <c r="A649" s="9" t="inlineStr">
        <is>
          <t>94238-74</t>
        </is>
      </c>
      <c r="B649" s="10" t="inlineStr">
        <is>
          <t>TourNative</t>
        </is>
      </c>
      <c r="C649" s="11" t="n">
        <v>-0.04252616708268456</v>
      </c>
      <c r="D649" s="12" t="n">
        <v>4.446345229322386</v>
      </c>
      <c r="E649" s="13" t="inlineStr">
        <is>
          <t/>
        </is>
      </c>
      <c r="F649" s="14" t="inlineStr">
        <is>
          <t/>
        </is>
      </c>
      <c r="G649" s="15" t="n">
        <v>3975.0</v>
      </c>
      <c r="H649" s="16" t="n">
        <v>1401.0</v>
      </c>
      <c r="I649" s="17" t="n">
        <v>10.0</v>
      </c>
      <c r="J649" s="18" t="n">
        <v>0.04</v>
      </c>
      <c r="K649" s="19" t="inlineStr">
        <is>
          <t>Information Services (B2C)</t>
        </is>
      </c>
      <c r="L649" s="20" t="inlineStr">
        <is>
          <t>Provider of web platform for tourists. The company online marketplace to connect travelers and local guides to share travel experiences.</t>
        </is>
      </c>
      <c r="M649" s="21" t="inlineStr">
        <is>
          <t>Start-Up Chile</t>
        </is>
      </c>
      <c r="N649" s="22" t="inlineStr">
        <is>
          <t>Accelerator/Incubator Backed</t>
        </is>
      </c>
      <c r="O649" s="23" t="inlineStr">
        <is>
          <t>Privately Held (backing)</t>
        </is>
      </c>
      <c r="P649" s="24" t="inlineStr">
        <is>
          <t>Mountain View, CA</t>
        </is>
      </c>
      <c r="Q649" s="25" t="inlineStr">
        <is>
          <t>www.tournative.com</t>
        </is>
      </c>
      <c r="R649" s="113">
        <f>HYPERLINK("https://my.pitchbook.com?c=94238-74", "View company online")</f>
      </c>
    </row>
    <row r="650">
      <c r="A650" s="27" t="inlineStr">
        <is>
          <t>60251-05</t>
        </is>
      </c>
      <c r="B650" s="28" t="inlineStr">
        <is>
          <t>Tourjive</t>
        </is>
      </c>
      <c r="C650" s="29" t="n">
        <v>-0.026829424399177917</v>
      </c>
      <c r="D650" s="30" t="n">
        <v>3.674170965364775</v>
      </c>
      <c r="E650" s="31" t="inlineStr">
        <is>
          <t/>
        </is>
      </c>
      <c r="F650" s="32" t="n">
        <v>1.0</v>
      </c>
      <c r="G650" s="33" t="n">
        <v>28.0</v>
      </c>
      <c r="H650" s="34" t="n">
        <v>2589.0</v>
      </c>
      <c r="I650" s="35" t="inlineStr">
        <is>
          <t/>
        </is>
      </c>
      <c r="J650" s="36" t="inlineStr">
        <is>
          <t/>
        </is>
      </c>
      <c r="K650" s="37" t="inlineStr">
        <is>
          <t>Social/Platform Software</t>
        </is>
      </c>
      <c r="L650" s="38" t="inlineStr">
        <is>
          <t>Developer of a software for the analysis of music. The company offers an in-depth analysis of the live music and touring business.</t>
        </is>
      </c>
      <c r="M650" s="39" t="inlineStr">
        <is>
          <t>Startup Next</t>
        </is>
      </c>
      <c r="N650" s="40" t="inlineStr">
        <is>
          <t>Angel-Backed</t>
        </is>
      </c>
      <c r="O650" s="41" t="inlineStr">
        <is>
          <t>Privately Held (backing)</t>
        </is>
      </c>
      <c r="P650" s="42" t="inlineStr">
        <is>
          <t>Santa Monica, CA</t>
        </is>
      </c>
      <c r="Q650" s="43" t="inlineStr">
        <is>
          <t>www.tourjive.com</t>
        </is>
      </c>
      <c r="R650" s="114">
        <f>HYPERLINK("https://my.pitchbook.com?c=60251-05", "View company online")</f>
      </c>
    </row>
    <row r="651">
      <c r="A651" s="9" t="inlineStr">
        <is>
          <t>117820-54</t>
        </is>
      </c>
      <c r="B651" s="10" t="inlineStr">
        <is>
          <t>TOURING APP</t>
        </is>
      </c>
      <c r="C651" s="85">
        <f>HYPERLINK("https://my.pitchbook.com?rrp=117820-54&amp;type=c", "This Company's information is not available to download. Need this Company? Request availability")</f>
      </c>
      <c r="D651" s="12" t="inlineStr">
        <is>
          <t/>
        </is>
      </c>
      <c r="E651" s="13" t="inlineStr">
        <is>
          <t/>
        </is>
      </c>
      <c r="F651" s="14" t="inlineStr">
        <is>
          <t/>
        </is>
      </c>
      <c r="G651" s="15" t="inlineStr">
        <is>
          <t/>
        </is>
      </c>
      <c r="H651" s="16" t="inlineStr">
        <is>
          <t/>
        </is>
      </c>
      <c r="I651" s="17" t="inlineStr">
        <is>
          <t/>
        </is>
      </c>
      <c r="J651" s="18" t="inlineStr">
        <is>
          <t/>
        </is>
      </c>
      <c r="K651" s="19" t="inlineStr">
        <is>
          <t/>
        </is>
      </c>
      <c r="L651" s="20" t="inlineStr">
        <is>
          <t/>
        </is>
      </c>
      <c r="M651" s="21" t="inlineStr">
        <is>
          <t/>
        </is>
      </c>
      <c r="N651" s="22" t="inlineStr">
        <is>
          <t/>
        </is>
      </c>
      <c r="O651" s="23" t="inlineStr">
        <is>
          <t/>
        </is>
      </c>
      <c r="P651" s="24" t="inlineStr">
        <is>
          <t/>
        </is>
      </c>
      <c r="Q651" s="25" t="inlineStr">
        <is>
          <t/>
        </is>
      </c>
      <c r="R651" s="26" t="inlineStr">
        <is>
          <t/>
        </is>
      </c>
    </row>
    <row r="652">
      <c r="A652" s="27" t="inlineStr">
        <is>
          <t>90954-28</t>
        </is>
      </c>
      <c r="B652" s="28" t="inlineStr">
        <is>
          <t>Tour Engine</t>
        </is>
      </c>
      <c r="C652" s="29" t="n">
        <v>0.0</v>
      </c>
      <c r="D652" s="30" t="n">
        <v>1.162162162162162</v>
      </c>
      <c r="E652" s="31" t="inlineStr">
        <is>
          <t/>
        </is>
      </c>
      <c r="F652" s="32" t="n">
        <v>43.0</v>
      </c>
      <c r="G652" s="33" t="inlineStr">
        <is>
          <t/>
        </is>
      </c>
      <c r="H652" s="34" t="inlineStr">
        <is>
          <t/>
        </is>
      </c>
      <c r="I652" s="35" t="inlineStr">
        <is>
          <t/>
        </is>
      </c>
      <c r="J652" s="36" t="n">
        <v>3.3</v>
      </c>
      <c r="K652" s="37" t="inlineStr">
        <is>
          <t>Industrial Supplies and Parts</t>
        </is>
      </c>
      <c r="L652" s="38" t="inlineStr">
        <is>
          <t>Developer of an engine designs. The company is developing and testing the design of a internal combustion engine and split-cycle engine.</t>
        </is>
      </c>
      <c r="M652" s="39" t="inlineStr">
        <is>
          <t>Arpa-E, California Energy Commission's Energy Innovations Small Grant (EISG), Irwin Jacobs, Israeli Ministry of Energy and Water Resources, Israeli Ministry of National Infrastructures, Joan Jacobs</t>
        </is>
      </c>
      <c r="N652" s="40" t="inlineStr">
        <is>
          <t>Angel-Backed</t>
        </is>
      </c>
      <c r="O652" s="41" t="inlineStr">
        <is>
          <t>Privately Held (backing)</t>
        </is>
      </c>
      <c r="P652" s="42" t="inlineStr">
        <is>
          <t>San Diego, CA</t>
        </is>
      </c>
      <c r="Q652" s="43" t="inlineStr">
        <is>
          <t>tourengine.com</t>
        </is>
      </c>
      <c r="R652" s="114">
        <f>HYPERLINK("https://my.pitchbook.com?c=90954-28", "View company online")</f>
      </c>
    </row>
    <row r="653">
      <c r="A653" s="9" t="inlineStr">
        <is>
          <t>156306-34</t>
        </is>
      </c>
      <c r="B653" s="10" t="inlineStr">
        <is>
          <t>Toughbuilt Industries</t>
        </is>
      </c>
      <c r="C653" s="11" t="n">
        <v>0.0</v>
      </c>
      <c r="D653" s="12" t="n">
        <v>0.44231943808214996</v>
      </c>
      <c r="E653" s="13" t="inlineStr">
        <is>
          <t/>
        </is>
      </c>
      <c r="F653" s="14" t="n">
        <v>32.0</v>
      </c>
      <c r="G653" s="15" t="inlineStr">
        <is>
          <t/>
        </is>
      </c>
      <c r="H653" s="16" t="n">
        <v>7.0</v>
      </c>
      <c r="I653" s="17" t="inlineStr">
        <is>
          <t/>
        </is>
      </c>
      <c r="J653" s="18" t="n">
        <v>0.37</v>
      </c>
      <c r="K653" s="19" t="inlineStr">
        <is>
          <t>Accessories</t>
        </is>
      </c>
      <c r="L653" s="20" t="inlineStr">
        <is>
          <t>Manufacturer of regular accessories for contractors, technicians, electricians and business organizations. The company specializes in providing bags, clip-tech tool belts, laptop bags, knee pads and saw horses.</t>
        </is>
      </c>
      <c r="M653" s="21" t="inlineStr">
        <is>
          <t/>
        </is>
      </c>
      <c r="N653" s="22" t="inlineStr">
        <is>
          <t>Angel-Backed</t>
        </is>
      </c>
      <c r="O653" s="23" t="inlineStr">
        <is>
          <t>Privately Held (backing)</t>
        </is>
      </c>
      <c r="P653" s="24" t="inlineStr">
        <is>
          <t>Glendale, CA</t>
        </is>
      </c>
      <c r="Q653" s="25" t="inlineStr">
        <is>
          <t>www.toughbuilt.com</t>
        </is>
      </c>
      <c r="R653" s="113">
        <f>HYPERLINK("https://my.pitchbook.com?c=156306-34", "View company online")</f>
      </c>
    </row>
    <row r="654">
      <c r="A654" s="27" t="inlineStr">
        <is>
          <t>120229-75</t>
        </is>
      </c>
      <c r="B654" s="28" t="inlineStr">
        <is>
          <t>Touchmoon</t>
        </is>
      </c>
      <c r="C654" s="86">
        <f>HYPERLINK("https://my.pitchbook.com?rrp=120229-75&amp;type=c", "This Company's information is not available to download. Need this Company? Request availability")</f>
      </c>
      <c r="D654" s="30" t="inlineStr">
        <is>
          <t/>
        </is>
      </c>
      <c r="E654" s="31" t="inlineStr">
        <is>
          <t/>
        </is>
      </c>
      <c r="F654" s="32" t="inlineStr">
        <is>
          <t/>
        </is>
      </c>
      <c r="G654" s="33" t="inlineStr">
        <is>
          <t/>
        </is>
      </c>
      <c r="H654" s="34" t="inlineStr">
        <is>
          <t/>
        </is>
      </c>
      <c r="I654" s="35" t="inlineStr">
        <is>
          <t/>
        </is>
      </c>
      <c r="J654" s="36" t="inlineStr">
        <is>
          <t/>
        </is>
      </c>
      <c r="K654" s="37" t="inlineStr">
        <is>
          <t/>
        </is>
      </c>
      <c r="L654" s="38" t="inlineStr">
        <is>
          <t/>
        </is>
      </c>
      <c r="M654" s="39" t="inlineStr">
        <is>
          <t/>
        </is>
      </c>
      <c r="N654" s="40" t="inlineStr">
        <is>
          <t/>
        </is>
      </c>
      <c r="O654" s="41" t="inlineStr">
        <is>
          <t/>
        </is>
      </c>
      <c r="P654" s="42" t="inlineStr">
        <is>
          <t/>
        </is>
      </c>
      <c r="Q654" s="43" t="inlineStr">
        <is>
          <t/>
        </is>
      </c>
      <c r="R654" s="44" t="inlineStr">
        <is>
          <t/>
        </is>
      </c>
    </row>
    <row r="655">
      <c r="A655" s="9" t="inlineStr">
        <is>
          <t>126697-24</t>
        </is>
      </c>
      <c r="B655" s="10" t="inlineStr">
        <is>
          <t>Touch Coffee &amp; Beverages</t>
        </is>
      </c>
      <c r="C655" s="11" t="n">
        <v>-0.04636837044222013</v>
      </c>
      <c r="D655" s="12" t="n">
        <v>7.18099709879371</v>
      </c>
      <c r="E655" s="13" t="inlineStr">
        <is>
          <t/>
        </is>
      </c>
      <c r="F655" s="14" t="n">
        <v>88.0</v>
      </c>
      <c r="G655" s="15" t="n">
        <v>13365.0</v>
      </c>
      <c r="H655" s="16" t="n">
        <v>2610.0</v>
      </c>
      <c r="I655" s="17" t="inlineStr">
        <is>
          <t/>
        </is>
      </c>
      <c r="J655" s="18" t="n">
        <v>1.5</v>
      </c>
      <c r="K655" s="19" t="inlineStr">
        <is>
          <t>Household Appliances</t>
        </is>
      </c>
      <c r="L655" s="20" t="inlineStr">
        <is>
          <t>Manufacturer of a coffee brewing machine. The company manufactures and markets a coffee brewing machine and accessories needed in the process of coffee brewing.</t>
        </is>
      </c>
      <c r="M655" s="21" t="inlineStr">
        <is>
          <t/>
        </is>
      </c>
      <c r="N655" s="22" t="inlineStr">
        <is>
          <t>Angel-Backed</t>
        </is>
      </c>
      <c r="O655" s="23" t="inlineStr">
        <is>
          <t>Privately Held (backing)</t>
        </is>
      </c>
      <c r="P655" s="24" t="inlineStr">
        <is>
          <t>Industry, CA</t>
        </is>
      </c>
      <c r="Q655" s="25" t="inlineStr">
        <is>
          <t>www.touchbeverages.com</t>
        </is>
      </c>
      <c r="R655" s="113">
        <f>HYPERLINK("https://my.pitchbook.com?c=126697-24", "View company online")</f>
      </c>
    </row>
    <row r="656">
      <c r="A656" s="27" t="inlineStr">
        <is>
          <t>95254-03</t>
        </is>
      </c>
      <c r="B656" s="28" t="inlineStr">
        <is>
          <t>Totus Power</t>
        </is>
      </c>
      <c r="C656" s="29" t="n">
        <v>0.08328229806505424</v>
      </c>
      <c r="D656" s="30" t="n">
        <v>0.6251226539730592</v>
      </c>
      <c r="E656" s="31" t="inlineStr">
        <is>
          <t/>
        </is>
      </c>
      <c r="F656" s="32" t="n">
        <v>23.0</v>
      </c>
      <c r="G656" s="33" t="n">
        <v>440.0</v>
      </c>
      <c r="H656" s="34" t="n">
        <v>232.0</v>
      </c>
      <c r="I656" s="35" t="n">
        <v>1.0</v>
      </c>
      <c r="J656" s="36" t="n">
        <v>0.07</v>
      </c>
      <c r="K656" s="37" t="inlineStr">
        <is>
          <t>Electronics (B2C)</t>
        </is>
      </c>
      <c r="L656" s="38" t="inlineStr">
        <is>
          <t>Developer of battery packs for low cost schools. The company develops portable battery packs by reusing lithium ion (Li-Ion) batteries from electric vehicles (EVs) and thereby enables a technology-based learning at low cost schools in developing countries.</t>
        </is>
      </c>
      <c r="M656" s="39" t="inlineStr">
        <is>
          <t>Impact Engine, Singularity University, Start-Up Chile</t>
        </is>
      </c>
      <c r="N656" s="40" t="inlineStr">
        <is>
          <t>Accelerator/Incubator Backed</t>
        </is>
      </c>
      <c r="O656" s="41" t="inlineStr">
        <is>
          <t>Privately Held (backing)</t>
        </is>
      </c>
      <c r="P656" s="42" t="inlineStr">
        <is>
          <t>San Francisco, CA</t>
        </is>
      </c>
      <c r="Q656" s="43" t="inlineStr">
        <is>
          <t>www.totuspower.com</t>
        </is>
      </c>
      <c r="R656" s="114">
        <f>HYPERLINK("https://my.pitchbook.com?c=95254-03", "View company online")</f>
      </c>
    </row>
    <row r="657">
      <c r="A657" s="9" t="inlineStr">
        <is>
          <t>133097-86</t>
        </is>
      </c>
      <c r="B657" s="10" t="inlineStr">
        <is>
          <t>Totum</t>
        </is>
      </c>
      <c r="C657" s="11" t="n">
        <v>0.14712540208380687</v>
      </c>
      <c r="D657" s="12" t="n">
        <v>3.125882145963207</v>
      </c>
      <c r="E657" s="13" t="inlineStr">
        <is>
          <t/>
        </is>
      </c>
      <c r="F657" s="14" t="n">
        <v>53.0</v>
      </c>
      <c r="G657" s="15" t="n">
        <v>455.0</v>
      </c>
      <c r="H657" s="16" t="n">
        <v>3218.0</v>
      </c>
      <c r="I657" s="17" t="inlineStr">
        <is>
          <t/>
        </is>
      </c>
      <c r="J657" s="18" t="inlineStr">
        <is>
          <t/>
        </is>
      </c>
      <c r="K657" s="19" t="inlineStr">
        <is>
          <t>Social/Platform Software</t>
        </is>
      </c>
      <c r="L657" s="20" t="inlineStr">
        <is>
          <t>Provider of a wealth management platform. The company offers an investment and wealth management platform which takes into account human capital factors such as geography, industry, health, family and balance sheet for its portfolio recommendation.</t>
        </is>
      </c>
      <c r="M657" s="21" t="inlineStr">
        <is>
          <t>Ynext Incubator</t>
        </is>
      </c>
      <c r="N657" s="22" t="inlineStr">
        <is>
          <t>Accelerator/Incubator Backed</t>
        </is>
      </c>
      <c r="O657" s="23" t="inlineStr">
        <is>
          <t>Privately Held (backing)</t>
        </is>
      </c>
      <c r="P657" s="24" t="inlineStr">
        <is>
          <t>Beverly Hills, CA</t>
        </is>
      </c>
      <c r="Q657" s="25" t="inlineStr">
        <is>
          <t>www.totumwealth.com</t>
        </is>
      </c>
      <c r="R657" s="113">
        <f>HYPERLINK("https://my.pitchbook.com?c=133097-86", "View company online")</f>
      </c>
    </row>
    <row r="658">
      <c r="A658" s="27" t="inlineStr">
        <is>
          <t>176981-86</t>
        </is>
      </c>
      <c r="B658" s="28" t="inlineStr">
        <is>
          <t>Totokan</t>
        </is>
      </c>
      <c r="C658" s="86">
        <f>HYPERLINK("https://my.pitchbook.com?rrp=176981-86&amp;type=c", "This Company's information is not available to download. Need this Company? Request availability")</f>
      </c>
      <c r="D658" s="30" t="inlineStr">
        <is>
          <t/>
        </is>
      </c>
      <c r="E658" s="31" t="inlineStr">
        <is>
          <t/>
        </is>
      </c>
      <c r="F658" s="32" t="inlineStr">
        <is>
          <t/>
        </is>
      </c>
      <c r="G658" s="33" t="inlineStr">
        <is>
          <t/>
        </is>
      </c>
      <c r="H658" s="34" t="inlineStr">
        <is>
          <t/>
        </is>
      </c>
      <c r="I658" s="35" t="inlineStr">
        <is>
          <t/>
        </is>
      </c>
      <c r="J658" s="36" t="inlineStr">
        <is>
          <t/>
        </is>
      </c>
      <c r="K658" s="37" t="inlineStr">
        <is>
          <t/>
        </is>
      </c>
      <c r="L658" s="38" t="inlineStr">
        <is>
          <t/>
        </is>
      </c>
      <c r="M658" s="39" t="inlineStr">
        <is>
          <t/>
        </is>
      </c>
      <c r="N658" s="40" t="inlineStr">
        <is>
          <t/>
        </is>
      </c>
      <c r="O658" s="41" t="inlineStr">
        <is>
          <t/>
        </is>
      </c>
      <c r="P658" s="42" t="inlineStr">
        <is>
          <t/>
        </is>
      </c>
      <c r="Q658" s="43" t="inlineStr">
        <is>
          <t/>
        </is>
      </c>
      <c r="R658" s="44" t="inlineStr">
        <is>
          <t/>
        </is>
      </c>
    </row>
    <row r="659">
      <c r="A659" s="9" t="inlineStr">
        <is>
          <t>65162-44</t>
        </is>
      </c>
      <c r="B659" s="10" t="inlineStr">
        <is>
          <t>TotallyDot</t>
        </is>
      </c>
      <c r="C659" s="11" t="n">
        <v>-0.03342475311587725</v>
      </c>
      <c r="D659" s="12" t="n">
        <v>31.74348556367716</v>
      </c>
      <c r="E659" s="13" t="inlineStr">
        <is>
          <t/>
        </is>
      </c>
      <c r="F659" s="14" t="n">
        <v>17.0</v>
      </c>
      <c r="G659" s="15" t="n">
        <v>9347.0</v>
      </c>
      <c r="H659" s="16" t="n">
        <v>40532.0</v>
      </c>
      <c r="I659" s="17" t="n">
        <v>4.0</v>
      </c>
      <c r="J659" s="18" t="n">
        <v>0.35</v>
      </c>
      <c r="K659" s="19" t="inlineStr">
        <is>
          <t>Other Commercial Services</t>
        </is>
      </c>
      <c r="L659" s="20" t="inlineStr">
        <is>
          <t>Developer of an online platform that helps users to manage their social media updates and news. The company also allows users to create a board to show all updates, news, photos, videos, marketing campaigns of new products.</t>
        </is>
      </c>
      <c r="M659" s="21" t="inlineStr">
        <is>
          <t>Arjan de Raaf, Bay Area Holding, Bogusia Riebandt, Cezary Wlodarczyk, Digital Content Holding, Individual Investor</t>
        </is>
      </c>
      <c r="N659" s="22" t="inlineStr">
        <is>
          <t>Angel-Backed</t>
        </is>
      </c>
      <c r="O659" s="23" t="inlineStr">
        <is>
          <t>Privately Held (backing)</t>
        </is>
      </c>
      <c r="P659" s="24" t="inlineStr">
        <is>
          <t>Santa Monica, CA</t>
        </is>
      </c>
      <c r="Q659" s="25" t="inlineStr">
        <is>
          <t>www.totallydot.com</t>
        </is>
      </c>
      <c r="R659" s="113">
        <f>HYPERLINK("https://my.pitchbook.com?c=65162-44", "View company online")</f>
      </c>
    </row>
    <row r="660">
      <c r="A660" s="27" t="inlineStr">
        <is>
          <t>95253-04</t>
        </is>
      </c>
      <c r="B660" s="28" t="inlineStr">
        <is>
          <t>Total Communicator Solutions</t>
        </is>
      </c>
      <c r="C660" s="29" t="n">
        <v>0.0818436367904298</v>
      </c>
      <c r="D660" s="30" t="n">
        <v>0.26828438081201533</v>
      </c>
      <c r="E660" s="31" t="inlineStr">
        <is>
          <t/>
        </is>
      </c>
      <c r="F660" s="32" t="inlineStr">
        <is>
          <t/>
        </is>
      </c>
      <c r="G660" s="33" t="n">
        <v>59.0</v>
      </c>
      <c r="H660" s="34" t="n">
        <v>162.0</v>
      </c>
      <c r="I660" s="35" t="inlineStr">
        <is>
          <t/>
        </is>
      </c>
      <c r="J660" s="36" t="n">
        <v>0.84</v>
      </c>
      <c r="K660" s="37" t="inlineStr">
        <is>
          <t>Automation/Workflow Software</t>
        </is>
      </c>
      <c r="L660" s="38" t="inlineStr">
        <is>
          <t>Developer of a communication tool for marketers and sellers to communicate with customers. The company has developed a communication platform, a scalable PaaS (Platform as a Service) that integrates with multiple devices, system and sensors to help marketers, event sponsors, stadium managers, city managers to analyze customer behavior and conduct marketing campaigns and other activities to get customer acquisition.</t>
        </is>
      </c>
      <c r="M660" s="39" t="inlineStr">
        <is>
          <t>Individual Investor</t>
        </is>
      </c>
      <c r="N660" s="40" t="inlineStr">
        <is>
          <t>Angel-Backed</t>
        </is>
      </c>
      <c r="O660" s="41" t="inlineStr">
        <is>
          <t>Privately Held (backing)</t>
        </is>
      </c>
      <c r="P660" s="42" t="inlineStr">
        <is>
          <t>San Diego, CA</t>
        </is>
      </c>
      <c r="Q660" s="43" t="inlineStr">
        <is>
          <t>www.sparkcompass.com</t>
        </is>
      </c>
      <c r="R660" s="114">
        <f>HYPERLINK("https://my.pitchbook.com?c=95253-04", "View company online")</f>
      </c>
    </row>
    <row r="661">
      <c r="A661" s="9" t="inlineStr">
        <is>
          <t>99093-70</t>
        </is>
      </c>
      <c r="B661" s="10" t="inlineStr">
        <is>
          <t>toSense</t>
        </is>
      </c>
      <c r="C661" s="11" t="n">
        <v>0.0</v>
      </c>
      <c r="D661" s="12" t="n">
        <v>0.7837837837837838</v>
      </c>
      <c r="E661" s="13" t="inlineStr">
        <is>
          <t/>
        </is>
      </c>
      <c r="F661" s="14" t="n">
        <v>29.0</v>
      </c>
      <c r="G661" s="15" t="inlineStr">
        <is>
          <t/>
        </is>
      </c>
      <c r="H661" s="16" t="inlineStr">
        <is>
          <t/>
        </is>
      </c>
      <c r="I661" s="17" t="n">
        <v>14.0</v>
      </c>
      <c r="J661" s="18" t="inlineStr">
        <is>
          <t/>
        </is>
      </c>
      <c r="K661" s="19" t="inlineStr">
        <is>
          <t>Electronics (B2C)</t>
        </is>
      </c>
      <c r="L661" s="20" t="inlineStr">
        <is>
          <t>Developer of a wearable health parameter monitoring system. The company develops a system which enables monitoring of thoracic impedance, heart rate, respiration rate, skin temperature and posture for report patient monitoring.</t>
        </is>
      </c>
      <c r="M661" s="21" t="inlineStr">
        <is>
          <t>EvoNexus</t>
        </is>
      </c>
      <c r="N661" s="22" t="inlineStr">
        <is>
          <t>Accelerator/Incubator Backed</t>
        </is>
      </c>
      <c r="O661" s="23" t="inlineStr">
        <is>
          <t>Privately Held (backing)</t>
        </is>
      </c>
      <c r="P661" s="24" t="inlineStr">
        <is>
          <t>San Diego, CA</t>
        </is>
      </c>
      <c r="Q661" s="25" t="inlineStr">
        <is>
          <t>www.tosense.com</t>
        </is>
      </c>
      <c r="R661" s="113">
        <f>HYPERLINK("https://my.pitchbook.com?c=99093-70", "View company online")</f>
      </c>
    </row>
    <row r="662">
      <c r="A662" s="27" t="inlineStr">
        <is>
          <t>119879-38</t>
        </is>
      </c>
      <c r="B662" s="28" t="inlineStr">
        <is>
          <t>Tosca Cafe</t>
        </is>
      </c>
      <c r="C662" s="29" t="n">
        <v>0.04531870464990815</v>
      </c>
      <c r="D662" s="30" t="n">
        <v>1.9332529076081029</v>
      </c>
      <c r="E662" s="31" t="inlineStr">
        <is>
          <t/>
        </is>
      </c>
      <c r="F662" s="32" t="n">
        <v>91.0</v>
      </c>
      <c r="G662" s="33" t="n">
        <v>2135.0</v>
      </c>
      <c r="H662" s="34" t="n">
        <v>56.0</v>
      </c>
      <c r="I662" s="35" t="n">
        <v>7.0</v>
      </c>
      <c r="J662" s="36" t="inlineStr">
        <is>
          <t/>
        </is>
      </c>
      <c r="K662" s="37" t="inlineStr">
        <is>
          <t>Other Restaurants, Hotels and Leisure</t>
        </is>
      </c>
      <c r="L662" s="38" t="inlineStr">
        <is>
          <t>Operator of a cafe and eatery. The company helps in brewing coffee and serves other food products.</t>
        </is>
      </c>
      <c r="M662" s="39" t="inlineStr">
        <is>
          <t>Zachary Nelson</t>
        </is>
      </c>
      <c r="N662" s="40" t="inlineStr">
        <is>
          <t>Angel-Backed</t>
        </is>
      </c>
      <c r="O662" s="41" t="inlineStr">
        <is>
          <t>Privately Held (backing)</t>
        </is>
      </c>
      <c r="P662" s="42" t="inlineStr">
        <is>
          <t>San Francisco, CA</t>
        </is>
      </c>
      <c r="Q662" s="43" t="inlineStr">
        <is>
          <t>www.toscacafesf.com</t>
        </is>
      </c>
      <c r="R662" s="114">
        <f>HYPERLINK("https://my.pitchbook.com?c=119879-38", "View company online")</f>
      </c>
    </row>
    <row r="663">
      <c r="A663" s="9" t="inlineStr">
        <is>
          <t>171385-57</t>
        </is>
      </c>
      <c r="B663" s="10" t="inlineStr">
        <is>
          <t>Torrey Pines Research</t>
        </is>
      </c>
      <c r="C663" s="85">
        <f>HYPERLINK("https://my.pitchbook.com?rrp=171385-57&amp;type=c", "This Company's information is not available to download. Need this Company? Request availability")</f>
      </c>
      <c r="D663" s="12" t="inlineStr">
        <is>
          <t/>
        </is>
      </c>
      <c r="E663" s="13" t="inlineStr">
        <is>
          <t/>
        </is>
      </c>
      <c r="F663" s="14" t="inlineStr">
        <is>
          <t/>
        </is>
      </c>
      <c r="G663" s="15" t="inlineStr">
        <is>
          <t/>
        </is>
      </c>
      <c r="H663" s="16" t="inlineStr">
        <is>
          <t/>
        </is>
      </c>
      <c r="I663" s="17" t="inlineStr">
        <is>
          <t/>
        </is>
      </c>
      <c r="J663" s="18" t="inlineStr">
        <is>
          <t/>
        </is>
      </c>
      <c r="K663" s="19" t="inlineStr">
        <is>
          <t/>
        </is>
      </c>
      <c r="L663" s="20" t="inlineStr">
        <is>
          <t/>
        </is>
      </c>
      <c r="M663" s="21" t="inlineStr">
        <is>
          <t/>
        </is>
      </c>
      <c r="N663" s="22" t="inlineStr">
        <is>
          <t/>
        </is>
      </c>
      <c r="O663" s="23" t="inlineStr">
        <is>
          <t/>
        </is>
      </c>
      <c r="P663" s="24" t="inlineStr">
        <is>
          <t/>
        </is>
      </c>
      <c r="Q663" s="25" t="inlineStr">
        <is>
          <t/>
        </is>
      </c>
      <c r="R663" s="26" t="inlineStr">
        <is>
          <t/>
        </is>
      </c>
    </row>
    <row r="664">
      <c r="A664" s="27" t="inlineStr">
        <is>
          <t>114138-37</t>
        </is>
      </c>
      <c r="B664" s="28" t="inlineStr">
        <is>
          <t>Torex USA</t>
        </is>
      </c>
      <c r="C664" s="29" t="inlineStr">
        <is>
          <t/>
        </is>
      </c>
      <c r="D664" s="30" t="inlineStr">
        <is>
          <t/>
        </is>
      </c>
      <c r="E664" s="31" t="inlineStr">
        <is>
          <t/>
        </is>
      </c>
      <c r="F664" s="32" t="inlineStr">
        <is>
          <t/>
        </is>
      </c>
      <c r="G664" s="33" t="inlineStr">
        <is>
          <t/>
        </is>
      </c>
      <c r="H664" s="34" t="inlineStr">
        <is>
          <t/>
        </is>
      </c>
      <c r="I664" s="35" t="n">
        <v>5.0</v>
      </c>
      <c r="J664" s="36" t="n">
        <v>2.6</v>
      </c>
      <c r="K664" s="37" t="inlineStr">
        <is>
          <t>Other Commercial Products</t>
        </is>
      </c>
      <c r="L664" s="38" t="inlineStr">
        <is>
          <t>Manufacturer of power integrated circuits. The company manufactures integrated circuits for digital music players, game units, digital cameras, laptop computers, and smart phones.</t>
        </is>
      </c>
      <c r="M664" s="39" t="inlineStr">
        <is>
          <t/>
        </is>
      </c>
      <c r="N664" s="40" t="inlineStr">
        <is>
          <t>Angel-Backed</t>
        </is>
      </c>
      <c r="O664" s="41" t="inlineStr">
        <is>
          <t>Privately Held (backing)</t>
        </is>
      </c>
      <c r="P664" s="42" t="inlineStr">
        <is>
          <t>Irvine, CA</t>
        </is>
      </c>
      <c r="Q664" s="43" t="inlineStr">
        <is>
          <t/>
        </is>
      </c>
      <c r="R664" s="114">
        <f>HYPERLINK("https://my.pitchbook.com?c=114138-37", "View company online")</f>
      </c>
    </row>
    <row r="665">
      <c r="A665" s="9" t="inlineStr">
        <is>
          <t>179694-46</t>
        </is>
      </c>
      <c r="B665" s="10" t="inlineStr">
        <is>
          <t>Topology Eyewear</t>
        </is>
      </c>
      <c r="C665" s="85">
        <f>HYPERLINK("https://my.pitchbook.com?rrp=179694-46&amp;type=c", "This Company's information is not available to download. Need this Company? Request availability")</f>
      </c>
      <c r="D665" s="12" t="inlineStr">
        <is>
          <t/>
        </is>
      </c>
      <c r="E665" s="13" t="inlineStr">
        <is>
          <t/>
        </is>
      </c>
      <c r="F665" s="14" t="inlineStr">
        <is>
          <t/>
        </is>
      </c>
      <c r="G665" s="15" t="inlineStr">
        <is>
          <t/>
        </is>
      </c>
      <c r="H665" s="16" t="inlineStr">
        <is>
          <t/>
        </is>
      </c>
      <c r="I665" s="17" t="inlineStr">
        <is>
          <t/>
        </is>
      </c>
      <c r="J665" s="18" t="inlineStr">
        <is>
          <t/>
        </is>
      </c>
      <c r="K665" s="19" t="inlineStr">
        <is>
          <t/>
        </is>
      </c>
      <c r="L665" s="20" t="inlineStr">
        <is>
          <t/>
        </is>
      </c>
      <c r="M665" s="21" t="inlineStr">
        <is>
          <t/>
        </is>
      </c>
      <c r="N665" s="22" t="inlineStr">
        <is>
          <t/>
        </is>
      </c>
      <c r="O665" s="23" t="inlineStr">
        <is>
          <t/>
        </is>
      </c>
      <c r="P665" s="24" t="inlineStr">
        <is>
          <t/>
        </is>
      </c>
      <c r="Q665" s="25" t="inlineStr">
        <is>
          <t/>
        </is>
      </c>
      <c r="R665" s="26" t="inlineStr">
        <is>
          <t/>
        </is>
      </c>
    </row>
    <row r="666">
      <c r="A666" s="27" t="inlineStr">
        <is>
          <t>172860-40</t>
        </is>
      </c>
      <c r="B666" s="28" t="inlineStr">
        <is>
          <t>Top Broker Network</t>
        </is>
      </c>
      <c r="C666" s="86">
        <f>HYPERLINK("https://my.pitchbook.com?rrp=172860-40&amp;type=c", "This Company's information is not available to download. Need this Company? Request availability")</f>
      </c>
      <c r="D666" s="30" t="inlineStr">
        <is>
          <t/>
        </is>
      </c>
      <c r="E666" s="31" t="inlineStr">
        <is>
          <t/>
        </is>
      </c>
      <c r="F666" s="32" t="inlineStr">
        <is>
          <t/>
        </is>
      </c>
      <c r="G666" s="33" t="inlineStr">
        <is>
          <t/>
        </is>
      </c>
      <c r="H666" s="34" t="inlineStr">
        <is>
          <t/>
        </is>
      </c>
      <c r="I666" s="35" t="inlineStr">
        <is>
          <t/>
        </is>
      </c>
      <c r="J666" s="36" t="inlineStr">
        <is>
          <t/>
        </is>
      </c>
      <c r="K666" s="37" t="inlineStr">
        <is>
          <t/>
        </is>
      </c>
      <c r="L666" s="38" t="inlineStr">
        <is>
          <t/>
        </is>
      </c>
      <c r="M666" s="39" t="inlineStr">
        <is>
          <t/>
        </is>
      </c>
      <c r="N666" s="40" t="inlineStr">
        <is>
          <t/>
        </is>
      </c>
      <c r="O666" s="41" t="inlineStr">
        <is>
          <t/>
        </is>
      </c>
      <c r="P666" s="42" t="inlineStr">
        <is>
          <t/>
        </is>
      </c>
      <c r="Q666" s="43" t="inlineStr">
        <is>
          <t/>
        </is>
      </c>
      <c r="R666" s="44" t="inlineStr">
        <is>
          <t/>
        </is>
      </c>
    </row>
    <row r="667">
      <c r="A667" s="9" t="inlineStr">
        <is>
          <t>88325-65</t>
        </is>
      </c>
      <c r="B667" s="10" t="inlineStr">
        <is>
          <t>Top Agent Network</t>
        </is>
      </c>
      <c r="C667" s="85">
        <f>HYPERLINK("https://my.pitchbook.com?rrp=88325-65&amp;type=c", "This Company's information is not available to download. Need this Company? Request availability")</f>
      </c>
      <c r="D667" s="12" t="inlineStr">
        <is>
          <t/>
        </is>
      </c>
      <c r="E667" s="13" t="inlineStr">
        <is>
          <t/>
        </is>
      </c>
      <c r="F667" s="14" t="inlineStr">
        <is>
          <t/>
        </is>
      </c>
      <c r="G667" s="15" t="inlineStr">
        <is>
          <t/>
        </is>
      </c>
      <c r="H667" s="16" t="inlineStr">
        <is>
          <t/>
        </is>
      </c>
      <c r="I667" s="17" t="inlineStr">
        <is>
          <t/>
        </is>
      </c>
      <c r="J667" s="18" t="inlineStr">
        <is>
          <t/>
        </is>
      </c>
      <c r="K667" s="19" t="inlineStr">
        <is>
          <t/>
        </is>
      </c>
      <c r="L667" s="20" t="inlineStr">
        <is>
          <t/>
        </is>
      </c>
      <c r="M667" s="21" t="inlineStr">
        <is>
          <t/>
        </is>
      </c>
      <c r="N667" s="22" t="inlineStr">
        <is>
          <t/>
        </is>
      </c>
      <c r="O667" s="23" t="inlineStr">
        <is>
          <t/>
        </is>
      </c>
      <c r="P667" s="24" t="inlineStr">
        <is>
          <t/>
        </is>
      </c>
      <c r="Q667" s="25" t="inlineStr">
        <is>
          <t/>
        </is>
      </c>
      <c r="R667" s="26" t="inlineStr">
        <is>
          <t/>
        </is>
      </c>
    </row>
    <row r="668">
      <c r="A668" s="27" t="inlineStr">
        <is>
          <t>177231-43</t>
        </is>
      </c>
      <c r="B668" s="28" t="inlineStr">
        <is>
          <t>Top Agent Connection</t>
        </is>
      </c>
      <c r="C668" s="86">
        <f>HYPERLINK("https://my.pitchbook.com?rrp=177231-43&amp;type=c", "This Company's information is not available to download. Need this Company? Request availability")</f>
      </c>
      <c r="D668" s="30" t="inlineStr">
        <is>
          <t/>
        </is>
      </c>
      <c r="E668" s="31" t="inlineStr">
        <is>
          <t/>
        </is>
      </c>
      <c r="F668" s="32" t="inlineStr">
        <is>
          <t/>
        </is>
      </c>
      <c r="G668" s="33" t="inlineStr">
        <is>
          <t/>
        </is>
      </c>
      <c r="H668" s="34" t="inlineStr">
        <is>
          <t/>
        </is>
      </c>
      <c r="I668" s="35" t="inlineStr">
        <is>
          <t/>
        </is>
      </c>
      <c r="J668" s="36" t="inlineStr">
        <is>
          <t/>
        </is>
      </c>
      <c r="K668" s="37" t="inlineStr">
        <is>
          <t/>
        </is>
      </c>
      <c r="L668" s="38" t="inlineStr">
        <is>
          <t/>
        </is>
      </c>
      <c r="M668" s="39" t="inlineStr">
        <is>
          <t/>
        </is>
      </c>
      <c r="N668" s="40" t="inlineStr">
        <is>
          <t/>
        </is>
      </c>
      <c r="O668" s="41" t="inlineStr">
        <is>
          <t/>
        </is>
      </c>
      <c r="P668" s="42" t="inlineStr">
        <is>
          <t/>
        </is>
      </c>
      <c r="Q668" s="43" t="inlineStr">
        <is>
          <t/>
        </is>
      </c>
      <c r="R668" s="44" t="inlineStr">
        <is>
          <t/>
        </is>
      </c>
    </row>
    <row r="669">
      <c r="A669" s="9" t="inlineStr">
        <is>
          <t>161179-84</t>
        </is>
      </c>
      <c r="B669" s="10" t="inlineStr">
        <is>
          <t>Toot App</t>
        </is>
      </c>
      <c r="C669" s="11" t="n">
        <v>-0.029168248384290964</v>
      </c>
      <c r="D669" s="12" t="n">
        <v>1.4606990873387335</v>
      </c>
      <c r="E669" s="13" t="inlineStr">
        <is>
          <t/>
        </is>
      </c>
      <c r="F669" s="14" t="n">
        <v>20.0</v>
      </c>
      <c r="G669" s="15" t="n">
        <v>2062.0</v>
      </c>
      <c r="H669" s="16" t="n">
        <v>779.0</v>
      </c>
      <c r="I669" s="17" t="inlineStr">
        <is>
          <t/>
        </is>
      </c>
      <c r="J669" s="18" t="n">
        <v>0.1</v>
      </c>
      <c r="K669" s="19" t="inlineStr">
        <is>
          <t>Application Software</t>
        </is>
      </c>
      <c r="L669" s="20" t="inlineStr">
        <is>
          <t>Developer of an application to connect students to tutors. The company designs and develops an online learning tool where students can connect with their teachers through a virtual learning platform for the purpose online education.</t>
        </is>
      </c>
      <c r="M669" s="21" t="inlineStr">
        <is>
          <t>Artia Moghbel, August Getty, Chuck Pacheco, Daniel Broukhim, Katherine Gaffney, Kimberly Salzer, Michael Broukhim, Nats Getty, Panoramic Venture Partners, Tobey Maguire</t>
        </is>
      </c>
      <c r="N669" s="22" t="inlineStr">
        <is>
          <t>Angel-Backed</t>
        </is>
      </c>
      <c r="O669" s="23" t="inlineStr">
        <is>
          <t>Privately Held (backing)</t>
        </is>
      </c>
      <c r="P669" s="24" t="inlineStr">
        <is>
          <t>Santa Monica, CA</t>
        </is>
      </c>
      <c r="Q669" s="25" t="inlineStr">
        <is>
          <t>www.tootapp.com</t>
        </is>
      </c>
      <c r="R669" s="113">
        <f>HYPERLINK("https://my.pitchbook.com?c=161179-84", "View company online")</f>
      </c>
    </row>
    <row r="670">
      <c r="A670" s="27" t="inlineStr">
        <is>
          <t>173364-22</t>
        </is>
      </c>
      <c r="B670" s="28" t="inlineStr">
        <is>
          <t>Tooreen Dancer</t>
        </is>
      </c>
      <c r="C670" s="29" t="inlineStr">
        <is>
          <t/>
        </is>
      </c>
      <c r="D670" s="30" t="inlineStr">
        <is>
          <t/>
        </is>
      </c>
      <c r="E670" s="31" t="inlineStr">
        <is>
          <t/>
        </is>
      </c>
      <c r="F670" s="32" t="inlineStr">
        <is>
          <t/>
        </is>
      </c>
      <c r="G670" s="33" t="inlineStr">
        <is>
          <t/>
        </is>
      </c>
      <c r="H670" s="34" t="inlineStr">
        <is>
          <t/>
        </is>
      </c>
      <c r="I670" s="35" t="inlineStr">
        <is>
          <t/>
        </is>
      </c>
      <c r="J670" s="36" t="n">
        <v>0.21</v>
      </c>
      <c r="K670" s="37" t="inlineStr">
        <is>
          <t>Other Business Products and Services</t>
        </is>
      </c>
      <c r="L670" s="38" t="inlineStr">
        <is>
          <t>The company is currently operating in Stealth mode.</t>
        </is>
      </c>
      <c r="M670" s="39" t="inlineStr">
        <is>
          <t/>
        </is>
      </c>
      <c r="N670" s="40" t="inlineStr">
        <is>
          <t>Angel-Backed</t>
        </is>
      </c>
      <c r="O670" s="41" t="inlineStr">
        <is>
          <t>Privately Held (backing)</t>
        </is>
      </c>
      <c r="P670" s="42" t="inlineStr">
        <is>
          <t>Woodland Hills, CA</t>
        </is>
      </c>
      <c r="Q670" s="43" t="inlineStr">
        <is>
          <t/>
        </is>
      </c>
      <c r="R670" s="114">
        <f>HYPERLINK("https://my.pitchbook.com?c=173364-22", "View company online")</f>
      </c>
    </row>
    <row r="671">
      <c r="A671" s="9" t="inlineStr">
        <is>
          <t>156925-63</t>
        </is>
      </c>
      <c r="B671" s="10" t="inlineStr">
        <is>
          <t>Toolow</t>
        </is>
      </c>
      <c r="C671" s="11" t="n">
        <v>-0.0903002485811323</v>
      </c>
      <c r="D671" s="12" t="n">
        <v>0.17502750408056228</v>
      </c>
      <c r="E671" s="13" t="inlineStr">
        <is>
          <t/>
        </is>
      </c>
      <c r="F671" s="14" t="n">
        <v>3.0</v>
      </c>
      <c r="G671" s="15" t="n">
        <v>26.0</v>
      </c>
      <c r="H671" s="16" t="n">
        <v>179.0</v>
      </c>
      <c r="I671" s="17" t="inlineStr">
        <is>
          <t/>
        </is>
      </c>
      <c r="J671" s="18" t="n">
        <v>0.05</v>
      </c>
      <c r="K671" s="19" t="inlineStr">
        <is>
          <t>Application Software</t>
        </is>
      </c>
      <c r="L671" s="20" t="inlineStr">
        <is>
          <t>Provider of a mobile platform to find real time lowest price for hair cuts and hair styling services. The company specializes in providing a reverse auction technology platform where users can find real time lowest price for hair cuts and hair styling services.</t>
        </is>
      </c>
      <c r="M671" s="21" t="inlineStr">
        <is>
          <t/>
        </is>
      </c>
      <c r="N671" s="22" t="inlineStr">
        <is>
          <t>Angel-Backed</t>
        </is>
      </c>
      <c r="O671" s="23" t="inlineStr">
        <is>
          <t>Privately Held (backing)</t>
        </is>
      </c>
      <c r="P671" s="24" t="inlineStr">
        <is>
          <t>Richmond, CA</t>
        </is>
      </c>
      <c r="Q671" s="25" t="inlineStr">
        <is>
          <t>www.toolow.com</t>
        </is>
      </c>
      <c r="R671" s="113">
        <f>HYPERLINK("https://my.pitchbook.com?c=156925-63", "View company online")</f>
      </c>
    </row>
    <row r="672">
      <c r="A672" s="27" t="inlineStr">
        <is>
          <t>169761-16</t>
        </is>
      </c>
      <c r="B672" s="28" t="inlineStr">
        <is>
          <t>ToolBox Genomics</t>
        </is>
      </c>
      <c r="C672" s="29" t="n">
        <v>0.31461593529235843</v>
      </c>
      <c r="D672" s="30" t="n">
        <v>0.5395668960886353</v>
      </c>
      <c r="E672" s="31" t="inlineStr">
        <is>
          <t/>
        </is>
      </c>
      <c r="F672" s="32" t="n">
        <v>30.0</v>
      </c>
      <c r="G672" s="33" t="n">
        <v>215.0</v>
      </c>
      <c r="H672" s="34" t="inlineStr">
        <is>
          <t/>
        </is>
      </c>
      <c r="I672" s="35" t="inlineStr">
        <is>
          <t/>
        </is>
      </c>
      <c r="J672" s="36" t="inlineStr">
        <is>
          <t/>
        </is>
      </c>
      <c r="K672" s="37" t="inlineStr">
        <is>
          <t>Other Services (B2C Non-Financial)</t>
        </is>
      </c>
      <c r="L672" s="38" t="inlineStr">
        <is>
          <t>Provider of gene-based food and lifestyle recommendations designed to build a healthier life. The company's food and lifestyle recommendations based on DNA enables the individuals to reduce risk of chronic conditions.</t>
        </is>
      </c>
      <c r="M672" s="39" t="inlineStr">
        <is>
          <t/>
        </is>
      </c>
      <c r="N672" s="40" t="inlineStr">
        <is>
          <t>Angel-Backed</t>
        </is>
      </c>
      <c r="O672" s="41" t="inlineStr">
        <is>
          <t>Privately Held (backing)</t>
        </is>
      </c>
      <c r="P672" s="42" t="inlineStr">
        <is>
          <t>San Francisco, CA</t>
        </is>
      </c>
      <c r="Q672" s="43" t="inlineStr">
        <is>
          <t>www.toolboxgenomics.com</t>
        </is>
      </c>
      <c r="R672" s="114">
        <f>HYPERLINK("https://my.pitchbook.com?c=169761-16", "View company online")</f>
      </c>
    </row>
    <row r="673">
      <c r="A673" s="9" t="inlineStr">
        <is>
          <t>160966-36</t>
        </is>
      </c>
      <c r="B673" s="10" t="inlineStr">
        <is>
          <t>Took That</t>
        </is>
      </c>
      <c r="C673" s="11" t="inlineStr">
        <is>
          <t/>
        </is>
      </c>
      <c r="D673" s="12" t="inlineStr">
        <is>
          <t/>
        </is>
      </c>
      <c r="E673" s="13" t="inlineStr">
        <is>
          <t/>
        </is>
      </c>
      <c r="F673" s="14" t="inlineStr">
        <is>
          <t/>
        </is>
      </c>
      <c r="G673" s="15" t="inlineStr">
        <is>
          <t/>
        </is>
      </c>
      <c r="H673" s="16" t="inlineStr">
        <is>
          <t/>
        </is>
      </c>
      <c r="I673" s="17" t="inlineStr">
        <is>
          <t/>
        </is>
      </c>
      <c r="J673" s="18" t="inlineStr">
        <is>
          <t/>
        </is>
      </c>
      <c r="K673" s="19" t="inlineStr">
        <is>
          <t>Social/Platform Software</t>
        </is>
      </c>
      <c r="L673" s="20" t="inlineStr">
        <is>
          <t>Developer of an mobile application for sharing photos.The company's application allows users to upload, view and download digital photos and compress video images into downloadable media.</t>
        </is>
      </c>
      <c r="M673" s="21" t="inlineStr">
        <is>
          <t/>
        </is>
      </c>
      <c r="N673" s="22" t="inlineStr">
        <is>
          <t>Angel-Backed</t>
        </is>
      </c>
      <c r="O673" s="23" t="inlineStr">
        <is>
          <t>Privately Held (backing)</t>
        </is>
      </c>
      <c r="P673" s="24" t="inlineStr">
        <is>
          <t>Riverbank, CA</t>
        </is>
      </c>
      <c r="Q673" s="25" t="inlineStr">
        <is>
          <t>www.tookthat.com</t>
        </is>
      </c>
      <c r="R673" s="113">
        <f>HYPERLINK("https://my.pitchbook.com?c=160966-36", "View company online")</f>
      </c>
    </row>
    <row r="674">
      <c r="A674" s="27" t="inlineStr">
        <is>
          <t>170839-27</t>
        </is>
      </c>
      <c r="B674" s="28" t="inlineStr">
        <is>
          <t>ToobPlus</t>
        </is>
      </c>
      <c r="C674" s="29" t="n">
        <v>-0.04414074278800887</v>
      </c>
      <c r="D674" s="30" t="n">
        <v>3.268641933859325</v>
      </c>
      <c r="E674" s="31" t="inlineStr">
        <is>
          <t/>
        </is>
      </c>
      <c r="F674" s="32" t="n">
        <v>2.0</v>
      </c>
      <c r="G674" s="33" t="n">
        <v>5223.0</v>
      </c>
      <c r="H674" s="34" t="inlineStr">
        <is>
          <t/>
        </is>
      </c>
      <c r="I674" s="35" t="inlineStr">
        <is>
          <t/>
        </is>
      </c>
      <c r="J674" s="36" t="inlineStr">
        <is>
          <t/>
        </is>
      </c>
      <c r="K674" s="37" t="inlineStr">
        <is>
          <t>Business/Productivity Software</t>
        </is>
      </c>
      <c r="L674" s="38" t="inlineStr">
        <is>
          <t>Provider of a digital membership service intended to increase revenue of businesses. The company's digital membership service, Flutter has a tablet touch interface at the counter which gives point accumulated coupons on revisiting the store, enabling store owners to increase their revenue stream.</t>
        </is>
      </c>
      <c r="M674" s="39" t="inlineStr">
        <is>
          <t>KIC Europe</t>
        </is>
      </c>
      <c r="N674" s="40" t="inlineStr">
        <is>
          <t>Accelerator/Incubator Backed</t>
        </is>
      </c>
      <c r="O674" s="41" t="inlineStr">
        <is>
          <t>Privately Held (backing)</t>
        </is>
      </c>
      <c r="P674" s="42" t="inlineStr">
        <is>
          <t>Seoul, South Korea</t>
        </is>
      </c>
      <c r="Q674" s="43" t="inlineStr">
        <is>
          <t>www.toobplus.com</t>
        </is>
      </c>
      <c r="R674" s="114">
        <f>HYPERLINK("https://my.pitchbook.com?c=170839-27", "View company online")</f>
      </c>
    </row>
    <row r="675">
      <c r="A675" s="9" t="inlineStr">
        <is>
          <t>117890-20</t>
        </is>
      </c>
      <c r="B675" s="10" t="inlineStr">
        <is>
          <t>Tonkean</t>
        </is>
      </c>
      <c r="C675" s="11" t="n">
        <v>0.661758551741784</v>
      </c>
      <c r="D675" s="12" t="n">
        <v>2.3828771449626274</v>
      </c>
      <c r="E675" s="13" t="inlineStr">
        <is>
          <t/>
        </is>
      </c>
      <c r="F675" s="14" t="inlineStr">
        <is>
          <t/>
        </is>
      </c>
      <c r="G675" s="15" t="n">
        <v>171.0</v>
      </c>
      <c r="H675" s="16" t="n">
        <v>1610.0</v>
      </c>
      <c r="I675" s="17" t="n">
        <v>4.0</v>
      </c>
      <c r="J675" s="18" t="n">
        <v>2.46</v>
      </c>
      <c r="K675" s="19" t="inlineStr">
        <is>
          <t>Social/Platform Software</t>
        </is>
      </c>
      <c r="L675" s="20" t="inlineStr">
        <is>
          <t>Developer of a business intelligence software platform designed to manage the real progress and ongoing status of the project. The company's business intelligence software platform automatically gathers the real progress and ongoing status of the projects and thereby enables managers and leaders to find the problems in the organization which prevents the organization from achieving its goals and make appropriate decisions.</t>
        </is>
      </c>
      <c r="M675" s="21" t="inlineStr">
        <is>
          <t>Kevin Mahaffey, Microsoft Accelerator</t>
        </is>
      </c>
      <c r="N675" s="22" t="inlineStr">
        <is>
          <t>Angel-Backed</t>
        </is>
      </c>
      <c r="O675" s="23" t="inlineStr">
        <is>
          <t>Privately Held (backing)</t>
        </is>
      </c>
      <c r="P675" s="24" t="inlineStr">
        <is>
          <t>Tel Aviv, Israel</t>
        </is>
      </c>
      <c r="Q675" s="25" t="inlineStr">
        <is>
          <t>www.tonkean.com</t>
        </is>
      </c>
      <c r="R675" s="113">
        <f>HYPERLINK("https://my.pitchbook.com?c=117890-20", "View company online")</f>
      </c>
    </row>
    <row r="676">
      <c r="A676" s="27" t="inlineStr">
        <is>
          <t>94387-87</t>
        </is>
      </c>
      <c r="B676" s="28" t="inlineStr">
        <is>
          <t>ToneDen</t>
        </is>
      </c>
      <c r="C676" s="29" t="n">
        <v>0.40976226486901995</v>
      </c>
      <c r="D676" s="30" t="n">
        <v>44.45534665099883</v>
      </c>
      <c r="E676" s="31" t="inlineStr">
        <is>
          <t/>
        </is>
      </c>
      <c r="F676" s="32" t="n">
        <v>1782.0</v>
      </c>
      <c r="G676" s="33" t="n">
        <v>32578.0</v>
      </c>
      <c r="H676" s="34" t="inlineStr">
        <is>
          <t/>
        </is>
      </c>
      <c r="I676" s="35" t="n">
        <v>3.0</v>
      </c>
      <c r="J676" s="36" t="n">
        <v>1.0</v>
      </c>
      <c r="K676" s="37" t="inlineStr">
        <is>
          <t>Social/Platform Software</t>
        </is>
      </c>
      <c r="L676" s="38" t="inlineStr">
        <is>
          <t>Developer of a connecting platform between artists and fans. The company connects artists directly to their fans online and helps artists to get their music heard and get connected to the music industry.</t>
        </is>
      </c>
      <c r="M676" s="39" t="inlineStr">
        <is>
          <t>StartX, Third Wave Digital</t>
        </is>
      </c>
      <c r="N676" s="40" t="inlineStr">
        <is>
          <t>Accelerator/Incubator Backed</t>
        </is>
      </c>
      <c r="O676" s="41" t="inlineStr">
        <is>
          <t>Privately Held (backing)</t>
        </is>
      </c>
      <c r="P676" s="42" t="inlineStr">
        <is>
          <t>Berkeley, CA</t>
        </is>
      </c>
      <c r="Q676" s="43" t="inlineStr">
        <is>
          <t>www.toneden.io</t>
        </is>
      </c>
      <c r="R676" s="114">
        <f>HYPERLINK("https://my.pitchbook.com?c=94387-87", "View company online")</f>
      </c>
    </row>
    <row r="677">
      <c r="A677" s="9" t="inlineStr">
        <is>
          <t>103226-41</t>
        </is>
      </c>
      <c r="B677" s="10" t="inlineStr">
        <is>
          <t>Tomobox</t>
        </is>
      </c>
      <c r="C677" s="11" t="n">
        <v>0.6111727177954431</v>
      </c>
      <c r="D677" s="12" t="n">
        <v>7.926553672316384</v>
      </c>
      <c r="E677" s="13" t="inlineStr">
        <is>
          <t/>
        </is>
      </c>
      <c r="F677" s="14" t="n">
        <v>3.0</v>
      </c>
      <c r="G677" s="15" t="inlineStr">
        <is>
          <t/>
        </is>
      </c>
      <c r="H677" s="16" t="n">
        <v>2794.0</v>
      </c>
      <c r="I677" s="17" t="inlineStr">
        <is>
          <t/>
        </is>
      </c>
      <c r="J677" s="18" t="n">
        <v>1.39</v>
      </c>
      <c r="K677" s="19" t="inlineStr">
        <is>
          <t>Media and Information Services (B2B)</t>
        </is>
      </c>
      <c r="L677" s="20" t="inlineStr">
        <is>
          <t>Developer of a cloud based service platform designed to provide real time insights in mobile messaging applications. The company's cloud based service platform utilizes machine learning, bots and big data to createa bridge betweenadvertisers and messaging platforms bringing young users and leading brands closer together providing for a highly targeted audience for brands.</t>
        </is>
      </c>
      <c r="M677" s="21" t="inlineStr">
        <is>
          <t>Connetic Ventures, Founders Group (angel group), Nielsen Innovate, The Junction</t>
        </is>
      </c>
      <c r="N677" s="22" t="inlineStr">
        <is>
          <t>Accelerator/Incubator Backed</t>
        </is>
      </c>
      <c r="O677" s="23" t="inlineStr">
        <is>
          <t>Privately Held (backing)</t>
        </is>
      </c>
      <c r="P677" s="24" t="inlineStr">
        <is>
          <t>Tel Aviv, Israel</t>
        </is>
      </c>
      <c r="Q677" s="25" t="inlineStr">
        <is>
          <t>www.tomobox.co</t>
        </is>
      </c>
      <c r="R677" s="113">
        <f>HYPERLINK("https://my.pitchbook.com?c=103226-41", "View company online")</f>
      </c>
    </row>
    <row r="678">
      <c r="A678" s="27" t="inlineStr">
        <is>
          <t>166950-73</t>
        </is>
      </c>
      <c r="B678" s="28" t="inlineStr">
        <is>
          <t>Tombo</t>
        </is>
      </c>
      <c r="C678" s="29" t="n">
        <v>0.0</v>
      </c>
      <c r="D678" s="30" t="n">
        <v>0.03389830508474576</v>
      </c>
      <c r="E678" s="31" t="inlineStr">
        <is>
          <t/>
        </is>
      </c>
      <c r="F678" s="32" t="inlineStr">
        <is>
          <t/>
        </is>
      </c>
      <c r="G678" s="33" t="inlineStr">
        <is>
          <t/>
        </is>
      </c>
      <c r="H678" s="34" t="n">
        <v>12.0</v>
      </c>
      <c r="I678" s="35" t="inlineStr">
        <is>
          <t/>
        </is>
      </c>
      <c r="J678" s="36" t="inlineStr">
        <is>
          <t/>
        </is>
      </c>
      <c r="K678" s="37" t="inlineStr">
        <is>
          <t>Application Software</t>
        </is>
      </c>
      <c r="L678" s="38" t="inlineStr">
        <is>
          <t>Provider of a mobile Web application development platform. The company specializes in providing a platform for mobileand Web application and browser development.</t>
        </is>
      </c>
      <c r="M678" s="39" t="inlineStr">
        <is>
          <t>StartX</t>
        </is>
      </c>
      <c r="N678" s="40" t="inlineStr">
        <is>
          <t>Accelerator/Incubator Backed</t>
        </is>
      </c>
      <c r="O678" s="41" t="inlineStr">
        <is>
          <t>Privately Held (backing)</t>
        </is>
      </c>
      <c r="P678" s="42" t="inlineStr">
        <is>
          <t>San Francisco, CA</t>
        </is>
      </c>
      <c r="Q678" s="43" t="inlineStr">
        <is>
          <t>tombo.io</t>
        </is>
      </c>
      <c r="R678" s="114">
        <f>HYPERLINK("https://my.pitchbook.com?c=166950-73", "View company online")</f>
      </c>
    </row>
    <row r="679">
      <c r="A679" s="9" t="inlineStr">
        <is>
          <t>113584-51</t>
        </is>
      </c>
      <c r="B679" s="10" t="inlineStr">
        <is>
          <t>Toky</t>
        </is>
      </c>
      <c r="C679" s="11" t="n">
        <v>0.16625303668584698</v>
      </c>
      <c r="D679" s="12" t="n">
        <v>0.9145094694652542</v>
      </c>
      <c r="E679" s="13" t="inlineStr">
        <is>
          <t/>
        </is>
      </c>
      <c r="F679" s="14" t="n">
        <v>9.0</v>
      </c>
      <c r="G679" s="15" t="n">
        <v>1570.0</v>
      </c>
      <c r="H679" s="16" t="n">
        <v>428.0</v>
      </c>
      <c r="I679" s="17" t="n">
        <v>8.0</v>
      </c>
      <c r="J679" s="18" t="n">
        <v>0.04</v>
      </c>
      <c r="K679" s="19" t="inlineStr">
        <is>
          <t>Application Software</t>
        </is>
      </c>
      <c r="L679" s="20" t="inlineStr">
        <is>
          <t>Developer of a mobile application designed to receive calls from website, social profiles and telephones. The company's mobile application offers social authentication and contextual calling to improve the response time enables businesses to communicate with its customers on the web browser using WebRTC and it offers a click to call button widget to capture website visitors.</t>
        </is>
      </c>
      <c r="M679" s="21" t="inlineStr">
        <is>
          <t>Wayra Mexico</t>
        </is>
      </c>
      <c r="N679" s="22" t="inlineStr">
        <is>
          <t>Accelerator/Incubator Backed</t>
        </is>
      </c>
      <c r="O679" s="23" t="inlineStr">
        <is>
          <t>Privately Held (backing)</t>
        </is>
      </c>
      <c r="P679" s="24" t="inlineStr">
        <is>
          <t>Mexico City, Mexico</t>
        </is>
      </c>
      <c r="Q679" s="25" t="inlineStr">
        <is>
          <t>www.toky.co</t>
        </is>
      </c>
      <c r="R679" s="113">
        <f>HYPERLINK("https://my.pitchbook.com?c=113584-51", "View company online")</f>
      </c>
    </row>
    <row r="680">
      <c r="A680" s="27" t="inlineStr">
        <is>
          <t>118855-81</t>
        </is>
      </c>
      <c r="B680" s="28" t="inlineStr">
        <is>
          <t>Tokenly</t>
        </is>
      </c>
      <c r="C680" s="29" t="n">
        <v>0.0</v>
      </c>
      <c r="D680" s="30" t="n">
        <v>0.49533322142017794</v>
      </c>
      <c r="E680" s="31" t="inlineStr">
        <is>
          <t/>
        </is>
      </c>
      <c r="F680" s="32" t="n">
        <v>35.0</v>
      </c>
      <c r="G680" s="33" t="n">
        <v>36.0</v>
      </c>
      <c r="H680" s="34" t="inlineStr">
        <is>
          <t/>
        </is>
      </c>
      <c r="I680" s="35" t="inlineStr">
        <is>
          <t/>
        </is>
      </c>
      <c r="J680" s="36" t="n">
        <v>0.47</v>
      </c>
      <c r="K680" s="37" t="inlineStr">
        <is>
          <t>Other Financial Services</t>
        </is>
      </c>
      <c r="L680" s="38" t="inlineStr">
        <is>
          <t>Provider of cryptographic tokens created to help companies implement blockchain features and functionality. The company's cryptographic and bit-coin based tokens which can be gifted and traded digitally in place of actual currency enabling companies to ensure transaction fraud prevention.</t>
        </is>
      </c>
      <c r="M680" s="39" t="inlineStr">
        <is>
          <t/>
        </is>
      </c>
      <c r="N680" s="40" t="inlineStr">
        <is>
          <t>Angel-Backed</t>
        </is>
      </c>
      <c r="O680" s="41" t="inlineStr">
        <is>
          <t>Privately Held (backing)</t>
        </is>
      </c>
      <c r="P680" s="42" t="inlineStr">
        <is>
          <t>Napa, CA</t>
        </is>
      </c>
      <c r="Q680" s="43" t="inlineStr">
        <is>
          <t>www.tokenly.com</t>
        </is>
      </c>
      <c r="R680" s="114">
        <f>HYPERLINK("https://my.pitchbook.com?c=118855-81", "View company online")</f>
      </c>
    </row>
    <row r="681">
      <c r="A681" s="9" t="inlineStr">
        <is>
          <t>157416-85</t>
        </is>
      </c>
      <c r="B681" s="10" t="inlineStr">
        <is>
          <t>Token Transit</t>
        </is>
      </c>
      <c r="C681" s="11" t="n">
        <v>0.0</v>
      </c>
      <c r="D681" s="12" t="n">
        <v>0.11677018633540373</v>
      </c>
      <c r="E681" s="13" t="inlineStr">
        <is>
          <t/>
        </is>
      </c>
      <c r="F681" s="14" t="inlineStr">
        <is>
          <t/>
        </is>
      </c>
      <c r="G681" s="15" t="n">
        <v>93.0</v>
      </c>
      <c r="H681" s="16" t="inlineStr">
        <is>
          <t/>
        </is>
      </c>
      <c r="I681" s="17" t="inlineStr">
        <is>
          <t/>
        </is>
      </c>
      <c r="J681" s="18" t="n">
        <v>0.12</v>
      </c>
      <c r="K681" s="19" t="inlineStr">
        <is>
          <t>Application Software</t>
        </is>
      </c>
      <c r="L681" s="20" t="inlineStr">
        <is>
          <t>Provider of a mobile ticket booking application intended to help riders pay for transit via a mobile application. The company's mobile ticket booking application helps the users to pay for transit through credit card and use bus passes with their smart phone enabling them easily pay for public transit so that they can most efficiently reach their destination.</t>
        </is>
      </c>
      <c r="M681" s="21" t="inlineStr">
        <is>
          <t>Y Combinator</t>
        </is>
      </c>
      <c r="N681" s="22" t="inlineStr">
        <is>
          <t>Accelerator/Incubator Backed</t>
        </is>
      </c>
      <c r="O681" s="23" t="inlineStr">
        <is>
          <t>Privately Held (backing)</t>
        </is>
      </c>
      <c r="P681" s="24" t="inlineStr">
        <is>
          <t>San Francisco, CA</t>
        </is>
      </c>
      <c r="Q681" s="25" t="inlineStr">
        <is>
          <t>www.tokentransit.com</t>
        </is>
      </c>
      <c r="R681" s="113">
        <f>HYPERLINK("https://my.pitchbook.com?c=157416-85", "View company online")</f>
      </c>
    </row>
    <row r="682">
      <c r="A682" s="27" t="inlineStr">
        <is>
          <t>100119-52</t>
        </is>
      </c>
      <c r="B682" s="28" t="inlineStr">
        <is>
          <t>Toggle</t>
        </is>
      </c>
      <c r="C682" s="29" t="n">
        <v>0.0</v>
      </c>
      <c r="D682" s="30" t="n">
        <v>0.1647961520842877</v>
      </c>
      <c r="E682" s="31" t="inlineStr">
        <is>
          <t/>
        </is>
      </c>
      <c r="F682" s="32" t="n">
        <v>10.0</v>
      </c>
      <c r="G682" s="33" t="inlineStr">
        <is>
          <t/>
        </is>
      </c>
      <c r="H682" s="34" t="n">
        <v>21.0</v>
      </c>
      <c r="I682" s="35" t="n">
        <v>3.0</v>
      </c>
      <c r="J682" s="36" t="inlineStr">
        <is>
          <t/>
        </is>
      </c>
      <c r="K682" s="37" t="inlineStr">
        <is>
          <t>Electronics (B2C)</t>
        </is>
      </c>
      <c r="L682" s="38" t="inlineStr">
        <is>
          <t>Manufacturer of Wi-Fi-enabled dongle. The company provides custom dongles that stream content and host other applications side-by-side and the dongle plugs into a television’s HDMI port and allows users to stream content from cloud accounts.</t>
        </is>
      </c>
      <c r="M682" s="39" t="inlineStr">
        <is>
          <t>Media Camp</t>
        </is>
      </c>
      <c r="N682" s="40" t="inlineStr">
        <is>
          <t>Accelerator/Incubator Backed</t>
        </is>
      </c>
      <c r="O682" s="41" t="inlineStr">
        <is>
          <t>Privately Held (backing)</t>
        </is>
      </c>
      <c r="P682" s="42" t="inlineStr">
        <is>
          <t>Los Angeles, CA</t>
        </is>
      </c>
      <c r="Q682" s="43" t="inlineStr">
        <is>
          <t>www.toggletv.com</t>
        </is>
      </c>
      <c r="R682" s="114">
        <f>HYPERLINK("https://my.pitchbook.com?c=100119-52", "View company online")</f>
      </c>
    </row>
    <row r="683">
      <c r="A683" s="9" t="inlineStr">
        <is>
          <t>170862-58</t>
        </is>
      </c>
      <c r="B683" s="10" t="inlineStr">
        <is>
          <t>Togg</t>
        </is>
      </c>
      <c r="C683" s="11" t="n">
        <v>0.0</v>
      </c>
      <c r="D683" s="12" t="n">
        <v>0.02702702702702703</v>
      </c>
      <c r="E683" s="13" t="inlineStr">
        <is>
          <t/>
        </is>
      </c>
      <c r="F683" s="14" t="n">
        <v>1.0</v>
      </c>
      <c r="G683" s="15" t="inlineStr">
        <is>
          <t/>
        </is>
      </c>
      <c r="H683" s="16" t="inlineStr">
        <is>
          <t/>
        </is>
      </c>
      <c r="I683" s="17" t="inlineStr">
        <is>
          <t/>
        </is>
      </c>
      <c r="J683" s="18" t="inlineStr">
        <is>
          <t/>
        </is>
      </c>
      <c r="K683" s="19" t="inlineStr">
        <is>
          <t>Social/Platform Software</t>
        </is>
      </c>
      <c r="L683" s="20" t="inlineStr">
        <is>
          <t>Provider of a platform intended to build smart home for their clients. The company offers a sensor powered AI-based platform that helps real estate developers to build smart home by using existing technologies enabling the builders get profit from the growing demand for home automation.</t>
        </is>
      </c>
      <c r="M683" s="21" t="inlineStr">
        <is>
          <t>Unshackled Ventures</t>
        </is>
      </c>
      <c r="N683" s="22" t="inlineStr">
        <is>
          <t>Accelerator/Incubator Backed</t>
        </is>
      </c>
      <c r="O683" s="23" t="inlineStr">
        <is>
          <t>Privately Held (backing)</t>
        </is>
      </c>
      <c r="P683" s="24" t="inlineStr">
        <is>
          <t>Palo Alto, CA</t>
        </is>
      </c>
      <c r="Q683" s="25" t="inlineStr">
        <is>
          <t>www.togg.co</t>
        </is>
      </c>
      <c r="R683" s="113">
        <f>HYPERLINK("https://my.pitchbook.com?c=170862-58", "View company online")</f>
      </c>
    </row>
    <row r="684">
      <c r="A684" s="27" t="inlineStr">
        <is>
          <t>103226-32</t>
        </is>
      </c>
      <c r="B684" s="28" t="inlineStr">
        <is>
          <t>Togally</t>
        </is>
      </c>
      <c r="C684" s="29" t="n">
        <v>-0.03937624353073099</v>
      </c>
      <c r="D684" s="30" t="n">
        <v>1.1937292118942822</v>
      </c>
      <c r="E684" s="31" t="inlineStr">
        <is>
          <t/>
        </is>
      </c>
      <c r="F684" s="32" t="n">
        <v>9.0</v>
      </c>
      <c r="G684" s="33" t="n">
        <v>1351.0</v>
      </c>
      <c r="H684" s="34" t="n">
        <v>924.0</v>
      </c>
      <c r="I684" s="35" t="inlineStr">
        <is>
          <t/>
        </is>
      </c>
      <c r="J684" s="36" t="n">
        <v>0.3</v>
      </c>
      <c r="K684" s="37" t="inlineStr">
        <is>
          <t>Application Software</t>
        </is>
      </c>
      <c r="L684" s="38" t="inlineStr">
        <is>
          <t>Developer of a photographer booking platform. The company develops an online platform that enables users to find and book professional photographers.</t>
        </is>
      </c>
      <c r="M684" s="39" t="inlineStr">
        <is>
          <t>Connect Springboard San Diego, Keiretsu Forum, Mike Markovitz</t>
        </is>
      </c>
      <c r="N684" s="40" t="inlineStr">
        <is>
          <t>Accelerator/Incubator Backed</t>
        </is>
      </c>
      <c r="O684" s="41" t="inlineStr">
        <is>
          <t>Privately Held (backing)</t>
        </is>
      </c>
      <c r="P684" s="42" t="inlineStr">
        <is>
          <t>San Diego, CA</t>
        </is>
      </c>
      <c r="Q684" s="43" t="inlineStr">
        <is>
          <t>www.togally.com</t>
        </is>
      </c>
      <c r="R684" s="114">
        <f>HYPERLINK("https://my.pitchbook.com?c=103226-32", "View company online")</f>
      </c>
    </row>
    <row r="685">
      <c r="A685" s="9" t="inlineStr">
        <is>
          <t>121369-60</t>
        </is>
      </c>
      <c r="B685" s="10" t="inlineStr">
        <is>
          <t>Toga</t>
        </is>
      </c>
      <c r="C685" s="85">
        <f>HYPERLINK("https://my.pitchbook.com?rrp=121369-60&amp;type=c", "This Company's information is not available to download. Need this Company? Request availability")</f>
      </c>
      <c r="D685" s="12" t="inlineStr">
        <is>
          <t/>
        </is>
      </c>
      <c r="E685" s="13" t="inlineStr">
        <is>
          <t/>
        </is>
      </c>
      <c r="F685" s="14" t="inlineStr">
        <is>
          <t/>
        </is>
      </c>
      <c r="G685" s="15" t="inlineStr">
        <is>
          <t/>
        </is>
      </c>
      <c r="H685" s="16" t="inlineStr">
        <is>
          <t/>
        </is>
      </c>
      <c r="I685" s="17" t="inlineStr">
        <is>
          <t/>
        </is>
      </c>
      <c r="J685" s="18" t="inlineStr">
        <is>
          <t/>
        </is>
      </c>
      <c r="K685" s="19" t="inlineStr">
        <is>
          <t/>
        </is>
      </c>
      <c r="L685" s="20" t="inlineStr">
        <is>
          <t/>
        </is>
      </c>
      <c r="M685" s="21" t="inlineStr">
        <is>
          <t/>
        </is>
      </c>
      <c r="N685" s="22" t="inlineStr">
        <is>
          <t/>
        </is>
      </c>
      <c r="O685" s="23" t="inlineStr">
        <is>
          <t/>
        </is>
      </c>
      <c r="P685" s="24" t="inlineStr">
        <is>
          <t/>
        </is>
      </c>
      <c r="Q685" s="25" t="inlineStr">
        <is>
          <t/>
        </is>
      </c>
      <c r="R685" s="26" t="inlineStr">
        <is>
          <t/>
        </is>
      </c>
    </row>
    <row r="686">
      <c r="A686" s="27" t="inlineStr">
        <is>
          <t>148713-76</t>
        </is>
      </c>
      <c r="B686" s="28" t="inlineStr">
        <is>
          <t>To The Stars</t>
        </is>
      </c>
      <c r="C686" s="29" t="n">
        <v>0.5407758628369312</v>
      </c>
      <c r="D686" s="30" t="n">
        <v>17.946361044168707</v>
      </c>
      <c r="E686" s="31" t="inlineStr">
        <is>
          <t/>
        </is>
      </c>
      <c r="F686" s="32" t="n">
        <v>23.0</v>
      </c>
      <c r="G686" s="33" t="n">
        <v>21698.0</v>
      </c>
      <c r="H686" s="34" t="n">
        <v>15333.0</v>
      </c>
      <c r="I686" s="35" t="inlineStr">
        <is>
          <t/>
        </is>
      </c>
      <c r="J686" s="36" t="inlineStr">
        <is>
          <t/>
        </is>
      </c>
      <c r="K686" s="37" t="inlineStr">
        <is>
          <t>Media and Information Services (B2B)</t>
        </is>
      </c>
      <c r="L686" s="38" t="inlineStr">
        <is>
          <t>Operator of an independent production company. The company is engaged into investment, management and creative development of films, music and arts using creative business strategies.</t>
        </is>
      </c>
      <c r="M686" s="39" t="inlineStr">
        <is>
          <t>Really Likeable People</t>
        </is>
      </c>
      <c r="N686" s="40" t="inlineStr">
        <is>
          <t>Angel-Backed</t>
        </is>
      </c>
      <c r="O686" s="41" t="inlineStr">
        <is>
          <t>Privately Held (backing)</t>
        </is>
      </c>
      <c r="P686" s="42" t="inlineStr">
        <is>
          <t>Encinitas, CA</t>
        </is>
      </c>
      <c r="Q686" s="43" t="inlineStr">
        <is>
          <t>www.tothestars.media</t>
        </is>
      </c>
      <c r="R686" s="114">
        <f>HYPERLINK("https://my.pitchbook.com?c=148713-76", "View company online")</f>
      </c>
    </row>
    <row r="687">
      <c r="A687" s="9" t="inlineStr">
        <is>
          <t>56961-64</t>
        </is>
      </c>
      <c r="B687" s="10" t="inlineStr">
        <is>
          <t>TixTrack</t>
        </is>
      </c>
      <c r="C687" s="11" t="n">
        <v>0.0</v>
      </c>
      <c r="D687" s="12" t="n">
        <v>0.19262482821804858</v>
      </c>
      <c r="E687" s="13" t="inlineStr">
        <is>
          <t/>
        </is>
      </c>
      <c r="F687" s="14" t="n">
        <v>13.0</v>
      </c>
      <c r="G687" s="15" t="inlineStr">
        <is>
          <t/>
        </is>
      </c>
      <c r="H687" s="16" t="n">
        <v>12.0</v>
      </c>
      <c r="I687" s="17" t="n">
        <v>11.0</v>
      </c>
      <c r="J687" s="18" t="n">
        <v>0.5</v>
      </c>
      <c r="K687" s="19" t="inlineStr">
        <is>
          <t>Application Software</t>
        </is>
      </c>
      <c r="L687" s="20" t="inlineStr">
        <is>
          <t>Provider of software as a service to venues, promoters and teams in the sports and entertainment industry. The company offers web-based software tools which allow their clients to track ticket inventory, optimize ticket pricing and ticket sales and understand ticket demand.</t>
        </is>
      </c>
      <c r="M687" s="21" t="inlineStr">
        <is>
          <t/>
        </is>
      </c>
      <c r="N687" s="22" t="inlineStr">
        <is>
          <t>Angel-Backed</t>
        </is>
      </c>
      <c r="O687" s="23" t="inlineStr">
        <is>
          <t>Privately Held (backing)</t>
        </is>
      </c>
      <c r="P687" s="24" t="inlineStr">
        <is>
          <t>Santa Monica, CA</t>
        </is>
      </c>
      <c r="Q687" s="25" t="inlineStr">
        <is>
          <t>www.tixtrack.com</t>
        </is>
      </c>
      <c r="R687" s="113">
        <f>HYPERLINK("https://my.pitchbook.com?c=56961-64", "View company online")</f>
      </c>
    </row>
    <row r="688">
      <c r="A688" s="27" t="inlineStr">
        <is>
          <t>92954-44</t>
        </is>
      </c>
      <c r="B688" s="28" t="inlineStr">
        <is>
          <t>TixAlert</t>
        </is>
      </c>
      <c r="C688" s="29" t="n">
        <v>0.01932859943687514</v>
      </c>
      <c r="D688" s="30" t="n">
        <v>2.3773269874780563</v>
      </c>
      <c r="E688" s="31" t="inlineStr">
        <is>
          <t/>
        </is>
      </c>
      <c r="F688" s="32" t="n">
        <v>7.0</v>
      </c>
      <c r="G688" s="33" t="n">
        <v>850.0</v>
      </c>
      <c r="H688" s="34" t="n">
        <v>2856.0</v>
      </c>
      <c r="I688" s="35" t="inlineStr">
        <is>
          <t/>
        </is>
      </c>
      <c r="J688" s="36" t="n">
        <v>0.1</v>
      </c>
      <c r="K688" s="37" t="inlineStr">
        <is>
          <t>Application Software</t>
        </is>
      </c>
      <c r="L688" s="38" t="inlineStr">
        <is>
          <t>Developer of an application software for alerts and notification. The company develops an application software which helps users with alerts and notification for car parking and allows to see parking zones and the rules for parking zones.</t>
        </is>
      </c>
      <c r="M688" s="39" t="inlineStr">
        <is>
          <t>Roberto Rende</t>
        </is>
      </c>
      <c r="N688" s="40" t="inlineStr">
        <is>
          <t>Angel-Backed</t>
        </is>
      </c>
      <c r="O688" s="41" t="inlineStr">
        <is>
          <t>Privately Held (backing)</t>
        </is>
      </c>
      <c r="P688" s="42" t="inlineStr">
        <is>
          <t>San Diego, CA</t>
        </is>
      </c>
      <c r="Q688" s="43" t="inlineStr">
        <is>
          <t>www.tixalert.mobi</t>
        </is>
      </c>
      <c r="R688" s="114">
        <f>HYPERLINK("https://my.pitchbook.com?c=92954-44", "View company online")</f>
      </c>
    </row>
    <row r="689">
      <c r="A689" s="9" t="inlineStr">
        <is>
          <t>95460-13</t>
        </is>
      </c>
      <c r="B689" s="10" t="inlineStr">
        <is>
          <t>Tivix</t>
        </is>
      </c>
      <c r="C689" s="11" t="n">
        <v>0.08504332998300944</v>
      </c>
      <c r="D689" s="12" t="n">
        <v>4.126493542705775</v>
      </c>
      <c r="E689" s="13" t="inlineStr">
        <is>
          <t/>
        </is>
      </c>
      <c r="F689" s="14" t="n">
        <v>243.0</v>
      </c>
      <c r="G689" s="15" t="n">
        <v>816.0</v>
      </c>
      <c r="H689" s="16" t="n">
        <v>830.0</v>
      </c>
      <c r="I689" s="17" t="n">
        <v>35.0</v>
      </c>
      <c r="J689" s="18" t="n">
        <v>0.99</v>
      </c>
      <c r="K689" s="19" t="inlineStr">
        <is>
          <t>Media and Information Services (B2B)</t>
        </is>
      </c>
      <c r="L689" s="20" t="inlineStr">
        <is>
          <t>Provider of consulting and development services to global brands and local startups. The company offers a suite of social media applications to businesses for marketing and advertising purposes.</t>
        </is>
      </c>
      <c r="M689" s="21" t="inlineStr">
        <is>
          <t/>
        </is>
      </c>
      <c r="N689" s="22" t="inlineStr">
        <is>
          <t>Angel-Backed</t>
        </is>
      </c>
      <c r="O689" s="23" t="inlineStr">
        <is>
          <t>Privately Held (backing)</t>
        </is>
      </c>
      <c r="P689" s="24" t="inlineStr">
        <is>
          <t>San Francisco, CA</t>
        </is>
      </c>
      <c r="Q689" s="25" t="inlineStr">
        <is>
          <t>www.tivix.com</t>
        </is>
      </c>
      <c r="R689" s="113">
        <f>HYPERLINK("https://my.pitchbook.com?c=95460-13", "View company online")</f>
      </c>
    </row>
    <row r="690">
      <c r="A690" s="27" t="inlineStr">
        <is>
          <t>180775-45</t>
        </is>
      </c>
      <c r="B690" s="28" t="inlineStr">
        <is>
          <t>Tivic Health Systems</t>
        </is>
      </c>
      <c r="C690" s="86">
        <f>HYPERLINK("https://my.pitchbook.com?rrp=180775-45&amp;type=c", "This Company's information is not available to download. Need this Company? Request availability")</f>
      </c>
      <c r="D690" s="30" t="inlineStr">
        <is>
          <t/>
        </is>
      </c>
      <c r="E690" s="31" t="inlineStr">
        <is>
          <t/>
        </is>
      </c>
      <c r="F690" s="32" t="inlineStr">
        <is>
          <t/>
        </is>
      </c>
      <c r="G690" s="33" t="inlineStr">
        <is>
          <t/>
        </is>
      </c>
      <c r="H690" s="34" t="inlineStr">
        <is>
          <t/>
        </is>
      </c>
      <c r="I690" s="35" t="inlineStr">
        <is>
          <t/>
        </is>
      </c>
      <c r="J690" s="36" t="inlineStr">
        <is>
          <t/>
        </is>
      </c>
      <c r="K690" s="37" t="inlineStr">
        <is>
          <t/>
        </is>
      </c>
      <c r="L690" s="38" t="inlineStr">
        <is>
          <t/>
        </is>
      </c>
      <c r="M690" s="39" t="inlineStr">
        <is>
          <t/>
        </is>
      </c>
      <c r="N690" s="40" t="inlineStr">
        <is>
          <t/>
        </is>
      </c>
      <c r="O690" s="41" t="inlineStr">
        <is>
          <t/>
        </is>
      </c>
      <c r="P690" s="42" t="inlineStr">
        <is>
          <t/>
        </is>
      </c>
      <c r="Q690" s="43" t="inlineStr">
        <is>
          <t/>
        </is>
      </c>
      <c r="R690" s="44" t="inlineStr">
        <is>
          <t/>
        </is>
      </c>
    </row>
    <row r="691">
      <c r="A691" s="9" t="inlineStr">
        <is>
          <t>131357-98</t>
        </is>
      </c>
      <c r="B691" s="10" t="inlineStr">
        <is>
          <t>Titanium Falcon</t>
        </is>
      </c>
      <c r="C691" s="11" t="n">
        <v>0.011177624038673423</v>
      </c>
      <c r="D691" s="12" t="n">
        <v>0.6355791600633164</v>
      </c>
      <c r="E691" s="13" t="inlineStr">
        <is>
          <t/>
        </is>
      </c>
      <c r="F691" s="14" t="n">
        <v>14.0</v>
      </c>
      <c r="G691" s="15" t="n">
        <v>1094.0</v>
      </c>
      <c r="H691" s="16" t="n">
        <v>151.0</v>
      </c>
      <c r="I691" s="17" t="inlineStr">
        <is>
          <t/>
        </is>
      </c>
      <c r="J691" s="18" t="n">
        <v>0.35</v>
      </c>
      <c r="K691" s="19" t="inlineStr">
        <is>
          <t>Electronics (B2C)</t>
        </is>
      </c>
      <c r="L691" s="20" t="inlineStr">
        <is>
          <t>Developer of a motion-based controlling device designed to control gesture recognition in smart devices. The company's motion-based controlling device is a 9-axis motion controller for the digital universe including mobile VR/AR, smart phones, tablets and smart homes, enabling users to control apps, navigate and play games with VR/AR headsets by moving a finger in the air.</t>
        </is>
      </c>
      <c r="M691" s="21" t="inlineStr">
        <is>
          <t>Plug and Play Tech Center</t>
        </is>
      </c>
      <c r="N691" s="22" t="inlineStr">
        <is>
          <t>Angel-Backed</t>
        </is>
      </c>
      <c r="O691" s="23" t="inlineStr">
        <is>
          <t>Privately Held (backing)</t>
        </is>
      </c>
      <c r="P691" s="24" t="inlineStr">
        <is>
          <t>Mountain View, CA</t>
        </is>
      </c>
      <c r="Q691" s="25" t="inlineStr">
        <is>
          <t>www.titaniumfalcon.com</t>
        </is>
      </c>
      <c r="R691" s="113">
        <f>HYPERLINK("https://my.pitchbook.com?c=131357-98", "View company online")</f>
      </c>
    </row>
    <row r="692">
      <c r="A692" s="27" t="inlineStr">
        <is>
          <t>99213-40</t>
        </is>
      </c>
      <c r="B692" s="28" t="inlineStr">
        <is>
          <t>Titan Oil Recovery</t>
        </is>
      </c>
      <c r="C692" s="29" t="n">
        <v>0.0</v>
      </c>
      <c r="D692" s="30" t="n">
        <v>0.5153768675507806</v>
      </c>
      <c r="E692" s="31" t="inlineStr">
        <is>
          <t/>
        </is>
      </c>
      <c r="F692" s="32" t="n">
        <v>38.0</v>
      </c>
      <c r="G692" s="33" t="n">
        <v>3.0</v>
      </c>
      <c r="H692" s="34" t="inlineStr">
        <is>
          <t/>
        </is>
      </c>
      <c r="I692" s="35" t="n">
        <v>13.0</v>
      </c>
      <c r="J692" s="36" t="inlineStr">
        <is>
          <t/>
        </is>
      </c>
      <c r="K692" s="37" t="inlineStr">
        <is>
          <t>Other Commercial Services</t>
        </is>
      </c>
      <c r="L692" s="38" t="inlineStr">
        <is>
          <t>Provider of oil recovery services. The company's technology applies the proprietary Titan Process, state-of-the-art organic oil recovery method for extracting oil from existing oil fields.</t>
        </is>
      </c>
      <c r="M692" s="39" t="inlineStr">
        <is>
          <t>Houston Technology Center</t>
        </is>
      </c>
      <c r="N692" s="40" t="inlineStr">
        <is>
          <t>Accelerator/Incubator Backed</t>
        </is>
      </c>
      <c r="O692" s="41" t="inlineStr">
        <is>
          <t>Privately Held (backing)</t>
        </is>
      </c>
      <c r="P692" s="42" t="inlineStr">
        <is>
          <t>Beverly Hills, CA</t>
        </is>
      </c>
      <c r="Q692" s="43" t="inlineStr">
        <is>
          <t>www.titanoilrecovery.com</t>
        </is>
      </c>
      <c r="R692" s="114">
        <f>HYPERLINK("https://my.pitchbook.com?c=99213-40", "View company online")</f>
      </c>
    </row>
    <row r="693">
      <c r="A693" s="9" t="inlineStr">
        <is>
          <t>166262-86</t>
        </is>
      </c>
      <c r="B693" s="10" t="inlineStr">
        <is>
          <t>Tipsy Elves</t>
        </is>
      </c>
      <c r="C693" s="11" t="n">
        <v>-0.24608347162078598</v>
      </c>
      <c r="D693" s="12" t="n">
        <v>141.8838112167331</v>
      </c>
      <c r="E693" s="13" t="inlineStr">
        <is>
          <t/>
        </is>
      </c>
      <c r="F693" s="14" t="n">
        <v>2087.0</v>
      </c>
      <c r="G693" s="15" t="n">
        <v>346053.0</v>
      </c>
      <c r="H693" s="16" t="n">
        <v>7933.0</v>
      </c>
      <c r="I693" s="17" t="inlineStr">
        <is>
          <t/>
        </is>
      </c>
      <c r="J693" s="18" t="n">
        <v>0.1</v>
      </c>
      <c r="K693" s="19" t="inlineStr">
        <is>
          <t>Clothing</t>
        </is>
      </c>
      <c r="L693" s="20" t="inlineStr">
        <is>
          <t>Owner and operator of a holiday-themed apparel company. The company sells its holiday sweaters and other holiday-themed items through its website and other online vendors</t>
        </is>
      </c>
      <c r="M693" s="21" t="inlineStr">
        <is>
          <t>Robert Herjavec</t>
        </is>
      </c>
      <c r="N693" s="22" t="inlineStr">
        <is>
          <t>Angel-Backed</t>
        </is>
      </c>
      <c r="O693" s="23" t="inlineStr">
        <is>
          <t>Privately Held (backing)</t>
        </is>
      </c>
      <c r="P693" s="24" t="inlineStr">
        <is>
          <t>San Diego, CA</t>
        </is>
      </c>
      <c r="Q693" s="25" t="inlineStr">
        <is>
          <t>www.tipsyelves.com</t>
        </is>
      </c>
      <c r="R693" s="113">
        <f>HYPERLINK("https://my.pitchbook.com?c=166262-86", "View company online")</f>
      </c>
    </row>
    <row r="694">
      <c r="A694" s="27" t="inlineStr">
        <is>
          <t>92937-52</t>
        </is>
      </c>
      <c r="B694" s="28" t="inlineStr">
        <is>
          <t>Tip Network</t>
        </is>
      </c>
      <c r="C694" s="29" t="n">
        <v>-0.028365241409837053</v>
      </c>
      <c r="D694" s="30" t="n">
        <v>0.48683005038937244</v>
      </c>
      <c r="E694" s="31" t="inlineStr">
        <is>
          <t/>
        </is>
      </c>
      <c r="F694" s="32" t="n">
        <v>9.0</v>
      </c>
      <c r="G694" s="33" t="inlineStr">
        <is>
          <t/>
        </is>
      </c>
      <c r="H694" s="34" t="n">
        <v>249.0</v>
      </c>
      <c r="I694" s="35" t="n">
        <v>3.0</v>
      </c>
      <c r="J694" s="36" t="inlineStr">
        <is>
          <t/>
        </is>
      </c>
      <c r="K694" s="37" t="inlineStr">
        <is>
          <t>Other Software</t>
        </is>
      </c>
      <c r="L694" s="38" t="inlineStr">
        <is>
          <t>Developer of a platform to help restaurants track, manage and distribute tips digitally to employees. The company provides services for restaurants and their staff to track and report the day-to-day activities.</t>
        </is>
      </c>
      <c r="M694" s="39" t="inlineStr">
        <is>
          <t>Chris Sang, Plug and Play Tech Center</t>
        </is>
      </c>
      <c r="N694" s="40" t="inlineStr">
        <is>
          <t>Accelerator/Incubator Backed</t>
        </is>
      </c>
      <c r="O694" s="41" t="inlineStr">
        <is>
          <t>Privately Held (backing)</t>
        </is>
      </c>
      <c r="P694" s="42" t="inlineStr">
        <is>
          <t>San Diego, CA</t>
        </is>
      </c>
      <c r="Q694" s="43" t="inlineStr">
        <is>
          <t>www.tipnetwork.com</t>
        </is>
      </c>
      <c r="R694" s="114">
        <f>HYPERLINK("https://my.pitchbook.com?c=92937-52", "View company online")</f>
      </c>
    </row>
    <row r="695">
      <c r="A695" s="9" t="inlineStr">
        <is>
          <t>84779-47</t>
        </is>
      </c>
      <c r="B695" s="10" t="inlineStr">
        <is>
          <t>Tinyview</t>
        </is>
      </c>
      <c r="C695" s="11" t="n">
        <v>-0.024696679841080982</v>
      </c>
      <c r="D695" s="12" t="n">
        <v>3.6958013598396797</v>
      </c>
      <c r="E695" s="13" t="inlineStr">
        <is>
          <t/>
        </is>
      </c>
      <c r="F695" s="14" t="n">
        <v>9.0</v>
      </c>
      <c r="G695" s="15" t="n">
        <v>9345.0</v>
      </c>
      <c r="H695" s="16" t="n">
        <v>951.0</v>
      </c>
      <c r="I695" s="17" t="inlineStr">
        <is>
          <t/>
        </is>
      </c>
      <c r="J695" s="18" t="n">
        <v>0.78</v>
      </c>
      <c r="K695" s="19" t="inlineStr">
        <is>
          <t>Movies, Music and Entertainment</t>
        </is>
      </c>
      <c r="L695" s="20" t="inlineStr">
        <is>
          <t>Developer of a mobile and web-based application to enable social discovery of applications, games, music and books. The company provides a platform which enables users to redeem unused gift cards, credit card points, and frequent flyer miles for digital goods such as games, music, books, movies, and TV shows. Its application, Bitcovery, enables its users to find movies, books and songs of their choices.</t>
        </is>
      </c>
      <c r="M695" s="21" t="inlineStr">
        <is>
          <t>Bobby Yazdani, Individual Investor, Plug and Play Tech Center, Signatures Capital, Tandem Capital</t>
        </is>
      </c>
      <c r="N695" s="22" t="inlineStr">
        <is>
          <t>Accelerator/Incubator Backed</t>
        </is>
      </c>
      <c r="O695" s="23" t="inlineStr">
        <is>
          <t>Privately Held (backing)</t>
        </is>
      </c>
      <c r="P695" s="24" t="inlineStr">
        <is>
          <t>Sunnyvale, CA</t>
        </is>
      </c>
      <c r="Q695" s="25" t="inlineStr">
        <is>
          <t>www.bitcovery.com</t>
        </is>
      </c>
      <c r="R695" s="113">
        <f>HYPERLINK("https://my.pitchbook.com?c=84779-47", "View company online")</f>
      </c>
    </row>
    <row r="696">
      <c r="A696" s="27" t="inlineStr">
        <is>
          <t>115406-20</t>
        </is>
      </c>
      <c r="B696" s="28" t="inlineStr">
        <is>
          <t>TinyKicks</t>
        </is>
      </c>
      <c r="C696" s="29" t="n">
        <v>-0.024868419657108915</v>
      </c>
      <c r="D696" s="30" t="n">
        <v>0.28979352022830285</v>
      </c>
      <c r="E696" s="31" t="inlineStr">
        <is>
          <t/>
        </is>
      </c>
      <c r="F696" s="32" t="n">
        <v>10.0</v>
      </c>
      <c r="G696" s="33" t="n">
        <v>249.0</v>
      </c>
      <c r="H696" s="34" t="inlineStr">
        <is>
          <t/>
        </is>
      </c>
      <c r="I696" s="35" t="inlineStr">
        <is>
          <t/>
        </is>
      </c>
      <c r="J696" s="36" t="n">
        <v>0.72</v>
      </c>
      <c r="K696" s="37" t="inlineStr">
        <is>
          <t>Other Healthcare Technology Systems</t>
        </is>
      </c>
      <c r="L696" s="38" t="inlineStr">
        <is>
          <t>Provider of a fetal activity monitoring wearable device. The company's system informs about the fetal movement to predict and guide healthy pregnancy outcomes.</t>
        </is>
      </c>
      <c r="M696" s="39" t="inlineStr">
        <is>
          <t>BioAccel, EvoNexus, Tech Coast Angels</t>
        </is>
      </c>
      <c r="N696" s="40" t="inlineStr">
        <is>
          <t>Angel-Backed</t>
        </is>
      </c>
      <c r="O696" s="41" t="inlineStr">
        <is>
          <t>Privately Held (backing)</t>
        </is>
      </c>
      <c r="P696" s="42" t="inlineStr">
        <is>
          <t>Irvine, CA</t>
        </is>
      </c>
      <c r="Q696" s="43" t="inlineStr">
        <is>
          <t>www.tinykicks.com</t>
        </is>
      </c>
      <c r="R696" s="114">
        <f>HYPERLINK("https://my.pitchbook.com?c=115406-20", "View company online")</f>
      </c>
    </row>
    <row r="697">
      <c r="A697" s="9" t="inlineStr">
        <is>
          <t>102713-77</t>
        </is>
      </c>
      <c r="B697" s="10" t="inlineStr">
        <is>
          <t>Tiny Farms</t>
        </is>
      </c>
      <c r="C697" s="11" t="n">
        <v>0.2954732165345364</v>
      </c>
      <c r="D697" s="12" t="n">
        <v>5.4889240356263205</v>
      </c>
      <c r="E697" s="13" t="inlineStr">
        <is>
          <t/>
        </is>
      </c>
      <c r="F697" s="14" t="n">
        <v>251.0</v>
      </c>
      <c r="G697" s="15" t="n">
        <v>1612.0</v>
      </c>
      <c r="H697" s="16" t="n">
        <v>2254.0</v>
      </c>
      <c r="I697" s="17" t="n">
        <v>5.0</v>
      </c>
      <c r="J697" s="18" t="inlineStr">
        <is>
          <t/>
        </is>
      </c>
      <c r="K697" s="19" t="inlineStr">
        <is>
          <t>Cultivation</t>
        </is>
      </c>
      <c r="L697" s="20" t="inlineStr">
        <is>
          <t>Provider of a platform for the production of edible insects. The company is focused on the design and development of cricket rearing equipment and processes to develop crickets as an agricultural product for human consumption.</t>
        </is>
      </c>
      <c r="M697" s="21" t="inlineStr">
        <is>
          <t>Arielle Zuckerburg, Drew Fink, Investors' Circle, Mark Gillespie, Trey Shelton</t>
        </is>
      </c>
      <c r="N697" s="22" t="inlineStr">
        <is>
          <t>Angel-Backed</t>
        </is>
      </c>
      <c r="O697" s="23" t="inlineStr">
        <is>
          <t>Privately Held (backing)</t>
        </is>
      </c>
      <c r="P697" s="24" t="inlineStr">
        <is>
          <t>San Leandro, CA</t>
        </is>
      </c>
      <c r="Q697" s="25" t="inlineStr">
        <is>
          <t>www.tiny-farms.com</t>
        </is>
      </c>
      <c r="R697" s="113">
        <f>HYPERLINK("https://my.pitchbook.com?c=102713-77", "View company online")</f>
      </c>
    </row>
    <row r="698">
      <c r="A698" s="27" t="inlineStr">
        <is>
          <t>126491-32</t>
        </is>
      </c>
      <c r="B698" s="28" t="inlineStr">
        <is>
          <t>Tinoro</t>
        </is>
      </c>
      <c r="C698" s="29" t="inlineStr">
        <is>
          <t/>
        </is>
      </c>
      <c r="D698" s="30" t="inlineStr">
        <is>
          <t/>
        </is>
      </c>
      <c r="E698" s="31" t="inlineStr">
        <is>
          <t/>
        </is>
      </c>
      <c r="F698" s="32" t="inlineStr">
        <is>
          <t/>
        </is>
      </c>
      <c r="G698" s="33" t="inlineStr">
        <is>
          <t/>
        </is>
      </c>
      <c r="H698" s="34" t="inlineStr">
        <is>
          <t/>
        </is>
      </c>
      <c r="I698" s="35" t="inlineStr">
        <is>
          <t/>
        </is>
      </c>
      <c r="J698" s="36" t="inlineStr">
        <is>
          <t/>
        </is>
      </c>
      <c r="K698" s="37" t="inlineStr">
        <is>
          <t>Biotechnology</t>
        </is>
      </c>
      <c r="L698" s="38" t="inlineStr">
        <is>
          <t>Owner and operator of a biotechnology company. The company engages in the designing and manufacturing of technologies and devices for the medical and research industries.</t>
        </is>
      </c>
      <c r="M698" s="39" t="inlineStr">
        <is>
          <t>Analytics Ventures, Bio, Tech and Beyond</t>
        </is>
      </c>
      <c r="N698" s="40" t="inlineStr">
        <is>
          <t>Accelerator/Incubator Backed</t>
        </is>
      </c>
      <c r="O698" s="41" t="inlineStr">
        <is>
          <t>Privately Held (backing)</t>
        </is>
      </c>
      <c r="P698" s="42" t="inlineStr">
        <is>
          <t>Carlsbad, CA</t>
        </is>
      </c>
      <c r="Q698" s="43" t="inlineStr">
        <is>
          <t>www.tinoro.com</t>
        </is>
      </c>
      <c r="R698" s="114">
        <f>HYPERLINK("https://my.pitchbook.com?c=126491-32", "View company online")</f>
      </c>
    </row>
    <row r="699">
      <c r="A699" s="9" t="inlineStr">
        <is>
          <t>171378-01</t>
        </is>
      </c>
      <c r="B699" s="10" t="inlineStr">
        <is>
          <t>Tino IQ</t>
        </is>
      </c>
      <c r="C699" s="85">
        <f>HYPERLINK("https://my.pitchbook.com?rrp=171378-01&amp;type=c", "This Company's information is not available to download. Need this Company? Request availability")</f>
      </c>
      <c r="D699" s="12" t="inlineStr">
        <is>
          <t/>
        </is>
      </c>
      <c r="E699" s="13" t="inlineStr">
        <is>
          <t/>
        </is>
      </c>
      <c r="F699" s="14" t="inlineStr">
        <is>
          <t/>
        </is>
      </c>
      <c r="G699" s="15" t="inlineStr">
        <is>
          <t/>
        </is>
      </c>
      <c r="H699" s="16" t="inlineStr">
        <is>
          <t/>
        </is>
      </c>
      <c r="I699" s="17" t="inlineStr">
        <is>
          <t/>
        </is>
      </c>
      <c r="J699" s="18" t="inlineStr">
        <is>
          <t/>
        </is>
      </c>
      <c r="K699" s="19" t="inlineStr">
        <is>
          <t/>
        </is>
      </c>
      <c r="L699" s="20" t="inlineStr">
        <is>
          <t/>
        </is>
      </c>
      <c r="M699" s="21" t="inlineStr">
        <is>
          <t/>
        </is>
      </c>
      <c r="N699" s="22" t="inlineStr">
        <is>
          <t/>
        </is>
      </c>
      <c r="O699" s="23" t="inlineStr">
        <is>
          <t/>
        </is>
      </c>
      <c r="P699" s="24" t="inlineStr">
        <is>
          <t/>
        </is>
      </c>
      <c r="Q699" s="25" t="inlineStr">
        <is>
          <t/>
        </is>
      </c>
      <c r="R699" s="26" t="inlineStr">
        <is>
          <t/>
        </is>
      </c>
    </row>
    <row r="700">
      <c r="A700" s="27" t="inlineStr">
        <is>
          <t>118806-04</t>
        </is>
      </c>
      <c r="B700" s="28" t="inlineStr">
        <is>
          <t>Tinkering Labs</t>
        </is>
      </c>
      <c r="C700" s="29" t="n">
        <v>0.6202330475620702</v>
      </c>
      <c r="D700" s="30" t="n">
        <v>1.4739665341728716</v>
      </c>
      <c r="E700" s="31" t="inlineStr">
        <is>
          <t/>
        </is>
      </c>
      <c r="F700" s="32" t="n">
        <v>51.0</v>
      </c>
      <c r="G700" s="33" t="n">
        <v>1103.0</v>
      </c>
      <c r="H700" s="34" t="n">
        <v>616.0</v>
      </c>
      <c r="I700" s="35" t="n">
        <v>6.0</v>
      </c>
      <c r="J700" s="36" t="n">
        <v>0.06</v>
      </c>
      <c r="K700" s="37" t="inlineStr">
        <is>
          <t>Other Consumer Durables</t>
        </is>
      </c>
      <c r="L700" s="38" t="inlineStr">
        <is>
          <t>Designer of tool for kids to increase their innovation. The company produces various tools such as gear motor, led lights, copper tape that helps kids to build anything and thus provide them an access to skills, knowledge and confidence.</t>
        </is>
      </c>
      <c r="M700" s="39" t="inlineStr">
        <is>
          <t>Skydeck | Berkeley</t>
        </is>
      </c>
      <c r="N700" s="40" t="inlineStr">
        <is>
          <t>Accelerator/Incubator Backed</t>
        </is>
      </c>
      <c r="O700" s="41" t="inlineStr">
        <is>
          <t>Privately Held (backing)</t>
        </is>
      </c>
      <c r="P700" s="42" t="inlineStr">
        <is>
          <t>San Francisco, CA</t>
        </is>
      </c>
      <c r="Q700" s="43" t="inlineStr">
        <is>
          <t>www.tinkeringlabs.com</t>
        </is>
      </c>
      <c r="R700" s="114">
        <f>HYPERLINK("https://my.pitchbook.com?c=118806-04", "View company online")</f>
      </c>
    </row>
    <row r="701">
      <c r="A701" s="9" t="inlineStr">
        <is>
          <t>98844-31</t>
        </is>
      </c>
      <c r="B701" s="10" t="inlineStr">
        <is>
          <t>Tinj</t>
        </is>
      </c>
      <c r="C701" s="11" t="n">
        <v>0.0</v>
      </c>
      <c r="D701" s="12" t="n">
        <v>0.035952527956949476</v>
      </c>
      <c r="E701" s="13" t="inlineStr">
        <is>
          <t/>
        </is>
      </c>
      <c r="F701" s="14" t="n">
        <v>2.0</v>
      </c>
      <c r="G701" s="15" t="n">
        <v>6.0</v>
      </c>
      <c r="H701" s="16" t="n">
        <v>10.0</v>
      </c>
      <c r="I701" s="17" t="n">
        <v>2.0</v>
      </c>
      <c r="J701" s="18" t="inlineStr">
        <is>
          <t/>
        </is>
      </c>
      <c r="K701" s="19" t="inlineStr">
        <is>
          <t>Social/Platform Software</t>
        </is>
      </c>
      <c r="L701" s="20" t="inlineStr">
        <is>
          <t>Provider of a mobile video feedback platform. The company's software helps video producers understand their viewers by enabling them to draw curv ratings for how they felt over time.</t>
        </is>
      </c>
      <c r="M701" s="21" t="inlineStr">
        <is>
          <t>Runway Incubator, Startup Leadership</t>
        </is>
      </c>
      <c r="N701" s="22" t="inlineStr">
        <is>
          <t>Accelerator/Incubator Backed</t>
        </is>
      </c>
      <c r="O701" s="23" t="inlineStr">
        <is>
          <t>Privately Held (backing)</t>
        </is>
      </c>
      <c r="P701" s="24" t="inlineStr">
        <is>
          <t>San Francisco, CA</t>
        </is>
      </c>
      <c r="Q701" s="25" t="inlineStr">
        <is>
          <t>www.tinj.com</t>
        </is>
      </c>
      <c r="R701" s="113">
        <f>HYPERLINK("https://my.pitchbook.com?c=98844-31", "View company online")</f>
      </c>
    </row>
    <row r="702">
      <c r="A702" s="27" t="inlineStr">
        <is>
          <t>180664-12</t>
        </is>
      </c>
      <c r="B702" s="28" t="inlineStr">
        <is>
          <t>Tine Health</t>
        </is>
      </c>
      <c r="C702" s="86">
        <f>HYPERLINK("https://my.pitchbook.com?rrp=180664-12&amp;type=c", "This Company's information is not available to download. Need this Company? Request availability")</f>
      </c>
      <c r="D702" s="30" t="inlineStr">
        <is>
          <t/>
        </is>
      </c>
      <c r="E702" s="31" t="inlineStr">
        <is>
          <t/>
        </is>
      </c>
      <c r="F702" s="32" t="inlineStr">
        <is>
          <t/>
        </is>
      </c>
      <c r="G702" s="33" t="inlineStr">
        <is>
          <t/>
        </is>
      </c>
      <c r="H702" s="34" t="inlineStr">
        <is>
          <t/>
        </is>
      </c>
      <c r="I702" s="35" t="inlineStr">
        <is>
          <t/>
        </is>
      </c>
      <c r="J702" s="36" t="inlineStr">
        <is>
          <t/>
        </is>
      </c>
      <c r="K702" s="37" t="inlineStr">
        <is>
          <t/>
        </is>
      </c>
      <c r="L702" s="38" t="inlineStr">
        <is>
          <t/>
        </is>
      </c>
      <c r="M702" s="39" t="inlineStr">
        <is>
          <t/>
        </is>
      </c>
      <c r="N702" s="40" t="inlineStr">
        <is>
          <t/>
        </is>
      </c>
      <c r="O702" s="41" t="inlineStr">
        <is>
          <t/>
        </is>
      </c>
      <c r="P702" s="42" t="inlineStr">
        <is>
          <t/>
        </is>
      </c>
      <c r="Q702" s="43" t="inlineStr">
        <is>
          <t/>
        </is>
      </c>
      <c r="R702" s="44" t="inlineStr">
        <is>
          <t/>
        </is>
      </c>
    </row>
    <row r="703">
      <c r="A703" s="9" t="inlineStr">
        <is>
          <t>113468-32</t>
        </is>
      </c>
      <c r="B703" s="10" t="inlineStr">
        <is>
          <t>TimePlace</t>
        </is>
      </c>
      <c r="C703" s="85">
        <f>HYPERLINK("https://my.pitchbook.com?rrp=113468-32&amp;type=c", "This Company's information is not available to download. Need this Company? Request availability")</f>
      </c>
      <c r="D703" s="12" t="inlineStr">
        <is>
          <t/>
        </is>
      </c>
      <c r="E703" s="13" t="inlineStr">
        <is>
          <t/>
        </is>
      </c>
      <c r="F703" s="14" t="inlineStr">
        <is>
          <t/>
        </is>
      </c>
      <c r="G703" s="15" t="inlineStr">
        <is>
          <t/>
        </is>
      </c>
      <c r="H703" s="16" t="inlineStr">
        <is>
          <t/>
        </is>
      </c>
      <c r="I703" s="17" t="inlineStr">
        <is>
          <t/>
        </is>
      </c>
      <c r="J703" s="18" t="inlineStr">
        <is>
          <t/>
        </is>
      </c>
      <c r="K703" s="19" t="inlineStr">
        <is>
          <t/>
        </is>
      </c>
      <c r="L703" s="20" t="inlineStr">
        <is>
          <t/>
        </is>
      </c>
      <c r="M703" s="21" t="inlineStr">
        <is>
          <t/>
        </is>
      </c>
      <c r="N703" s="22" t="inlineStr">
        <is>
          <t/>
        </is>
      </c>
      <c r="O703" s="23" t="inlineStr">
        <is>
          <t/>
        </is>
      </c>
      <c r="P703" s="24" t="inlineStr">
        <is>
          <t/>
        </is>
      </c>
      <c r="Q703" s="25" t="inlineStr">
        <is>
          <t/>
        </is>
      </c>
      <c r="R703" s="26" t="inlineStr">
        <is>
          <t/>
        </is>
      </c>
    </row>
    <row r="704">
      <c r="A704" s="27" t="inlineStr">
        <is>
          <t>118326-70</t>
        </is>
      </c>
      <c r="B704" s="28" t="inlineStr">
        <is>
          <t>Timejoy</t>
        </is>
      </c>
      <c r="C704" s="29" t="n">
        <v>-0.021216658014023053</v>
      </c>
      <c r="D704" s="30" t="n">
        <v>0.6695484778388241</v>
      </c>
      <c r="E704" s="31" t="inlineStr">
        <is>
          <t/>
        </is>
      </c>
      <c r="F704" s="32" t="n">
        <v>5.0</v>
      </c>
      <c r="G704" s="33" t="n">
        <v>624.0</v>
      </c>
      <c r="H704" s="34" t="n">
        <v>578.0</v>
      </c>
      <c r="I704" s="35" t="n">
        <v>3.0</v>
      </c>
      <c r="J704" s="36" t="n">
        <v>0.07</v>
      </c>
      <c r="K704" s="37" t="inlineStr">
        <is>
          <t>Application Software</t>
        </is>
      </c>
      <c r="L704" s="38" t="inlineStr">
        <is>
          <t>Provider of a scheduling and productivity application for smartphones. The company offers a scheduling and time management application allowing users to schedule, manage and plan their day to enhance productivity.</t>
        </is>
      </c>
      <c r="M704" s="39" t="inlineStr">
        <is>
          <t>Softlandings Uruguay, Start-Up Chile</t>
        </is>
      </c>
      <c r="N704" s="40" t="inlineStr">
        <is>
          <t>Accelerator/Incubator Backed</t>
        </is>
      </c>
      <c r="O704" s="41" t="inlineStr">
        <is>
          <t>Privately Held (backing)</t>
        </is>
      </c>
      <c r="P704" s="42" t="inlineStr">
        <is>
          <t>San Francisco, CA</t>
        </is>
      </c>
      <c r="Q704" s="43" t="inlineStr">
        <is>
          <t>www.timejoy.co</t>
        </is>
      </c>
      <c r="R704" s="114">
        <f>HYPERLINK("https://my.pitchbook.com?c=118326-70", "View company online")</f>
      </c>
    </row>
    <row r="705">
      <c r="A705" s="9" t="inlineStr">
        <is>
          <t>175627-90</t>
        </is>
      </c>
      <c r="B705" s="10" t="inlineStr">
        <is>
          <t>Tiltsta</t>
        </is>
      </c>
      <c r="C705" s="85">
        <f>HYPERLINK("https://my.pitchbook.com?rrp=175627-90&amp;type=c", "This Company's information is not available to download. Need this Company? Request availability")</f>
      </c>
      <c r="D705" s="12" t="inlineStr">
        <is>
          <t/>
        </is>
      </c>
      <c r="E705" s="13" t="inlineStr">
        <is>
          <t/>
        </is>
      </c>
      <c r="F705" s="14" t="inlineStr">
        <is>
          <t/>
        </is>
      </c>
      <c r="G705" s="15" t="inlineStr">
        <is>
          <t/>
        </is>
      </c>
      <c r="H705" s="16" t="inlineStr">
        <is>
          <t/>
        </is>
      </c>
      <c r="I705" s="17" t="inlineStr">
        <is>
          <t/>
        </is>
      </c>
      <c r="J705" s="18" t="inlineStr">
        <is>
          <t/>
        </is>
      </c>
      <c r="K705" s="19" t="inlineStr">
        <is>
          <t/>
        </is>
      </c>
      <c r="L705" s="20" t="inlineStr">
        <is>
          <t/>
        </is>
      </c>
      <c r="M705" s="21" t="inlineStr">
        <is>
          <t/>
        </is>
      </c>
      <c r="N705" s="22" t="inlineStr">
        <is>
          <t/>
        </is>
      </c>
      <c r="O705" s="23" t="inlineStr">
        <is>
          <t/>
        </is>
      </c>
      <c r="P705" s="24" t="inlineStr">
        <is>
          <t/>
        </is>
      </c>
      <c r="Q705" s="25" t="inlineStr">
        <is>
          <t/>
        </is>
      </c>
      <c r="R705" s="26" t="inlineStr">
        <is>
          <t/>
        </is>
      </c>
    </row>
    <row r="706">
      <c r="A706" s="27" t="inlineStr">
        <is>
          <t>122763-43</t>
        </is>
      </c>
      <c r="B706" s="28" t="inlineStr">
        <is>
          <t>Till Mobile</t>
        </is>
      </c>
      <c r="C706" s="29" t="n">
        <v>0.0</v>
      </c>
      <c r="D706" s="30" t="n">
        <v>0.15015094049729275</v>
      </c>
      <c r="E706" s="31" t="inlineStr">
        <is>
          <t/>
        </is>
      </c>
      <c r="F706" s="32" t="n">
        <v>9.0</v>
      </c>
      <c r="G706" s="33" t="n">
        <v>10.0</v>
      </c>
      <c r="H706" s="34" t="n">
        <v>36.0</v>
      </c>
      <c r="I706" s="35" t="inlineStr">
        <is>
          <t/>
        </is>
      </c>
      <c r="J706" s="36" t="n">
        <v>2.3</v>
      </c>
      <c r="K706" s="37" t="inlineStr">
        <is>
          <t>Media and Information Services (B2B)</t>
        </is>
      </c>
      <c r="L706" s="38" t="inlineStr">
        <is>
          <t>Developer of a cloud based communication platform designed to connect brands and retailers to farmers, local growers and other core producers. The company's cloud based communication platform uses automated calls and text messages enabling brands to interact with all tiers of their supply chain in real time via mobile.</t>
        </is>
      </c>
      <c r="M706" s="39" t="inlineStr">
        <is>
          <t>Yield Lab</t>
        </is>
      </c>
      <c r="N706" s="40" t="inlineStr">
        <is>
          <t>Accelerator/Incubator Backed</t>
        </is>
      </c>
      <c r="O706" s="41" t="inlineStr">
        <is>
          <t>Privately Held (backing)</t>
        </is>
      </c>
      <c r="P706" s="42" t="inlineStr">
        <is>
          <t>Los Gatos, CA</t>
        </is>
      </c>
      <c r="Q706" s="43" t="inlineStr">
        <is>
          <t>www.tillmobile.com</t>
        </is>
      </c>
      <c r="R706" s="114">
        <f>HYPERLINK("https://my.pitchbook.com?c=122763-43", "View company online")</f>
      </c>
    </row>
    <row r="707">
      <c r="A707" s="9" t="inlineStr">
        <is>
          <t>95591-71</t>
        </is>
      </c>
      <c r="B707" s="10" t="inlineStr">
        <is>
          <t>Tilana Systems</t>
        </is>
      </c>
      <c r="C707" s="11" t="n">
        <v>0.0</v>
      </c>
      <c r="D707" s="12" t="n">
        <v>1.5675675675675675</v>
      </c>
      <c r="E707" s="13" t="inlineStr">
        <is>
          <t/>
        </is>
      </c>
      <c r="F707" s="14" t="n">
        <v>58.0</v>
      </c>
      <c r="G707" s="15" t="inlineStr">
        <is>
          <t/>
        </is>
      </c>
      <c r="H707" s="16" t="inlineStr">
        <is>
          <t/>
        </is>
      </c>
      <c r="I707" s="17" t="inlineStr">
        <is>
          <t/>
        </is>
      </c>
      <c r="J707" s="18" t="n">
        <v>0.12</v>
      </c>
      <c r="K707" s="19" t="inlineStr">
        <is>
          <t>Other Information Technology</t>
        </is>
      </c>
      <c r="L707" s="20" t="inlineStr">
        <is>
          <t>Provides of online storage provisions to business and consumer personal computer users. The company's software enables to develop own integrated set of client components.</t>
        </is>
      </c>
      <c r="M707" s="21" t="inlineStr">
        <is>
          <t/>
        </is>
      </c>
      <c r="N707" s="22" t="inlineStr">
        <is>
          <t>Angel-Backed</t>
        </is>
      </c>
      <c r="O707" s="23" t="inlineStr">
        <is>
          <t>Privately Held (backing)</t>
        </is>
      </c>
      <c r="P707" s="24" t="inlineStr">
        <is>
          <t>San Diego, CA</t>
        </is>
      </c>
      <c r="Q707" s="25" t="inlineStr">
        <is>
          <t>www.tilana.com</t>
        </is>
      </c>
      <c r="R707" s="113">
        <f>HYPERLINK("https://my.pitchbook.com?c=95591-71", "View company online")</f>
      </c>
    </row>
    <row r="708">
      <c r="A708" s="27" t="inlineStr">
        <is>
          <t>110269-00</t>
        </is>
      </c>
      <c r="B708" s="28" t="inlineStr">
        <is>
          <t>Tiger Paw Beverages</t>
        </is>
      </c>
      <c r="C708" s="29" t="n">
        <v>0.0</v>
      </c>
      <c r="D708" s="30" t="n">
        <v>0.08108108108108109</v>
      </c>
      <c r="E708" s="31" t="inlineStr">
        <is>
          <t/>
        </is>
      </c>
      <c r="F708" s="32" t="n">
        <v>3.0</v>
      </c>
      <c r="G708" s="33" t="inlineStr">
        <is>
          <t/>
        </is>
      </c>
      <c r="H708" s="34" t="inlineStr">
        <is>
          <t/>
        </is>
      </c>
      <c r="I708" s="35" t="n">
        <v>5.0</v>
      </c>
      <c r="J708" s="36" t="n">
        <v>0.7</v>
      </c>
      <c r="K708" s="37" t="inlineStr">
        <is>
          <t>Beverages</t>
        </is>
      </c>
      <c r="L708" s="38" t="inlineStr">
        <is>
          <t>Producer of alcoholic beverages. The company' ultra-premium liquors are inspired by Jimi Hendrix song titles.</t>
        </is>
      </c>
      <c r="M708" s="39" t="inlineStr">
        <is>
          <t/>
        </is>
      </c>
      <c r="N708" s="40" t="inlineStr">
        <is>
          <t>Angel-Backed</t>
        </is>
      </c>
      <c r="O708" s="41" t="inlineStr">
        <is>
          <t>Privately Held (backing)</t>
        </is>
      </c>
      <c r="P708" s="42" t="inlineStr">
        <is>
          <t>Los Angeles, CA</t>
        </is>
      </c>
      <c r="Q708" s="43" t="inlineStr">
        <is>
          <t>www.tigerpawbeverages.com</t>
        </is>
      </c>
      <c r="R708" s="114">
        <f>HYPERLINK("https://my.pitchbook.com?c=110269-00", "View company online")</f>
      </c>
    </row>
    <row r="709">
      <c r="A709" s="9" t="inlineStr">
        <is>
          <t>130532-50</t>
        </is>
      </c>
      <c r="B709" s="10" t="inlineStr">
        <is>
          <t>TidyMktr</t>
        </is>
      </c>
      <c r="C709" s="11" t="n">
        <v>0.0</v>
      </c>
      <c r="D709" s="12" t="n">
        <v>0.08249351045961216</v>
      </c>
      <c r="E709" s="13" t="inlineStr">
        <is>
          <t/>
        </is>
      </c>
      <c r="F709" s="14" t="n">
        <v>6.0</v>
      </c>
      <c r="G709" s="15" t="n">
        <v>255.0</v>
      </c>
      <c r="H709" s="16" t="n">
        <v>1.0</v>
      </c>
      <c r="I709" s="17" t="inlineStr">
        <is>
          <t/>
        </is>
      </c>
      <c r="J709" s="18" t="n">
        <v>0.25</v>
      </c>
      <c r="K709" s="19" t="inlineStr">
        <is>
          <t>Social/Platform Software</t>
        </is>
      </c>
      <c r="L709" s="20" t="inlineStr">
        <is>
          <t>Provider of a marketing management platform designed for marketing teams and digital agencies. The company's software enables marketers to plan and coordinate multi-channel marketing efforts and strategies.</t>
        </is>
      </c>
      <c r="M709" s="21" t="inlineStr">
        <is>
          <t>The LAUNCH Incubator</t>
        </is>
      </c>
      <c r="N709" s="22" t="inlineStr">
        <is>
          <t>Accelerator/Incubator Backed</t>
        </is>
      </c>
      <c r="O709" s="23" t="inlineStr">
        <is>
          <t>Privately Held (backing)</t>
        </is>
      </c>
      <c r="P709" s="24" t="inlineStr">
        <is>
          <t>San Francisco, CA</t>
        </is>
      </c>
      <c r="Q709" s="25" t="inlineStr">
        <is>
          <t>www.tidymktr.com</t>
        </is>
      </c>
      <c r="R709" s="113">
        <f>HYPERLINK("https://my.pitchbook.com?c=130532-50", "View company online")</f>
      </c>
    </row>
    <row r="710">
      <c r="A710" s="27" t="inlineStr">
        <is>
          <t>118140-40</t>
        </is>
      </c>
      <c r="B710" s="28" t="inlineStr">
        <is>
          <t>Ticktate</t>
        </is>
      </c>
      <c r="C710" s="29" t="n">
        <v>0.0</v>
      </c>
      <c r="D710" s="30" t="n">
        <v>0.8108108108108109</v>
      </c>
      <c r="E710" s="31" t="inlineStr">
        <is>
          <t/>
        </is>
      </c>
      <c r="F710" s="32" t="n">
        <v>29.0</v>
      </c>
      <c r="G710" s="33" t="inlineStr">
        <is>
          <t/>
        </is>
      </c>
      <c r="H710" s="34" t="inlineStr">
        <is>
          <t/>
        </is>
      </c>
      <c r="I710" s="35" t="inlineStr">
        <is>
          <t/>
        </is>
      </c>
      <c r="J710" s="36" t="n">
        <v>0.13</v>
      </c>
      <c r="K710" s="37" t="inlineStr">
        <is>
          <t>Social/Platform Software</t>
        </is>
      </c>
      <c r="L710" s="38" t="inlineStr">
        <is>
          <t>Provider of an online event tickets booking platform. The company offers a Web-based platform and mobile application that enables the users to buy concert tickets online.</t>
        </is>
      </c>
      <c r="M710" s="39" t="inlineStr">
        <is>
          <t>500 Startups</t>
        </is>
      </c>
      <c r="N710" s="40" t="inlineStr">
        <is>
          <t>Accelerator/Incubator Backed</t>
        </is>
      </c>
      <c r="O710" s="41" t="inlineStr">
        <is>
          <t>Privately Held (backing)</t>
        </is>
      </c>
      <c r="P710" s="42" t="inlineStr">
        <is>
          <t>San Francisco, CA</t>
        </is>
      </c>
      <c r="Q710" s="43" t="inlineStr">
        <is>
          <t>www.ticktate.com</t>
        </is>
      </c>
      <c r="R710" s="114">
        <f>HYPERLINK("https://my.pitchbook.com?c=118140-40", "View company online")</f>
      </c>
    </row>
    <row r="711">
      <c r="A711" s="9" t="inlineStr">
        <is>
          <t>114835-96</t>
        </is>
      </c>
      <c r="B711" s="10" t="inlineStr">
        <is>
          <t>Tickle Labs</t>
        </is>
      </c>
      <c r="C711" s="11" t="n">
        <v>0.08781369040992945</v>
      </c>
      <c r="D711" s="12" t="n">
        <v>9.124543574525152</v>
      </c>
      <c r="E711" s="13" t="inlineStr">
        <is>
          <t/>
        </is>
      </c>
      <c r="F711" s="14" t="n">
        <v>29.0</v>
      </c>
      <c r="G711" s="15" t="n">
        <v>1468.0</v>
      </c>
      <c r="H711" s="16" t="n">
        <v>11715.0</v>
      </c>
      <c r="I711" s="17" t="n">
        <v>3.0</v>
      </c>
      <c r="J711" s="18" t="n">
        <v>0.1</v>
      </c>
      <c r="K711" s="19" t="inlineStr">
        <is>
          <t>Educational Software</t>
        </is>
      </c>
      <c r="L711" s="20" t="inlineStr">
        <is>
          <t>Provider of a programming education platform. The company offers programming education re-imagined for the world of connected devices.</t>
        </is>
      </c>
      <c r="M711" s="21" t="inlineStr">
        <is>
          <t>Imagine K12, XG Ventures</t>
        </is>
      </c>
      <c r="N711" s="22" t="inlineStr">
        <is>
          <t>Accelerator/Incubator Backed</t>
        </is>
      </c>
      <c r="O711" s="23" t="inlineStr">
        <is>
          <t>Privately Held (backing)</t>
        </is>
      </c>
      <c r="P711" s="24" t="inlineStr">
        <is>
          <t>San Francisco, CA</t>
        </is>
      </c>
      <c r="Q711" s="25" t="inlineStr">
        <is>
          <t>www.tickleapp.com</t>
        </is>
      </c>
      <c r="R711" s="113">
        <f>HYPERLINK("https://my.pitchbook.com?c=114835-96", "View company online")</f>
      </c>
    </row>
    <row r="712">
      <c r="A712" s="27" t="inlineStr">
        <is>
          <t>113391-37</t>
        </is>
      </c>
      <c r="B712" s="28" t="inlineStr">
        <is>
          <t>TicketKarma</t>
        </is>
      </c>
      <c r="C712" s="29" t="n">
        <v>-0.020599375015545884</v>
      </c>
      <c r="D712" s="30" t="n">
        <v>0.3075319213307423</v>
      </c>
      <c r="E712" s="31" t="inlineStr">
        <is>
          <t/>
        </is>
      </c>
      <c r="F712" s="32" t="n">
        <v>7.0</v>
      </c>
      <c r="G712" s="33" t="n">
        <v>647.0</v>
      </c>
      <c r="H712" s="34" t="n">
        <v>17.0</v>
      </c>
      <c r="I712" s="35" t="inlineStr">
        <is>
          <t/>
        </is>
      </c>
      <c r="J712" s="36" t="inlineStr">
        <is>
          <t/>
        </is>
      </c>
      <c r="K712" s="37" t="inlineStr">
        <is>
          <t>Social/Platform Software</t>
        </is>
      </c>
      <c r="L712" s="38" t="inlineStr">
        <is>
          <t>Provider of an online ticket resale marketplace. The company offers a Web-based platform that enables users to buy or sell tickets for musical events, shows or concerts online.</t>
        </is>
      </c>
      <c r="M712" s="39" t="inlineStr">
        <is>
          <t>Capital Factory</t>
        </is>
      </c>
      <c r="N712" s="40" t="inlineStr">
        <is>
          <t>Accelerator/Incubator Backed</t>
        </is>
      </c>
      <c r="O712" s="41" t="inlineStr">
        <is>
          <t>Privately Held (backing)</t>
        </is>
      </c>
      <c r="P712" s="42" t="inlineStr">
        <is>
          <t>San Francisco, CA</t>
        </is>
      </c>
      <c r="Q712" s="43" t="inlineStr">
        <is>
          <t>www.ticketkarma.co</t>
        </is>
      </c>
      <c r="R712" s="114">
        <f>HYPERLINK("https://my.pitchbook.com?c=113391-37", "View company online")</f>
      </c>
    </row>
    <row r="713">
      <c r="A713" s="9" t="inlineStr">
        <is>
          <t>155031-76</t>
        </is>
      </c>
      <c r="B713" s="10" t="inlineStr">
        <is>
          <t>Thunkable</t>
        </is>
      </c>
      <c r="C713" s="11" t="n">
        <v>5.184353939824195</v>
      </c>
      <c r="D713" s="12" t="n">
        <v>4.12550875435916</v>
      </c>
      <c r="E713" s="13" t="inlineStr">
        <is>
          <t/>
        </is>
      </c>
      <c r="F713" s="14" t="n">
        <v>5.0</v>
      </c>
      <c r="G713" s="15" t="n">
        <v>1253.0</v>
      </c>
      <c r="H713" s="16" t="n">
        <v>5141.0</v>
      </c>
      <c r="I713" s="17" t="inlineStr">
        <is>
          <t/>
        </is>
      </c>
      <c r="J713" s="18" t="n">
        <v>0.12</v>
      </c>
      <c r="K713" s="19" t="inlineStr">
        <is>
          <t>Software Development Applications</t>
        </is>
      </c>
      <c r="L713" s="20" t="inlineStr">
        <is>
          <t>Developer of a drag-and-drop programming tool. The company develops a programming tool that allows anyone to build native mobile applications.</t>
        </is>
      </c>
      <c r="M713" s="21" t="inlineStr">
        <is>
          <t>Mandra Capital, Point Judith Capital, Y Combinator</t>
        </is>
      </c>
      <c r="N713" s="22" t="inlineStr">
        <is>
          <t>Accelerator/Incubator Backed</t>
        </is>
      </c>
      <c r="O713" s="23" t="inlineStr">
        <is>
          <t>Privately Held (backing)</t>
        </is>
      </c>
      <c r="P713" s="24" t="inlineStr">
        <is>
          <t>San Francisco, CA</t>
        </is>
      </c>
      <c r="Q713" s="25" t="inlineStr">
        <is>
          <t>www.thunkable.com</t>
        </is>
      </c>
      <c r="R713" s="113">
        <f>HYPERLINK("https://my.pitchbook.com?c=155031-76", "View company online")</f>
      </c>
    </row>
    <row r="714">
      <c r="A714" s="27" t="inlineStr">
        <is>
          <t>155723-05</t>
        </is>
      </c>
      <c r="B714" s="28" t="inlineStr">
        <is>
          <t>Thunder Capital Management</t>
        </is>
      </c>
      <c r="C714" s="29" t="inlineStr">
        <is>
          <t/>
        </is>
      </c>
      <c r="D714" s="30" t="inlineStr">
        <is>
          <t/>
        </is>
      </c>
      <c r="E714" s="31" t="inlineStr">
        <is>
          <t/>
        </is>
      </c>
      <c r="F714" s="32" t="inlineStr">
        <is>
          <t/>
        </is>
      </c>
      <c r="G714" s="33" t="inlineStr">
        <is>
          <t/>
        </is>
      </c>
      <c r="H714" s="34" t="inlineStr">
        <is>
          <t/>
        </is>
      </c>
      <c r="I714" s="35" t="inlineStr">
        <is>
          <t/>
        </is>
      </c>
      <c r="J714" s="36" t="inlineStr">
        <is>
          <t/>
        </is>
      </c>
      <c r="K714" s="37" t="inlineStr">
        <is>
          <t>Asset Management</t>
        </is>
      </c>
      <c r="L714" s="38" t="inlineStr">
        <is>
          <t>Operator of an asset management firm. The company operates an asset management firm for managing the capital available to Thunder Studios, entities responsible for prints and advertising, acquisitions, finishing funds and film production capital.</t>
        </is>
      </c>
      <c r="M714" s="39" t="inlineStr">
        <is>
          <t>Struans Media</t>
        </is>
      </c>
      <c r="N714" s="40" t="inlineStr">
        <is>
          <t>Angel-Backed</t>
        </is>
      </c>
      <c r="O714" s="41" t="inlineStr">
        <is>
          <t>Privately Held (backing)</t>
        </is>
      </c>
      <c r="P714" s="42" t="inlineStr">
        <is>
          <t>CA</t>
        </is>
      </c>
      <c r="Q714" s="43" t="inlineStr">
        <is>
          <t/>
        </is>
      </c>
      <c r="R714" s="114">
        <f>HYPERLINK("https://my.pitchbook.com?c=155723-05", "View company online")</f>
      </c>
    </row>
    <row r="715">
      <c r="A715" s="9" t="inlineStr">
        <is>
          <t>97933-24</t>
        </is>
      </c>
      <c r="B715" s="10" t="inlineStr">
        <is>
          <t>Thumbkandi</t>
        </is>
      </c>
      <c r="C715" s="11" t="n">
        <v>-0.047723968523335526</v>
      </c>
      <c r="D715" s="12" t="n">
        <v>1.7588563139410596</v>
      </c>
      <c r="E715" s="13" t="inlineStr">
        <is>
          <t/>
        </is>
      </c>
      <c r="F715" s="14" t="n">
        <v>4.0</v>
      </c>
      <c r="G715" s="15" t="n">
        <v>134504.0</v>
      </c>
      <c r="H715" s="16" t="n">
        <v>1210.0</v>
      </c>
      <c r="I715" s="17" t="inlineStr">
        <is>
          <t/>
        </is>
      </c>
      <c r="J715" s="18" t="n">
        <v>0.88</v>
      </c>
      <c r="K715" s="19" t="inlineStr">
        <is>
          <t>Application Software</t>
        </is>
      </c>
      <c r="L715" s="20" t="inlineStr">
        <is>
          <t>Developer of a messaging application. The company allows its users to exchange icons and emoticons and also express their inner text.</t>
        </is>
      </c>
      <c r="M715" s="21" t="inlineStr">
        <is>
          <t/>
        </is>
      </c>
      <c r="N715" s="22" t="inlineStr">
        <is>
          <t>Angel-Backed</t>
        </is>
      </c>
      <c r="O715" s="23" t="inlineStr">
        <is>
          <t>Privately Held (backing)</t>
        </is>
      </c>
      <c r="P715" s="24" t="inlineStr">
        <is>
          <t>San Francisco, CA</t>
        </is>
      </c>
      <c r="Q715" s="25" t="inlineStr">
        <is>
          <t>www.thumbkandi.com</t>
        </is>
      </c>
      <c r="R715" s="113">
        <f>HYPERLINK("https://my.pitchbook.com?c=97933-24", "View company online")</f>
      </c>
    </row>
    <row r="716">
      <c r="A716" s="27" t="inlineStr">
        <is>
          <t>118301-32</t>
        </is>
      </c>
      <c r="B716" s="28" t="inlineStr">
        <is>
          <t>ThumbChat</t>
        </is>
      </c>
      <c r="C716" s="86">
        <f>HYPERLINK("https://my.pitchbook.com?rrp=118301-32&amp;type=c", "This Company's information is not available to download. Need this Company? Request availability")</f>
      </c>
      <c r="D716" s="30" t="inlineStr">
        <is>
          <t/>
        </is>
      </c>
      <c r="E716" s="31" t="inlineStr">
        <is>
          <t/>
        </is>
      </c>
      <c r="F716" s="32" t="inlineStr">
        <is>
          <t/>
        </is>
      </c>
      <c r="G716" s="33" t="inlineStr">
        <is>
          <t/>
        </is>
      </c>
      <c r="H716" s="34" t="inlineStr">
        <is>
          <t/>
        </is>
      </c>
      <c r="I716" s="35" t="inlineStr">
        <is>
          <t/>
        </is>
      </c>
      <c r="J716" s="36" t="inlineStr">
        <is>
          <t/>
        </is>
      </c>
      <c r="K716" s="37" t="inlineStr">
        <is>
          <t/>
        </is>
      </c>
      <c r="L716" s="38" t="inlineStr">
        <is>
          <t/>
        </is>
      </c>
      <c r="M716" s="39" t="inlineStr">
        <is>
          <t/>
        </is>
      </c>
      <c r="N716" s="40" t="inlineStr">
        <is>
          <t/>
        </is>
      </c>
      <c r="O716" s="41" t="inlineStr">
        <is>
          <t/>
        </is>
      </c>
      <c r="P716" s="42" t="inlineStr">
        <is>
          <t/>
        </is>
      </c>
      <c r="Q716" s="43" t="inlineStr">
        <is>
          <t/>
        </is>
      </c>
      <c r="R716" s="44" t="inlineStr">
        <is>
          <t/>
        </is>
      </c>
    </row>
    <row r="717">
      <c r="A717" s="9" t="inlineStr">
        <is>
          <t>90910-81</t>
        </is>
      </c>
      <c r="B717" s="10" t="inlineStr">
        <is>
          <t>ThrowMotion</t>
        </is>
      </c>
      <c r="C717" s="11" t="n">
        <v>-0.04108018581684866</v>
      </c>
      <c r="D717" s="12" t="n">
        <v>0.7010699561547019</v>
      </c>
      <c r="E717" s="13" t="inlineStr">
        <is>
          <t/>
        </is>
      </c>
      <c r="F717" s="14" t="n">
        <v>11.0</v>
      </c>
      <c r="G717" s="15" t="n">
        <v>1655.0</v>
      </c>
      <c r="H717" s="16" t="n">
        <v>54.0</v>
      </c>
      <c r="I717" s="17" t="n">
        <v>6.0</v>
      </c>
      <c r="J717" s="18" t="n">
        <v>0.45</v>
      </c>
      <c r="K717" s="19" t="inlineStr">
        <is>
          <t>Recreational Goods</t>
        </is>
      </c>
      <c r="L717" s="20" t="inlineStr">
        <is>
          <t>Developer of table games. The company is engaged in the development and production of indoor games for company break rooms, arcades and any other social venues.</t>
        </is>
      </c>
      <c r="M717" s="21" t="inlineStr">
        <is>
          <t/>
        </is>
      </c>
      <c r="N717" s="22" t="inlineStr">
        <is>
          <t>Angel-Backed</t>
        </is>
      </c>
      <c r="O717" s="23" t="inlineStr">
        <is>
          <t>Privately Held (backing)</t>
        </is>
      </c>
      <c r="P717" s="24" t="inlineStr">
        <is>
          <t>Sunnyvale, CA</t>
        </is>
      </c>
      <c r="Q717" s="25" t="inlineStr">
        <is>
          <t>www.throwmotion.com</t>
        </is>
      </c>
      <c r="R717" s="113">
        <f>HYPERLINK("https://my.pitchbook.com?c=90910-81", "View company online")</f>
      </c>
    </row>
    <row r="718">
      <c r="A718" s="27" t="inlineStr">
        <is>
          <t>150632-02</t>
        </is>
      </c>
      <c r="B718" s="28" t="inlineStr">
        <is>
          <t>Throwdown Labs</t>
        </is>
      </c>
      <c r="C718" s="29" t="n">
        <v>-0.035790670403818295</v>
      </c>
      <c r="D718" s="30" t="n">
        <v>5.6770853072253225</v>
      </c>
      <c r="E718" s="31" t="inlineStr">
        <is>
          <t/>
        </is>
      </c>
      <c r="F718" s="32" t="inlineStr">
        <is>
          <t/>
        </is>
      </c>
      <c r="G718" s="33" t="n">
        <v>6053.0</v>
      </c>
      <c r="H718" s="34" t="n">
        <v>1356.0</v>
      </c>
      <c r="I718" s="35" t="inlineStr">
        <is>
          <t/>
        </is>
      </c>
      <c r="J718" s="36" t="n">
        <v>1.0</v>
      </c>
      <c r="K718" s="37" t="inlineStr">
        <is>
          <t>Social/Platform Software</t>
        </is>
      </c>
      <c r="L718" s="38" t="inlineStr">
        <is>
          <t>Developer of a fitness app. The company offers a Web-based platform and mobile application that enables the users to share their fitness journey or motivation and access online fitness training program or guidance.</t>
        </is>
      </c>
      <c r="M718" s="39" t="inlineStr">
        <is>
          <t>Eric Chen, Precursor Ventures</t>
        </is>
      </c>
      <c r="N718" s="40" t="inlineStr">
        <is>
          <t>Angel-Backed</t>
        </is>
      </c>
      <c r="O718" s="41" t="inlineStr">
        <is>
          <t>Privately Held (backing)</t>
        </is>
      </c>
      <c r="P718" s="42" t="inlineStr">
        <is>
          <t>San Francisco, CA</t>
        </is>
      </c>
      <c r="Q718" s="43" t="inlineStr">
        <is>
          <t>www.keelo.com</t>
        </is>
      </c>
      <c r="R718" s="114">
        <f>HYPERLINK("https://my.pitchbook.com?c=150632-02", "View company online")</f>
      </c>
    </row>
    <row r="719">
      <c r="A719" s="9" t="inlineStr">
        <is>
          <t>118169-38</t>
        </is>
      </c>
      <c r="B719" s="10" t="inlineStr">
        <is>
          <t>Throne VIP</t>
        </is>
      </c>
      <c r="C719" s="85">
        <f>HYPERLINK("https://my.pitchbook.com?rrp=118169-38&amp;type=c", "This Company's information is not available to download. Need this Company? Request availability")</f>
      </c>
      <c r="D719" s="12" t="inlineStr">
        <is>
          <t/>
        </is>
      </c>
      <c r="E719" s="13" t="inlineStr">
        <is>
          <t/>
        </is>
      </c>
      <c r="F719" s="14" t="inlineStr">
        <is>
          <t/>
        </is>
      </c>
      <c r="G719" s="15" t="inlineStr">
        <is>
          <t/>
        </is>
      </c>
      <c r="H719" s="16" t="inlineStr">
        <is>
          <t/>
        </is>
      </c>
      <c r="I719" s="17" t="inlineStr">
        <is>
          <t/>
        </is>
      </c>
      <c r="J719" s="18" t="inlineStr">
        <is>
          <t/>
        </is>
      </c>
      <c r="K719" s="19" t="inlineStr">
        <is>
          <t/>
        </is>
      </c>
      <c r="L719" s="20" t="inlineStr">
        <is>
          <t/>
        </is>
      </c>
      <c r="M719" s="21" t="inlineStr">
        <is>
          <t/>
        </is>
      </c>
      <c r="N719" s="22" t="inlineStr">
        <is>
          <t/>
        </is>
      </c>
      <c r="O719" s="23" t="inlineStr">
        <is>
          <t/>
        </is>
      </c>
      <c r="P719" s="24" t="inlineStr">
        <is>
          <t/>
        </is>
      </c>
      <c r="Q719" s="25" t="inlineStr">
        <is>
          <t/>
        </is>
      </c>
      <c r="R719" s="26" t="inlineStr">
        <is>
          <t/>
        </is>
      </c>
    </row>
    <row r="720">
      <c r="A720" s="27" t="inlineStr">
        <is>
          <t>152278-12</t>
        </is>
      </c>
      <c r="B720" s="28" t="inlineStr">
        <is>
          <t>Thrive Feeding</t>
        </is>
      </c>
      <c r="C720" s="29" t="n">
        <v>0.0</v>
      </c>
      <c r="D720" s="30" t="n">
        <v>0.05405405405405406</v>
      </c>
      <c r="E720" s="31" t="inlineStr">
        <is>
          <t/>
        </is>
      </c>
      <c r="F720" s="32" t="n">
        <v>2.0</v>
      </c>
      <c r="G720" s="33" t="inlineStr">
        <is>
          <t/>
        </is>
      </c>
      <c r="H720" s="34" t="inlineStr">
        <is>
          <t/>
        </is>
      </c>
      <c r="I720" s="35" t="inlineStr">
        <is>
          <t/>
        </is>
      </c>
      <c r="J720" s="36" t="n">
        <v>0.95</v>
      </c>
      <c r="K720" s="37" t="inlineStr">
        <is>
          <t>Other Consumer Durables</t>
        </is>
      </c>
      <c r="L720" s="38" t="inlineStr">
        <is>
          <t>Developer of a baby feeding monitoring system. The company develops a feeder which captures and transmits feeding data to an application which shows feeding status and history.</t>
        </is>
      </c>
      <c r="M720" s="39" t="inlineStr">
        <is>
          <t/>
        </is>
      </c>
      <c r="N720" s="40" t="inlineStr">
        <is>
          <t>Angel-Backed</t>
        </is>
      </c>
      <c r="O720" s="41" t="inlineStr">
        <is>
          <t>Privately Held (backing)</t>
        </is>
      </c>
      <c r="P720" s="42" t="inlineStr">
        <is>
          <t>San Diego, CA</t>
        </is>
      </c>
      <c r="Q720" s="43" t="inlineStr">
        <is>
          <t>www.thrivefeeding.com</t>
        </is>
      </c>
      <c r="R720" s="114">
        <f>HYPERLINK("https://my.pitchbook.com?c=152278-12", "View company online")</f>
      </c>
    </row>
    <row r="721">
      <c r="A721" s="9" t="inlineStr">
        <is>
          <t>156911-68</t>
        </is>
      </c>
      <c r="B721" s="10" t="inlineStr">
        <is>
          <t>Thrive Agrobiotics</t>
        </is>
      </c>
      <c r="C721" s="11" t="inlineStr">
        <is>
          <t/>
        </is>
      </c>
      <c r="D721" s="12" t="inlineStr">
        <is>
          <t/>
        </is>
      </c>
      <c r="E721" s="13" t="inlineStr">
        <is>
          <t/>
        </is>
      </c>
      <c r="F721" s="14" t="inlineStr">
        <is>
          <t/>
        </is>
      </c>
      <c r="G721" s="15" t="inlineStr">
        <is>
          <t/>
        </is>
      </c>
      <c r="H721" s="16" t="inlineStr">
        <is>
          <t/>
        </is>
      </c>
      <c r="I721" s="17" t="inlineStr">
        <is>
          <t/>
        </is>
      </c>
      <c r="J721" s="18" t="n">
        <v>6.67</v>
      </c>
      <c r="K721" s="19" t="inlineStr">
        <is>
          <t>Other Pharmaceuticals and Biotechnology</t>
        </is>
      </c>
      <c r="L721" s="20" t="inlineStr">
        <is>
          <t>Provider of development services for gut cell therapy. The company provides research and development services for nutritive proteins and gut cell therapy.</t>
        </is>
      </c>
      <c r="M721" s="21" t="inlineStr">
        <is>
          <t>Harvest Growth Capital, Intrexon</t>
        </is>
      </c>
      <c r="N721" s="22" t="inlineStr">
        <is>
          <t>Angel-Backed</t>
        </is>
      </c>
      <c r="O721" s="23" t="inlineStr">
        <is>
          <t>Privately Held (backing)</t>
        </is>
      </c>
      <c r="P721" s="24" t="inlineStr">
        <is>
          <t>San Francisco, CA</t>
        </is>
      </c>
      <c r="Q721" s="25" t="inlineStr">
        <is>
          <t/>
        </is>
      </c>
      <c r="R721" s="113">
        <f>HYPERLINK("https://my.pitchbook.com?c=156911-68", "View company online")</f>
      </c>
    </row>
    <row r="722">
      <c r="A722" s="27" t="inlineStr">
        <is>
          <t>109408-33</t>
        </is>
      </c>
      <c r="B722" s="28" t="inlineStr">
        <is>
          <t>Three Twins Organic</t>
        </is>
      </c>
      <c r="C722" s="29" t="n">
        <v>-0.127082550028526</v>
      </c>
      <c r="D722" s="30" t="n">
        <v>85.93316660170012</v>
      </c>
      <c r="E722" s="31" t="inlineStr">
        <is>
          <t/>
        </is>
      </c>
      <c r="F722" s="32" t="n">
        <v>250.0</v>
      </c>
      <c r="G722" s="33" t="n">
        <v>146461.0</v>
      </c>
      <c r="H722" s="34" t="n">
        <v>52230.0</v>
      </c>
      <c r="I722" s="35" t="n">
        <v>51.0</v>
      </c>
      <c r="J722" s="36" t="n">
        <v>3.3</v>
      </c>
      <c r="K722" s="37" t="inlineStr">
        <is>
          <t>Food Products</t>
        </is>
      </c>
      <c r="L722" s="38" t="inlineStr">
        <is>
          <t>Provider of organic ice cream. The company offers organic ice cream sold through its own stores, grocery stores and other convenience stores.</t>
        </is>
      </c>
      <c r="M722" s="39" t="inlineStr">
        <is>
          <t>Steve Smoot</t>
        </is>
      </c>
      <c r="N722" s="40" t="inlineStr">
        <is>
          <t>Angel-Backed</t>
        </is>
      </c>
      <c r="O722" s="41" t="inlineStr">
        <is>
          <t>Privately Held (backing)</t>
        </is>
      </c>
      <c r="P722" s="42" t="inlineStr">
        <is>
          <t>Petaluma, CA</t>
        </is>
      </c>
      <c r="Q722" s="43" t="inlineStr">
        <is>
          <t>www.threetwinsicecream.com</t>
        </is>
      </c>
      <c r="R722" s="114">
        <f>HYPERLINK("https://my.pitchbook.com?c=109408-33", "View company online")</f>
      </c>
    </row>
    <row r="723">
      <c r="A723" s="9" t="inlineStr">
        <is>
          <t>129013-75</t>
        </is>
      </c>
      <c r="B723" s="10" t="inlineStr">
        <is>
          <t>Three Rivers Medical</t>
        </is>
      </c>
      <c r="C723" s="11" t="inlineStr">
        <is>
          <t/>
        </is>
      </c>
      <c r="D723" s="12" t="inlineStr">
        <is>
          <t/>
        </is>
      </c>
      <c r="E723" s="13" t="inlineStr">
        <is>
          <t/>
        </is>
      </c>
      <c r="F723" s="14" t="inlineStr">
        <is>
          <t/>
        </is>
      </c>
      <c r="G723" s="15" t="inlineStr">
        <is>
          <t/>
        </is>
      </c>
      <c r="H723" s="16" t="inlineStr">
        <is>
          <t/>
        </is>
      </c>
      <c r="I723" s="17" t="inlineStr">
        <is>
          <t/>
        </is>
      </c>
      <c r="J723" s="18" t="n">
        <v>1.94</v>
      </c>
      <c r="K723" s="19" t="inlineStr">
        <is>
          <t>Other Business Products and Services</t>
        </is>
      </c>
      <c r="L723" s="20" t="inlineStr">
        <is>
          <t>The company is currently operating in Stealth mode.</t>
        </is>
      </c>
      <c r="M723" s="21" t="inlineStr">
        <is>
          <t/>
        </is>
      </c>
      <c r="N723" s="22" t="inlineStr">
        <is>
          <t>Angel-Backed</t>
        </is>
      </c>
      <c r="O723" s="23" t="inlineStr">
        <is>
          <t>Privately Held (backing)</t>
        </is>
      </c>
      <c r="P723" s="24" t="inlineStr">
        <is>
          <t>Mountain View, CA</t>
        </is>
      </c>
      <c r="Q723" s="25" t="inlineStr">
        <is>
          <t/>
        </is>
      </c>
      <c r="R723" s="113">
        <f>HYPERLINK("https://my.pitchbook.com?c=129013-75", "View company online")</f>
      </c>
    </row>
    <row r="724">
      <c r="A724" s="27" t="inlineStr">
        <is>
          <t>64341-19</t>
        </is>
      </c>
      <c r="B724" s="28" t="inlineStr">
        <is>
          <t>Three Day Rule</t>
        </is>
      </c>
      <c r="C724" s="29" t="n">
        <v>-0.07111222651678305</v>
      </c>
      <c r="D724" s="30" t="n">
        <v>12.754614568247582</v>
      </c>
      <c r="E724" s="31" t="inlineStr">
        <is>
          <t/>
        </is>
      </c>
      <c r="F724" s="32" t="n">
        <v>490.0</v>
      </c>
      <c r="G724" s="33" t="n">
        <v>12242.0</v>
      </c>
      <c r="H724" s="34" t="n">
        <v>3301.0</v>
      </c>
      <c r="I724" s="35" t="n">
        <v>27.0</v>
      </c>
      <c r="J724" s="36" t="n">
        <v>2.64</v>
      </c>
      <c r="K724" s="37" t="inlineStr">
        <is>
          <t>Other Consumer Products and Services</t>
        </is>
      </c>
      <c r="L724" s="38" t="inlineStr">
        <is>
          <t>Provider of personalized matchmaking services. The company have matchmakers in Los Angeles, San Francisco Bay Area, New York City, Chicago, Boston, and Washington, D.C who provides clients with personalized attention, hand-selected matches, and valuable date coaching to ensure a proper match.</t>
        </is>
      </c>
      <c r="M724" s="39" t="inlineStr">
        <is>
          <t>Blossom Street Ventures, David Carter, Match Group</t>
        </is>
      </c>
      <c r="N724" s="40" t="inlineStr">
        <is>
          <t>Angel-Backed</t>
        </is>
      </c>
      <c r="O724" s="41" t="inlineStr">
        <is>
          <t>Privately Held (backing)</t>
        </is>
      </c>
      <c r="P724" s="42" t="inlineStr">
        <is>
          <t>Los Angeles, CA</t>
        </is>
      </c>
      <c r="Q724" s="43" t="inlineStr">
        <is>
          <t>www.threedayrule.com</t>
        </is>
      </c>
      <c r="R724" s="114">
        <f>HYPERLINK("https://my.pitchbook.com?c=64341-19", "View company online")</f>
      </c>
    </row>
    <row r="725">
      <c r="A725" s="9" t="inlineStr">
        <is>
          <t>62007-67</t>
        </is>
      </c>
      <c r="B725" s="10" t="inlineStr">
        <is>
          <t>Threadable</t>
        </is>
      </c>
      <c r="C725" s="11" t="n">
        <v>-0.048825444862781064</v>
      </c>
      <c r="D725" s="12" t="n">
        <v>0.22292797060667363</v>
      </c>
      <c r="E725" s="13" t="inlineStr">
        <is>
          <t/>
        </is>
      </c>
      <c r="F725" s="14" t="n">
        <v>4.0</v>
      </c>
      <c r="G725" s="15" t="n">
        <v>139.0</v>
      </c>
      <c r="H725" s="16" t="n">
        <v>178.0</v>
      </c>
      <c r="I725" s="17" t="inlineStr">
        <is>
          <t/>
        </is>
      </c>
      <c r="J725" s="18" t="n">
        <v>0.12</v>
      </c>
      <c r="K725" s="19" t="inlineStr">
        <is>
          <t>Application Software</t>
        </is>
      </c>
      <c r="L725" s="20" t="inlineStr">
        <is>
          <t>Provider of a mailing list management platform. The company provides the tools to improve group communication within teams by making emails more actionable and keeping track of the emails received.</t>
        </is>
      </c>
      <c r="M725" s="21" t="inlineStr">
        <is>
          <t>Shelley Zhuang, Y Combinator</t>
        </is>
      </c>
      <c r="N725" s="22" t="inlineStr">
        <is>
          <t>Accelerator/Incubator Backed</t>
        </is>
      </c>
      <c r="O725" s="23" t="inlineStr">
        <is>
          <t>Privately Held (backing)</t>
        </is>
      </c>
      <c r="P725" s="24" t="inlineStr">
        <is>
          <t>San Francisco, CA</t>
        </is>
      </c>
      <c r="Q725" s="25" t="inlineStr">
        <is>
          <t>www.threadable.com</t>
        </is>
      </c>
      <c r="R725" s="113">
        <f>HYPERLINK("https://my.pitchbook.com?c=62007-67", "View company online")</f>
      </c>
    </row>
    <row r="726">
      <c r="A726" s="27" t="inlineStr">
        <is>
          <t>126101-53</t>
        </is>
      </c>
      <c r="B726" s="28" t="inlineStr">
        <is>
          <t>Thread Council</t>
        </is>
      </c>
      <c r="C726" s="29" t="n">
        <v>-0.02665315637351344</v>
      </c>
      <c r="D726" s="30" t="n">
        <v>2.8605784724613024</v>
      </c>
      <c r="E726" s="31" t="inlineStr">
        <is>
          <t/>
        </is>
      </c>
      <c r="F726" s="32" t="n">
        <v>13.0</v>
      </c>
      <c r="G726" s="33" t="n">
        <v>392.0</v>
      </c>
      <c r="H726" s="34" t="n">
        <v>3629.0</v>
      </c>
      <c r="I726" s="35" t="inlineStr">
        <is>
          <t/>
        </is>
      </c>
      <c r="J726" s="36" t="inlineStr">
        <is>
          <t/>
        </is>
      </c>
      <c r="K726" s="37" t="inlineStr">
        <is>
          <t>Other Commercial Products</t>
        </is>
      </c>
      <c r="L726" s="38" t="inlineStr">
        <is>
          <t>Designer of branded apparel and accessories. The company designs branded merchandise and accessories for brands, bands and events across America.</t>
        </is>
      </c>
      <c r="M726" s="39" t="inlineStr">
        <is>
          <t/>
        </is>
      </c>
      <c r="N726" s="40" t="inlineStr">
        <is>
          <t>Angel-Backed</t>
        </is>
      </c>
      <c r="O726" s="41" t="inlineStr">
        <is>
          <t>Privately Held (backing)</t>
        </is>
      </c>
      <c r="P726" s="42" t="inlineStr">
        <is>
          <t>San Francisco, CA</t>
        </is>
      </c>
      <c r="Q726" s="43" t="inlineStr">
        <is>
          <t>www.threadcouncil.com</t>
        </is>
      </c>
      <c r="R726" s="114">
        <f>HYPERLINK("https://my.pitchbook.com?c=126101-53", "View company online")</f>
      </c>
    </row>
    <row r="727">
      <c r="A727" s="9" t="inlineStr">
        <is>
          <t>54773-38</t>
        </is>
      </c>
      <c r="B727" s="10" t="inlineStr">
        <is>
          <t>thrdPlace</t>
        </is>
      </c>
      <c r="C727" s="11" t="n">
        <v>-0.01784156979402024</v>
      </c>
      <c r="D727" s="12" t="n">
        <v>1.9175479353445455</v>
      </c>
      <c r="E727" s="13" t="inlineStr">
        <is>
          <t/>
        </is>
      </c>
      <c r="F727" s="14" t="n">
        <v>16.0</v>
      </c>
      <c r="G727" s="15" t="n">
        <v>1426.0</v>
      </c>
      <c r="H727" s="16" t="n">
        <v>1782.0</v>
      </c>
      <c r="I727" s="17" t="n">
        <v>13.0</v>
      </c>
      <c r="J727" s="18" t="n">
        <v>0.02</v>
      </c>
      <c r="K727" s="19" t="inlineStr">
        <is>
          <t>Application Software</t>
        </is>
      </c>
      <c r="L727" s="20" t="inlineStr">
        <is>
          <t>Provider of web platform to crowd-source and manage community service and development. The company matches member needs with their community's resources, helping them crowd-source funds, materials and labor, as well as helping them to impact their community.</t>
        </is>
      </c>
      <c r="M727" s="21" t="inlineStr">
        <is>
          <t>StartEngine.com</t>
        </is>
      </c>
      <c r="N727" s="22" t="inlineStr">
        <is>
          <t>Accelerator/Incubator Backed</t>
        </is>
      </c>
      <c r="O727" s="23" t="inlineStr">
        <is>
          <t>Privately Held (backing)</t>
        </is>
      </c>
      <c r="P727" s="24" t="inlineStr">
        <is>
          <t>Long Beach, CA</t>
        </is>
      </c>
      <c r="Q727" s="25" t="inlineStr">
        <is>
          <t>www.thrdplace.com</t>
        </is>
      </c>
      <c r="R727" s="113">
        <f>HYPERLINK("https://my.pitchbook.com?c=54773-38", "View company online")</f>
      </c>
    </row>
    <row r="728">
      <c r="A728" s="27" t="inlineStr">
        <is>
          <t>108696-25</t>
        </is>
      </c>
      <c r="B728" s="28" t="inlineStr">
        <is>
          <t>ThoughtStem</t>
        </is>
      </c>
      <c r="C728" s="29" t="n">
        <v>0.4239527965434138</v>
      </c>
      <c r="D728" s="30" t="n">
        <v>7.358124041506502</v>
      </c>
      <c r="E728" s="31" t="inlineStr">
        <is>
          <t/>
        </is>
      </c>
      <c r="F728" s="32" t="n">
        <v>146.0</v>
      </c>
      <c r="G728" s="33" t="n">
        <v>3142.0</v>
      </c>
      <c r="H728" s="34" t="n">
        <v>6225.0</v>
      </c>
      <c r="I728" s="35" t="n">
        <v>12.0</v>
      </c>
      <c r="J728" s="36" t="inlineStr">
        <is>
          <t/>
        </is>
      </c>
      <c r="K728" s="37" t="inlineStr">
        <is>
          <t>Educational and Training Services (B2C)</t>
        </is>
      </c>
      <c r="L728" s="38" t="inlineStr">
        <is>
          <t>Developer of an online platform for imparting computer science education. The company specializes in developing various -learning technologies that integrate video games to help children learn coding.</t>
        </is>
      </c>
      <c r="M728" s="39" t="inlineStr">
        <is>
          <t>National Science Foundation</t>
        </is>
      </c>
      <c r="N728" s="40" t="inlineStr">
        <is>
          <t>Angel-Backed</t>
        </is>
      </c>
      <c r="O728" s="41" t="inlineStr">
        <is>
          <t>Privately Held (backing)</t>
        </is>
      </c>
      <c r="P728" s="42" t="inlineStr">
        <is>
          <t>San Diego, CA</t>
        </is>
      </c>
      <c r="Q728" s="43" t="inlineStr">
        <is>
          <t>www.thoughtstem.com</t>
        </is>
      </c>
      <c r="R728" s="114">
        <f>HYPERLINK("https://my.pitchbook.com?c=108696-25", "View company online")</f>
      </c>
    </row>
    <row r="729">
      <c r="A729" s="9" t="inlineStr">
        <is>
          <t>153813-70</t>
        </is>
      </c>
      <c r="B729" s="10" t="inlineStr">
        <is>
          <t>Thoughtfull Toys</t>
        </is>
      </c>
      <c r="C729" s="11" t="n">
        <v>-0.008218210212643602</v>
      </c>
      <c r="D729" s="12" t="n">
        <v>1.711033712415437</v>
      </c>
      <c r="E729" s="13" t="inlineStr">
        <is>
          <t/>
        </is>
      </c>
      <c r="F729" s="14" t="n">
        <v>55.0</v>
      </c>
      <c r="G729" s="15" t="n">
        <v>35.0</v>
      </c>
      <c r="H729" s="16" t="n">
        <v>1354.0</v>
      </c>
      <c r="I729" s="17" t="inlineStr">
        <is>
          <t/>
        </is>
      </c>
      <c r="J729" s="18" t="n">
        <v>1.02</v>
      </c>
      <c r="K729" s="19" t="inlineStr">
        <is>
          <t>Other Consumer Durables</t>
        </is>
      </c>
      <c r="L729" s="20" t="inlineStr">
        <is>
          <t>Manufacturer of toy cars. The company designs, manufactures and distributes durable, drivable, buildable and interchangeable toy cars for kids.</t>
        </is>
      </c>
      <c r="M729" s="21" t="inlineStr">
        <is>
          <t/>
        </is>
      </c>
      <c r="N729" s="22" t="inlineStr">
        <is>
          <t>Angel-Backed</t>
        </is>
      </c>
      <c r="O729" s="23" t="inlineStr">
        <is>
          <t>Privately Held (backing)</t>
        </is>
      </c>
      <c r="P729" s="24" t="inlineStr">
        <is>
          <t>Santa Cruz, CA</t>
        </is>
      </c>
      <c r="Q729" s="25" t="inlineStr">
        <is>
          <t>www.modarri.com</t>
        </is>
      </c>
      <c r="R729" s="113">
        <f>HYPERLINK("https://my.pitchbook.com?c=153813-70", "View company online")</f>
      </c>
    </row>
    <row r="730">
      <c r="A730" s="27" t="inlineStr">
        <is>
          <t>155156-32</t>
        </is>
      </c>
      <c r="B730" s="28" t="inlineStr">
        <is>
          <t>ThoughtBase</t>
        </is>
      </c>
      <c r="C730" s="29" t="n">
        <v>0.0</v>
      </c>
      <c r="D730" s="30" t="n">
        <v>0.06547035771427813</v>
      </c>
      <c r="E730" s="31" t="inlineStr">
        <is>
          <t/>
        </is>
      </c>
      <c r="F730" s="32" t="n">
        <v>3.0</v>
      </c>
      <c r="G730" s="33" t="n">
        <v>77.0</v>
      </c>
      <c r="H730" s="34" t="n">
        <v>1.0</v>
      </c>
      <c r="I730" s="35" t="inlineStr">
        <is>
          <t/>
        </is>
      </c>
      <c r="J730" s="36" t="n">
        <v>0.02</v>
      </c>
      <c r="K730" s="37" t="inlineStr">
        <is>
          <t>Social/Platform Software</t>
        </is>
      </c>
      <c r="L730" s="38" t="inlineStr">
        <is>
          <t>Provider of an online platform for providing feedback. The company provides an online platform which allows users to receive cash payments for submitting feedback on products, services, issues and ideas.</t>
        </is>
      </c>
      <c r="M730" s="39" t="inlineStr">
        <is>
          <t/>
        </is>
      </c>
      <c r="N730" s="40" t="inlineStr">
        <is>
          <t>Angel-Backed</t>
        </is>
      </c>
      <c r="O730" s="41" t="inlineStr">
        <is>
          <t>Privately Held (backing)</t>
        </is>
      </c>
      <c r="P730" s="42" t="inlineStr">
        <is>
          <t>San Francisco, CA</t>
        </is>
      </c>
      <c r="Q730" s="43" t="inlineStr">
        <is>
          <t>www.thoughtbase.com</t>
        </is>
      </c>
      <c r="R730" s="114">
        <f>HYPERLINK("https://my.pitchbook.com?c=155156-32", "View company online")</f>
      </c>
    </row>
    <row r="731">
      <c r="A731" s="9" t="inlineStr">
        <is>
          <t>134917-48</t>
        </is>
      </c>
      <c r="B731" s="10" t="inlineStr">
        <is>
          <t>Thorn Street Brewery</t>
        </is>
      </c>
      <c r="C731" s="11" t="n">
        <v>0.13718502295454235</v>
      </c>
      <c r="D731" s="12" t="n">
        <v>4.923232554588487</v>
      </c>
      <c r="E731" s="13" t="inlineStr">
        <is>
          <t/>
        </is>
      </c>
      <c r="F731" s="14" t="n">
        <v>54.0</v>
      </c>
      <c r="G731" s="15" t="inlineStr">
        <is>
          <t/>
        </is>
      </c>
      <c r="H731" s="16" t="n">
        <v>2966.0</v>
      </c>
      <c r="I731" s="17" t="inlineStr">
        <is>
          <t/>
        </is>
      </c>
      <c r="J731" s="18" t="n">
        <v>0.25</v>
      </c>
      <c r="K731" s="19" t="inlineStr">
        <is>
          <t>Beverages</t>
        </is>
      </c>
      <c r="L731" s="20" t="inlineStr">
        <is>
          <t>Operator of a brewing company with tasting room services. The company provides a variety of brewery products, both alcoholic and non-alcoholic, along with a tasting room space where customers can socialize in an open-air drinking space.</t>
        </is>
      </c>
      <c r="M731" s="21" t="inlineStr">
        <is>
          <t/>
        </is>
      </c>
      <c r="N731" s="22" t="inlineStr">
        <is>
          <t>Angel-Backed</t>
        </is>
      </c>
      <c r="O731" s="23" t="inlineStr">
        <is>
          <t>Privately Held (backing)</t>
        </is>
      </c>
      <c r="P731" s="24" t="inlineStr">
        <is>
          <t>San Diego, CA</t>
        </is>
      </c>
      <c r="Q731" s="25" t="inlineStr">
        <is>
          <t>thornstreetbrew.com</t>
        </is>
      </c>
      <c r="R731" s="113">
        <f>HYPERLINK("https://my.pitchbook.com?c=134917-48", "View company online")</f>
      </c>
    </row>
    <row r="732">
      <c r="A732" s="27" t="inlineStr">
        <is>
          <t>119594-17</t>
        </is>
      </c>
      <c r="B732" s="28" t="inlineStr">
        <is>
          <t>Thomson Power</t>
        </is>
      </c>
      <c r="C732" s="29" t="n">
        <v>0.06660863954034961</v>
      </c>
      <c r="D732" s="30" t="n">
        <v>0.2638437995844039</v>
      </c>
      <c r="E732" s="31" t="inlineStr">
        <is>
          <t/>
        </is>
      </c>
      <c r="F732" s="32" t="n">
        <v>8.0</v>
      </c>
      <c r="G732" s="33" t="n">
        <v>312.0</v>
      </c>
      <c r="H732" s="34" t="n">
        <v>82.0</v>
      </c>
      <c r="I732" s="35" t="n">
        <v>11.0</v>
      </c>
      <c r="J732" s="36" t="n">
        <v>0.16</v>
      </c>
      <c r="K732" s="37" t="inlineStr">
        <is>
          <t>Electrical Equipment</t>
        </is>
      </c>
      <c r="L732" s="38" t="inlineStr">
        <is>
          <t>Manufacturer of electrical products and systems for the power generation industry. The company develops and supplies sustainable energy software and power management system for improving the performance and efficiency of electric and hybrid drives in medium to heavy-duty truck and bus applications.</t>
        </is>
      </c>
      <c r="M732" s="39" t="inlineStr">
        <is>
          <t>Foresight Cleantech Accelerator Centre, Prospect Silicon Valley</t>
        </is>
      </c>
      <c r="N732" s="40" t="inlineStr">
        <is>
          <t>Accelerator/Incubator Backed</t>
        </is>
      </c>
      <c r="O732" s="41" t="inlineStr">
        <is>
          <t>Privately Held (backing)</t>
        </is>
      </c>
      <c r="P732" s="42" t="inlineStr">
        <is>
          <t>Vancouver, Canada</t>
        </is>
      </c>
      <c r="Q732" s="43" t="inlineStr">
        <is>
          <t>www.thomsonpower.com</t>
        </is>
      </c>
      <c r="R732" s="114">
        <f>HYPERLINK("https://my.pitchbook.com?c=119594-17", "View company online")</f>
      </c>
    </row>
    <row r="733">
      <c r="A733" s="9" t="inlineStr">
        <is>
          <t>90909-28</t>
        </is>
      </c>
      <c r="B733" s="10" t="inlineStr">
        <is>
          <t>Thompson Aerospace</t>
        </is>
      </c>
      <c r="C733" s="11" t="n">
        <v>0.0</v>
      </c>
      <c r="D733" s="12" t="n">
        <v>0.3783783783783784</v>
      </c>
      <c r="E733" s="13" t="inlineStr">
        <is>
          <t/>
        </is>
      </c>
      <c r="F733" s="14" t="n">
        <v>14.0</v>
      </c>
      <c r="G733" s="15" t="inlineStr">
        <is>
          <t/>
        </is>
      </c>
      <c r="H733" s="16" t="inlineStr">
        <is>
          <t/>
        </is>
      </c>
      <c r="I733" s="17" t="n">
        <v>14.0</v>
      </c>
      <c r="J733" s="18" t="n">
        <v>2.0</v>
      </c>
      <c r="K733" s="19" t="inlineStr">
        <is>
          <t>Aerospace and Defense</t>
        </is>
      </c>
      <c r="L733" s="20" t="inlineStr">
        <is>
          <t>Provider of aircraft network provisions. The company provides 1Net, a modular multipurpose single aisle aircraft network for high frequency short haul airlines.</t>
        </is>
      </c>
      <c r="M733" s="21" t="inlineStr">
        <is>
          <t/>
        </is>
      </c>
      <c r="N733" s="22" t="inlineStr">
        <is>
          <t>Angel-Backed</t>
        </is>
      </c>
      <c r="O733" s="23" t="inlineStr">
        <is>
          <t>Privately Held (backing)</t>
        </is>
      </c>
      <c r="P733" s="24" t="inlineStr">
        <is>
          <t>Irvine, CA</t>
        </is>
      </c>
      <c r="Q733" s="25" t="inlineStr">
        <is>
          <t>www.thompsonaerospace.com</t>
        </is>
      </c>
      <c r="R733" s="113">
        <f>HYPERLINK("https://my.pitchbook.com?c=90909-28", "View company online")</f>
      </c>
    </row>
    <row r="734">
      <c r="A734" s="27" t="inlineStr">
        <is>
          <t>102712-42</t>
        </is>
      </c>
      <c r="B734" s="28" t="inlineStr">
        <is>
          <t>Thistle Health</t>
        </is>
      </c>
      <c r="C734" s="29" t="n">
        <v>0.22668442549784343</v>
      </c>
      <c r="D734" s="30" t="n">
        <v>5.390546420723282</v>
      </c>
      <c r="E734" s="31" t="inlineStr">
        <is>
          <t/>
        </is>
      </c>
      <c r="F734" s="32" t="n">
        <v>46.0</v>
      </c>
      <c r="G734" s="33" t="n">
        <v>12517.0</v>
      </c>
      <c r="H734" s="34" t="n">
        <v>1221.0</v>
      </c>
      <c r="I734" s="35" t="n">
        <v>30.0</v>
      </c>
      <c r="J734" s="36" t="n">
        <v>1.0</v>
      </c>
      <c r="K734" s="37" t="inlineStr">
        <is>
          <t>Beverages</t>
        </is>
      </c>
      <c r="L734" s="38" t="inlineStr">
        <is>
          <t>Provider of an online healthy meal delivery platform. The company develops a subscription-based healthy food delivery platform that allows users to order nutritious, organic and local foods.</t>
        </is>
      </c>
      <c r="M734" s="39" t="inlineStr">
        <is>
          <t>Arjun Banker, Ashish Mistry, Darius Contractor, John Stockdale, Justin Rosenstein, Scott Crosby</t>
        </is>
      </c>
      <c r="N734" s="40" t="inlineStr">
        <is>
          <t>Angel-Backed</t>
        </is>
      </c>
      <c r="O734" s="41" t="inlineStr">
        <is>
          <t>Privately Held (backing)</t>
        </is>
      </c>
      <c r="P734" s="42" t="inlineStr">
        <is>
          <t>Berkeley, CA</t>
        </is>
      </c>
      <c r="Q734" s="43" t="inlineStr">
        <is>
          <t>www.thistlechangeyou.com</t>
        </is>
      </c>
      <c r="R734" s="114">
        <f>HYPERLINK("https://my.pitchbook.com?c=102712-42", "View company online")</f>
      </c>
    </row>
    <row r="735">
      <c r="A735" s="9" t="inlineStr">
        <is>
          <t>158735-08</t>
        </is>
      </c>
      <c r="B735" s="10" t="inlineStr">
        <is>
          <t>ThisIsMe</t>
        </is>
      </c>
      <c r="C735" s="11" t="n">
        <v>0.08771787766528574</v>
      </c>
      <c r="D735" s="12" t="n">
        <v>4.324698711765771</v>
      </c>
      <c r="E735" s="13" t="inlineStr">
        <is>
          <t/>
        </is>
      </c>
      <c r="F735" s="14" t="n">
        <v>39.0</v>
      </c>
      <c r="G735" s="15" t="n">
        <v>9244.0</v>
      </c>
      <c r="H735" s="16" t="n">
        <v>1309.0</v>
      </c>
      <c r="I735" s="17" t="inlineStr">
        <is>
          <t/>
        </is>
      </c>
      <c r="J735" s="18" t="n">
        <v>2.5</v>
      </c>
      <c r="K735" s="19" t="inlineStr">
        <is>
          <t>Network Management Software</t>
        </is>
      </c>
      <c r="L735" s="20" t="inlineStr">
        <is>
          <t>Provider of an identification and online verification platform. The company's platform verifies an individual's identity to other individuals, businesses, financial institutions and regulators by using links to Home Affairs and the major banks.</t>
        </is>
      </c>
      <c r="M735" s="21" t="inlineStr">
        <is>
          <t/>
        </is>
      </c>
      <c r="N735" s="22" t="inlineStr">
        <is>
          <t>Angel-Backed</t>
        </is>
      </c>
      <c r="O735" s="23" t="inlineStr">
        <is>
          <t>Privately Held (backing)</t>
        </is>
      </c>
      <c r="P735" s="24" t="inlineStr">
        <is>
          <t>Cape Town, South Africa</t>
        </is>
      </c>
      <c r="Q735" s="25" t="inlineStr">
        <is>
          <t>www.thisisme.com</t>
        </is>
      </c>
      <c r="R735" s="113">
        <f>HYPERLINK("https://my.pitchbook.com?c=158735-08", "View company online")</f>
      </c>
    </row>
    <row r="736">
      <c r="A736" s="27" t="inlineStr">
        <is>
          <t>166160-98</t>
        </is>
      </c>
      <c r="B736" s="28" t="inlineStr">
        <is>
          <t>Thirsty Thread</t>
        </is>
      </c>
      <c r="C736" s="29" t="n">
        <v>0.0</v>
      </c>
      <c r="D736" s="30" t="n">
        <v>0.05466483432585128</v>
      </c>
      <c r="E736" s="31" t="inlineStr">
        <is>
          <t/>
        </is>
      </c>
      <c r="F736" s="32" t="n">
        <v>3.0</v>
      </c>
      <c r="G736" s="33" t="inlineStr">
        <is>
          <t/>
        </is>
      </c>
      <c r="H736" s="34" t="n">
        <v>10.0</v>
      </c>
      <c r="I736" s="35" t="inlineStr">
        <is>
          <t/>
        </is>
      </c>
      <c r="J736" s="36" t="n">
        <v>0.03</v>
      </c>
      <c r="K736" s="37" t="inlineStr">
        <is>
          <t>Business/Productivity Software</t>
        </is>
      </c>
      <c r="L736" s="38" t="inlineStr">
        <is>
          <t>Provider of an online market data dashboard for the fashion industry. The company's platform provides information about recent trends in the fashion market and thereby enables fashion designers to design clothes and jewelries.</t>
        </is>
      </c>
      <c r="M736" s="39" t="inlineStr">
        <is>
          <t>The Mill</t>
        </is>
      </c>
      <c r="N736" s="40" t="inlineStr">
        <is>
          <t>Accelerator/Incubator Backed</t>
        </is>
      </c>
      <c r="O736" s="41" t="inlineStr">
        <is>
          <t>Privately Held (backing)</t>
        </is>
      </c>
      <c r="P736" s="42" t="inlineStr">
        <is>
          <t>Campbell, CA</t>
        </is>
      </c>
      <c r="Q736" s="43" t="inlineStr">
        <is>
          <t>www.thirstythread.com</t>
        </is>
      </c>
      <c r="R736" s="114">
        <f>HYPERLINK("https://my.pitchbook.com?c=166160-98", "View company online")</f>
      </c>
    </row>
    <row r="737">
      <c r="A737" s="9" t="inlineStr">
        <is>
          <t>172742-05</t>
        </is>
      </c>
      <c r="B737" s="10" t="inlineStr">
        <is>
          <t>Third Window Brewing</t>
        </is>
      </c>
      <c r="C737" s="85">
        <f>HYPERLINK("https://my.pitchbook.com?rrp=172742-05&amp;type=c", "This Company's information is not available to download. Need this Company? Request availability")</f>
      </c>
      <c r="D737" s="12" t="inlineStr">
        <is>
          <t/>
        </is>
      </c>
      <c r="E737" s="13" t="inlineStr">
        <is>
          <t/>
        </is>
      </c>
      <c r="F737" s="14" t="inlineStr">
        <is>
          <t/>
        </is>
      </c>
      <c r="G737" s="15" t="inlineStr">
        <is>
          <t/>
        </is>
      </c>
      <c r="H737" s="16" t="inlineStr">
        <is>
          <t/>
        </is>
      </c>
      <c r="I737" s="17" t="inlineStr">
        <is>
          <t/>
        </is>
      </c>
      <c r="J737" s="18" t="inlineStr">
        <is>
          <t/>
        </is>
      </c>
      <c r="K737" s="19" t="inlineStr">
        <is>
          <t/>
        </is>
      </c>
      <c r="L737" s="20" t="inlineStr">
        <is>
          <t/>
        </is>
      </c>
      <c r="M737" s="21" t="inlineStr">
        <is>
          <t/>
        </is>
      </c>
      <c r="N737" s="22" t="inlineStr">
        <is>
          <t/>
        </is>
      </c>
      <c r="O737" s="23" t="inlineStr">
        <is>
          <t/>
        </is>
      </c>
      <c r="P737" s="24" t="inlineStr">
        <is>
          <t/>
        </is>
      </c>
      <c r="Q737" s="25" t="inlineStr">
        <is>
          <t/>
        </is>
      </c>
      <c r="R737" s="26" t="inlineStr">
        <is>
          <t/>
        </is>
      </c>
    </row>
    <row r="738">
      <c r="A738" s="27" t="inlineStr">
        <is>
          <t>100283-32</t>
        </is>
      </c>
      <c r="B738" s="28" t="inlineStr">
        <is>
          <t>Third Ear</t>
        </is>
      </c>
      <c r="C738" s="29" t="n">
        <v>0.0</v>
      </c>
      <c r="D738" s="30" t="n">
        <v>0.02702702702702703</v>
      </c>
      <c r="E738" s="31" t="inlineStr">
        <is>
          <t/>
        </is>
      </c>
      <c r="F738" s="32" t="n">
        <v>1.0</v>
      </c>
      <c r="G738" s="33" t="inlineStr">
        <is>
          <t/>
        </is>
      </c>
      <c r="H738" s="34" t="inlineStr">
        <is>
          <t/>
        </is>
      </c>
      <c r="I738" s="35" t="n">
        <v>2.0</v>
      </c>
      <c r="J738" s="36" t="n">
        <v>0.03</v>
      </c>
      <c r="K738" s="37" t="inlineStr">
        <is>
          <t>Broadcasting, Radio and Television</t>
        </is>
      </c>
      <c r="L738" s="38" t="inlineStr">
        <is>
          <t>Developer of 3Dimensional, 6Dimensional audio, video products. The company's product 3rdEar enables people to listen and view 3Dimensional and 6Dimensional.</t>
        </is>
      </c>
      <c r="M738" s="39" t="inlineStr">
        <is>
          <t>SOSV</t>
        </is>
      </c>
      <c r="N738" s="40" t="inlineStr">
        <is>
          <t>Accelerator/Incubator Backed</t>
        </is>
      </c>
      <c r="O738" s="41" t="inlineStr">
        <is>
          <t>Privately Held (backing)</t>
        </is>
      </c>
      <c r="P738" s="42" t="inlineStr">
        <is>
          <t>Roseville, CA</t>
        </is>
      </c>
      <c r="Q738" s="43" t="inlineStr">
        <is>
          <t>www.3rdear.co</t>
        </is>
      </c>
      <c r="R738" s="114">
        <f>HYPERLINK("https://my.pitchbook.com?c=100283-32", "View company online")</f>
      </c>
    </row>
    <row r="739">
      <c r="A739" s="9" t="inlineStr">
        <is>
          <t>102476-35</t>
        </is>
      </c>
      <c r="B739" s="10" t="inlineStr">
        <is>
          <t>ThinkLab</t>
        </is>
      </c>
      <c r="C739" s="85">
        <f>HYPERLINK("https://my.pitchbook.com?rrp=102476-35&amp;type=c", "This Company's information is not available to download. Need this Company? Request availability")</f>
      </c>
      <c r="D739" s="12" t="inlineStr">
        <is>
          <t/>
        </is>
      </c>
      <c r="E739" s="13" t="inlineStr">
        <is>
          <t/>
        </is>
      </c>
      <c r="F739" s="14" t="inlineStr">
        <is>
          <t/>
        </is>
      </c>
      <c r="G739" s="15" t="inlineStr">
        <is>
          <t/>
        </is>
      </c>
      <c r="H739" s="16" t="inlineStr">
        <is>
          <t/>
        </is>
      </c>
      <c r="I739" s="17" t="inlineStr">
        <is>
          <t/>
        </is>
      </c>
      <c r="J739" s="18" t="inlineStr">
        <is>
          <t/>
        </is>
      </c>
      <c r="K739" s="19" t="inlineStr">
        <is>
          <t/>
        </is>
      </c>
      <c r="L739" s="20" t="inlineStr">
        <is>
          <t/>
        </is>
      </c>
      <c r="M739" s="21" t="inlineStr">
        <is>
          <t/>
        </is>
      </c>
      <c r="N739" s="22" t="inlineStr">
        <is>
          <t/>
        </is>
      </c>
      <c r="O739" s="23" t="inlineStr">
        <is>
          <t/>
        </is>
      </c>
      <c r="P739" s="24" t="inlineStr">
        <is>
          <t/>
        </is>
      </c>
      <c r="Q739" s="25" t="inlineStr">
        <is>
          <t/>
        </is>
      </c>
      <c r="R739" s="26" t="inlineStr">
        <is>
          <t/>
        </is>
      </c>
    </row>
    <row r="740">
      <c r="A740" s="27" t="inlineStr">
        <is>
          <t>175233-52</t>
        </is>
      </c>
      <c r="B740" s="28" t="inlineStr">
        <is>
          <t>ThinkINside</t>
        </is>
      </c>
      <c r="C740" s="86">
        <f>HYPERLINK("https://my.pitchbook.com?rrp=175233-52&amp;type=c", "This Company's information is not available to download. Need this Company? Request availability")</f>
      </c>
      <c r="D740" s="30" t="inlineStr">
        <is>
          <t/>
        </is>
      </c>
      <c r="E740" s="31" t="inlineStr">
        <is>
          <t/>
        </is>
      </c>
      <c r="F740" s="32" t="inlineStr">
        <is>
          <t/>
        </is>
      </c>
      <c r="G740" s="33" t="inlineStr">
        <is>
          <t/>
        </is>
      </c>
      <c r="H740" s="34" t="inlineStr">
        <is>
          <t/>
        </is>
      </c>
      <c r="I740" s="35" t="inlineStr">
        <is>
          <t/>
        </is>
      </c>
      <c r="J740" s="36" t="inlineStr">
        <is>
          <t/>
        </is>
      </c>
      <c r="K740" s="37" t="inlineStr">
        <is>
          <t/>
        </is>
      </c>
      <c r="L740" s="38" t="inlineStr">
        <is>
          <t/>
        </is>
      </c>
      <c r="M740" s="39" t="inlineStr">
        <is>
          <t/>
        </is>
      </c>
      <c r="N740" s="40" t="inlineStr">
        <is>
          <t/>
        </is>
      </c>
      <c r="O740" s="41" t="inlineStr">
        <is>
          <t/>
        </is>
      </c>
      <c r="P740" s="42" t="inlineStr">
        <is>
          <t/>
        </is>
      </c>
      <c r="Q740" s="43" t="inlineStr">
        <is>
          <t/>
        </is>
      </c>
      <c r="R740" s="44" t="inlineStr">
        <is>
          <t/>
        </is>
      </c>
    </row>
    <row r="741">
      <c r="A741" s="9" t="inlineStr">
        <is>
          <t>96840-46</t>
        </is>
      </c>
      <c r="B741" s="10" t="inlineStr">
        <is>
          <t>Thinkingvoice</t>
        </is>
      </c>
      <c r="C741" s="11" t="n">
        <v>0.0</v>
      </c>
      <c r="D741" s="12" t="n">
        <v>0.7027027027027027</v>
      </c>
      <c r="E741" s="13" t="inlineStr">
        <is>
          <t/>
        </is>
      </c>
      <c r="F741" s="14" t="n">
        <v>25.0</v>
      </c>
      <c r="G741" s="15" t="inlineStr">
        <is>
          <t/>
        </is>
      </c>
      <c r="H741" s="16" t="inlineStr">
        <is>
          <t/>
        </is>
      </c>
      <c r="I741" s="17" t="n">
        <v>1.0</v>
      </c>
      <c r="J741" s="18" t="inlineStr">
        <is>
          <t/>
        </is>
      </c>
      <c r="K741" s="19" t="inlineStr">
        <is>
          <t>Systems and Information Management</t>
        </is>
      </c>
      <c r="L741" s="20" t="inlineStr">
        <is>
          <t>Developer of a cloud based call center suite. The company provides phone verified leads to some of the industries top advertisers and educational institutions.</t>
        </is>
      </c>
      <c r="M741" s="21" t="inlineStr">
        <is>
          <t>Mark Cuban, Mark Curtis, Mark Goines, Royal Farros</t>
        </is>
      </c>
      <c r="N741" s="22" t="inlineStr">
        <is>
          <t>Angel-Backed</t>
        </is>
      </c>
      <c r="O741" s="23" t="inlineStr">
        <is>
          <t>Privately Held (backing)</t>
        </is>
      </c>
      <c r="P741" s="24" t="inlineStr">
        <is>
          <t>Danville, CA</t>
        </is>
      </c>
      <c r="Q741" s="25" t="inlineStr">
        <is>
          <t>www.thinkingvoice.com</t>
        </is>
      </c>
      <c r="R741" s="113">
        <f>HYPERLINK("https://my.pitchbook.com?c=96840-46", "View company online")</f>
      </c>
    </row>
    <row r="742">
      <c r="A742" s="27" t="inlineStr">
        <is>
          <t>171637-03</t>
        </is>
      </c>
      <c r="B742" s="28" t="inlineStr">
        <is>
          <t>ThinkFit</t>
        </is>
      </c>
      <c r="C742" s="29" t="inlineStr">
        <is>
          <t/>
        </is>
      </c>
      <c r="D742" s="30" t="inlineStr">
        <is>
          <t/>
        </is>
      </c>
      <c r="E742" s="31" t="inlineStr">
        <is>
          <t/>
        </is>
      </c>
      <c r="F742" s="32" t="inlineStr">
        <is>
          <t/>
        </is>
      </c>
      <c r="G742" s="33" t="inlineStr">
        <is>
          <t/>
        </is>
      </c>
      <c r="H742" s="34" t="inlineStr">
        <is>
          <t/>
        </is>
      </c>
      <c r="I742" s="35" t="inlineStr">
        <is>
          <t/>
        </is>
      </c>
      <c r="J742" s="36" t="inlineStr">
        <is>
          <t/>
        </is>
      </c>
      <c r="K742" s="37" t="inlineStr">
        <is>
          <t>Other Healthcare Services</t>
        </is>
      </c>
      <c r="L742" s="38" t="inlineStr">
        <is>
          <t>Provider of psychotherapy services intended to treat patients suffering from depression. The company's services are aimed at improving the lives of patients affected with mental disorders using an emotional appeal enabling depressed patients to better manage and reduce their symptoms by combining psychotherapy and physical exercise.</t>
        </is>
      </c>
      <c r="M742" s="39" t="inlineStr">
        <is>
          <t>California State University, Northridge Foundation, Los Angeles Cleantech Incubator</t>
        </is>
      </c>
      <c r="N742" s="40" t="inlineStr">
        <is>
          <t>Accelerator/Incubator Backed</t>
        </is>
      </c>
      <c r="O742" s="41" t="inlineStr">
        <is>
          <t>Privately Held (backing)</t>
        </is>
      </c>
      <c r="P742" s="42" t="inlineStr">
        <is>
          <t>Los Angeles, CA</t>
        </is>
      </c>
      <c r="Q742" s="43" t="inlineStr">
        <is>
          <t>www.thinkfitinfo.com</t>
        </is>
      </c>
      <c r="R742" s="114">
        <f>HYPERLINK("https://my.pitchbook.com?c=171637-03", "View company online")</f>
      </c>
    </row>
    <row r="743">
      <c r="A743" s="9" t="inlineStr">
        <is>
          <t>95586-22</t>
        </is>
      </c>
      <c r="B743" s="10" t="inlineStr">
        <is>
          <t>ThinkApps</t>
        </is>
      </c>
      <c r="C743" s="11" t="n">
        <v>-0.024970590334490388</v>
      </c>
      <c r="D743" s="12" t="n">
        <v>2.8201171721252782</v>
      </c>
      <c r="E743" s="13" t="inlineStr">
        <is>
          <t/>
        </is>
      </c>
      <c r="F743" s="14" t="n">
        <v>27.0</v>
      </c>
      <c r="G743" s="15" t="n">
        <v>4196.0</v>
      </c>
      <c r="H743" s="16" t="n">
        <v>1630.0</v>
      </c>
      <c r="I743" s="17" t="n">
        <v>5.0</v>
      </c>
      <c r="J743" s="18" t="inlineStr">
        <is>
          <t/>
        </is>
      </c>
      <c r="K743" s="19" t="inlineStr">
        <is>
          <t>Application Software</t>
        </is>
      </c>
      <c r="L743" s="20" t="inlineStr">
        <is>
          <t>Operator of an application development and design company. The company's platform enables users to design and create applications for Web, mobile and wearable devices.</t>
        </is>
      </c>
      <c r="M743" s="21" t="inlineStr">
        <is>
          <t>StartX</t>
        </is>
      </c>
      <c r="N743" s="22" t="inlineStr">
        <is>
          <t>Accelerator/Incubator Backed</t>
        </is>
      </c>
      <c r="O743" s="23" t="inlineStr">
        <is>
          <t>Privately Held (backing)</t>
        </is>
      </c>
      <c r="P743" s="24" t="inlineStr">
        <is>
          <t>San Francisco, CA</t>
        </is>
      </c>
      <c r="Q743" s="25" t="inlineStr">
        <is>
          <t>www.thinkapps.com</t>
        </is>
      </c>
      <c r="R743" s="113">
        <f>HYPERLINK("https://my.pitchbook.com?c=95586-22", "View company online")</f>
      </c>
    </row>
    <row r="744">
      <c r="A744" s="27" t="inlineStr">
        <is>
          <t>112825-81</t>
        </is>
      </c>
      <c r="B744" s="28" t="inlineStr">
        <is>
          <t>Think Spider</t>
        </is>
      </c>
      <c r="C744" s="29" t="n">
        <v>0.0</v>
      </c>
      <c r="D744" s="30" t="n">
        <v>0.05405405405405406</v>
      </c>
      <c r="E744" s="31" t="inlineStr">
        <is>
          <t/>
        </is>
      </c>
      <c r="F744" s="32" t="n">
        <v>2.0</v>
      </c>
      <c r="G744" s="33" t="inlineStr">
        <is>
          <t/>
        </is>
      </c>
      <c r="H744" s="34" t="inlineStr">
        <is>
          <t/>
        </is>
      </c>
      <c r="I744" s="35" t="inlineStr">
        <is>
          <t/>
        </is>
      </c>
      <c r="J744" s="36" t="inlineStr">
        <is>
          <t/>
        </is>
      </c>
      <c r="K744" s="37" t="inlineStr">
        <is>
          <t>Application Software</t>
        </is>
      </c>
      <c r="L744" s="38" t="inlineStr">
        <is>
          <t>Developer of a work management application. The company develops an application that enables users to plan and manage their work by co-coordinating projects, documents, discussions, notes, meetings and workflow across teams.</t>
        </is>
      </c>
      <c r="M744" s="39" t="inlineStr">
        <is>
          <t>Keiretsu Forum, Northbound DGS, Scott Strother, TiE LaunchPad</t>
        </is>
      </c>
      <c r="N744" s="40" t="inlineStr">
        <is>
          <t>Accelerator/Incubator Backed</t>
        </is>
      </c>
      <c r="O744" s="41" t="inlineStr">
        <is>
          <t>Privately Held (backing)</t>
        </is>
      </c>
      <c r="P744" s="42" t="inlineStr">
        <is>
          <t>Sunnyvale, CA</t>
        </is>
      </c>
      <c r="Q744" s="43" t="inlineStr">
        <is>
          <t>www.thinkspider.com</t>
        </is>
      </c>
      <c r="R744" s="114">
        <f>HYPERLINK("https://my.pitchbook.com?c=112825-81", "View company online")</f>
      </c>
    </row>
    <row r="745">
      <c r="A745" s="9" t="inlineStr">
        <is>
          <t>168523-39</t>
        </is>
      </c>
      <c r="B745" s="10" t="inlineStr">
        <is>
          <t>Think Rich Films</t>
        </is>
      </c>
      <c r="C745" s="11" t="n">
        <v>0.06316773964912287</v>
      </c>
      <c r="D745" s="12" t="n">
        <v>14.294854342183006</v>
      </c>
      <c r="E745" s="13" t="inlineStr">
        <is>
          <t/>
        </is>
      </c>
      <c r="F745" s="14" t="n">
        <v>2.0</v>
      </c>
      <c r="G745" s="15" t="n">
        <v>19786.0</v>
      </c>
      <c r="H745" s="16" t="n">
        <v>11497.0</v>
      </c>
      <c r="I745" s="17" t="inlineStr">
        <is>
          <t/>
        </is>
      </c>
      <c r="J745" s="18" t="n">
        <v>0.48</v>
      </c>
      <c r="K745" s="19" t="inlineStr">
        <is>
          <t>Movies, Music and Entertainment</t>
        </is>
      </c>
      <c r="L745" s="20" t="inlineStr">
        <is>
          <t>Producer of docudrama films. The company engages into production, branding and marketing of different kind of films, docudrama and books named THINK: The Legacy of Think and Grow Rich regarding financial literacy, stories of renowned entrepreneurs, success stories, cultural icons and thought leaders.</t>
        </is>
      </c>
      <c r="M745" s="21" t="inlineStr">
        <is>
          <t/>
        </is>
      </c>
      <c r="N745" s="22" t="inlineStr">
        <is>
          <t>Angel-Backed</t>
        </is>
      </c>
      <c r="O745" s="23" t="inlineStr">
        <is>
          <t>Privately Held (backing)</t>
        </is>
      </c>
      <c r="P745" s="24" t="inlineStr">
        <is>
          <t>Malibu, CA</t>
        </is>
      </c>
      <c r="Q745" s="25" t="inlineStr">
        <is>
          <t>www.thinkthelegacy.com</t>
        </is>
      </c>
      <c r="R745" s="113">
        <f>HYPERLINK("https://my.pitchbook.com?c=168523-39", "View company online")</f>
      </c>
    </row>
    <row r="746">
      <c r="A746" s="27" t="inlineStr">
        <is>
          <t>90800-65</t>
        </is>
      </c>
      <c r="B746" s="28" t="inlineStr">
        <is>
          <t>Think Now</t>
        </is>
      </c>
      <c r="C746" s="29" t="n">
        <v>0.0</v>
      </c>
      <c r="D746" s="30" t="n">
        <v>0.08108108108108109</v>
      </c>
      <c r="E746" s="31" t="inlineStr">
        <is>
          <t/>
        </is>
      </c>
      <c r="F746" s="32" t="n">
        <v>3.0</v>
      </c>
      <c r="G746" s="33" t="inlineStr">
        <is>
          <t/>
        </is>
      </c>
      <c r="H746" s="34" t="inlineStr">
        <is>
          <t/>
        </is>
      </c>
      <c r="I746" s="35" t="inlineStr">
        <is>
          <t/>
        </is>
      </c>
      <c r="J746" s="36" t="n">
        <v>0.15</v>
      </c>
      <c r="K746" s="37" t="inlineStr">
        <is>
          <t>Other Healthcare Services</t>
        </is>
      </c>
      <c r="L746" s="38" t="inlineStr">
        <is>
          <t>Provider of healthcare software. The company provides a cloud based software which focuses on cognitive neurosciences and brain related issues.</t>
        </is>
      </c>
      <c r="M746" s="39" t="inlineStr">
        <is>
          <t>National Institutes of Mental Health</t>
        </is>
      </c>
      <c r="N746" s="40" t="inlineStr">
        <is>
          <t>Angel-Backed</t>
        </is>
      </c>
      <c r="O746" s="41" t="inlineStr">
        <is>
          <t>Privately Held (backing)</t>
        </is>
      </c>
      <c r="P746" s="42" t="inlineStr">
        <is>
          <t>San Francisco, CA</t>
        </is>
      </c>
      <c r="Q746" s="43" t="inlineStr">
        <is>
          <t>www.think-now.com</t>
        </is>
      </c>
      <c r="R746" s="114">
        <f>HYPERLINK("https://my.pitchbook.com?c=90800-65", "View company online")</f>
      </c>
    </row>
    <row r="747">
      <c r="A747" s="9" t="inlineStr">
        <is>
          <t>111799-99</t>
        </is>
      </c>
      <c r="B747" s="10" t="inlineStr">
        <is>
          <t>Thington</t>
        </is>
      </c>
      <c r="C747" s="11" t="n">
        <v>0.036364152085909665</v>
      </c>
      <c r="D747" s="12" t="n">
        <v>4.172698121850664</v>
      </c>
      <c r="E747" s="13" t="inlineStr">
        <is>
          <t/>
        </is>
      </c>
      <c r="F747" s="14" t="n">
        <v>4.0</v>
      </c>
      <c r="G747" s="15" t="inlineStr">
        <is>
          <t/>
        </is>
      </c>
      <c r="H747" s="16" t="n">
        <v>2913.0</v>
      </c>
      <c r="I747" s="17" t="inlineStr">
        <is>
          <t/>
        </is>
      </c>
      <c r="J747" s="18" t="inlineStr">
        <is>
          <t/>
        </is>
      </c>
      <c r="K747" s="19" t="inlineStr">
        <is>
          <t>Social/Platform Software</t>
        </is>
      </c>
      <c r="L747" s="20" t="inlineStr">
        <is>
          <t>Provider of an interactive platform. The company's platform provides consumer facing product that combines smart home technology with location, social networks and the web of data.</t>
        </is>
      </c>
      <c r="M747" s="21" t="inlineStr">
        <is>
          <t>Eric Wahlforss, Joichi Ito, LocalGlobe, Loïc Le Meur, Marko Ahtisaari, Matt Rolandson, Ray Ozzie, Samantha Tripodi, Saul Klein, Stewart Butterfield</t>
        </is>
      </c>
      <c r="N747" s="22" t="inlineStr">
        <is>
          <t>Angel-Backed</t>
        </is>
      </c>
      <c r="O747" s="23" t="inlineStr">
        <is>
          <t>Privately Held (backing)</t>
        </is>
      </c>
      <c r="P747" s="24" t="inlineStr">
        <is>
          <t>San Francisco, CA</t>
        </is>
      </c>
      <c r="Q747" s="25" t="inlineStr">
        <is>
          <t>www.thington.com</t>
        </is>
      </c>
      <c r="R747" s="113">
        <f>HYPERLINK("https://my.pitchbook.com?c=111799-99", "View company online")</f>
      </c>
    </row>
    <row r="748">
      <c r="A748" s="27" t="inlineStr">
        <is>
          <t>118552-51</t>
        </is>
      </c>
      <c r="B748" s="28" t="inlineStr">
        <is>
          <t>Thing Tank</t>
        </is>
      </c>
      <c r="C748" s="29" t="n">
        <v>0.0</v>
      </c>
      <c r="D748" s="30" t="n">
        <v>0.4864864864864865</v>
      </c>
      <c r="E748" s="31" t="inlineStr">
        <is>
          <t/>
        </is>
      </c>
      <c r="F748" s="32" t="n">
        <v>18.0</v>
      </c>
      <c r="G748" s="33" t="inlineStr">
        <is>
          <t/>
        </is>
      </c>
      <c r="H748" s="34" t="inlineStr">
        <is>
          <t/>
        </is>
      </c>
      <c r="I748" s="35" t="inlineStr">
        <is>
          <t/>
        </is>
      </c>
      <c r="J748" s="36" t="inlineStr">
        <is>
          <t/>
        </is>
      </c>
      <c r="K748" s="37" t="inlineStr">
        <is>
          <t>Information Services (B2C)</t>
        </is>
      </c>
      <c r="L748" s="38" t="inlineStr">
        <is>
          <t>Developer of a product discovery platform. The company provides a product discovery platform that let users discover things from stores around them.</t>
        </is>
      </c>
      <c r="M748" s="39" t="inlineStr">
        <is>
          <t>SMU Institute of Innovation &amp; Entrepreneurship</t>
        </is>
      </c>
      <c r="N748" s="40" t="inlineStr">
        <is>
          <t>Accelerator/Incubator Backed</t>
        </is>
      </c>
      <c r="O748" s="41" t="inlineStr">
        <is>
          <t>Privately Held (backing)</t>
        </is>
      </c>
      <c r="P748" s="42" t="inlineStr">
        <is>
          <t>San Francisco, CA</t>
        </is>
      </c>
      <c r="Q748" s="43" t="inlineStr">
        <is>
          <t>www.thing-tank.com</t>
        </is>
      </c>
      <c r="R748" s="114">
        <f>HYPERLINK("https://my.pitchbook.com?c=118552-51", "View company online")</f>
      </c>
    </row>
    <row r="749">
      <c r="A749" s="9" t="inlineStr">
        <is>
          <t>108962-74</t>
        </is>
      </c>
      <c r="B749" s="10" t="inlineStr">
        <is>
          <t>Thermodo</t>
        </is>
      </c>
      <c r="C749" s="11" t="n">
        <v>-0.006535913970507503</v>
      </c>
      <c r="D749" s="12" t="n">
        <v>6.639428640662981</v>
      </c>
      <c r="E749" s="13" t="inlineStr">
        <is>
          <t/>
        </is>
      </c>
      <c r="F749" s="14" t="n">
        <v>42.0</v>
      </c>
      <c r="G749" s="15" t="n">
        <v>16600.0</v>
      </c>
      <c r="H749" s="16" t="n">
        <v>1296.0</v>
      </c>
      <c r="I749" s="17" t="inlineStr">
        <is>
          <t/>
        </is>
      </c>
      <c r="J749" s="18" t="inlineStr">
        <is>
          <t/>
        </is>
      </c>
      <c r="K749" s="19" t="inlineStr">
        <is>
          <t>Electronics (B2C)</t>
        </is>
      </c>
      <c r="L749" s="20" t="inlineStr">
        <is>
          <t>Provider of a temperature measuring device for mobile phones. The company offers a mobile thermometer that converts the smart phone into a temperature monitoring equipment.</t>
        </is>
      </c>
      <c r="M749" s="21" t="inlineStr">
        <is>
          <t>SOSV</t>
        </is>
      </c>
      <c r="N749" s="22" t="inlineStr">
        <is>
          <t>Accelerator/Incubator Backed</t>
        </is>
      </c>
      <c r="O749" s="23" t="inlineStr">
        <is>
          <t>Privately Held (backing)</t>
        </is>
      </c>
      <c r="P749" s="24" t="inlineStr">
        <is>
          <t>San Francisco, CA</t>
        </is>
      </c>
      <c r="Q749" s="25" t="inlineStr">
        <is>
          <t>www.thermodo.com</t>
        </is>
      </c>
      <c r="R749" s="113">
        <f>HYPERLINK("https://my.pitchbook.com?c=108962-74", "View company online")</f>
      </c>
    </row>
    <row r="750">
      <c r="A750" s="27" t="inlineStr">
        <is>
          <t>176448-25</t>
        </is>
      </c>
      <c r="B750" s="28" t="inlineStr">
        <is>
          <t>TheRightMargin</t>
        </is>
      </c>
      <c r="C750" s="86">
        <f>HYPERLINK("https://my.pitchbook.com?rrp=176448-25&amp;type=c", "This Company's information is not available to download. Need this Company? Request availability")</f>
      </c>
      <c r="D750" s="30" t="inlineStr">
        <is>
          <t/>
        </is>
      </c>
      <c r="E750" s="31" t="inlineStr">
        <is>
          <t/>
        </is>
      </c>
      <c r="F750" s="32" t="inlineStr">
        <is>
          <t/>
        </is>
      </c>
      <c r="G750" s="33" t="inlineStr">
        <is>
          <t/>
        </is>
      </c>
      <c r="H750" s="34" t="inlineStr">
        <is>
          <t/>
        </is>
      </c>
      <c r="I750" s="35" t="inlineStr">
        <is>
          <t/>
        </is>
      </c>
      <c r="J750" s="36" t="inlineStr">
        <is>
          <t/>
        </is>
      </c>
      <c r="K750" s="37" t="inlineStr">
        <is>
          <t/>
        </is>
      </c>
      <c r="L750" s="38" t="inlineStr">
        <is>
          <t/>
        </is>
      </c>
      <c r="M750" s="39" t="inlineStr">
        <is>
          <t/>
        </is>
      </c>
      <c r="N750" s="40" t="inlineStr">
        <is>
          <t/>
        </is>
      </c>
      <c r="O750" s="41" t="inlineStr">
        <is>
          <t/>
        </is>
      </c>
      <c r="P750" s="42" t="inlineStr">
        <is>
          <t/>
        </is>
      </c>
      <c r="Q750" s="43" t="inlineStr">
        <is>
          <t/>
        </is>
      </c>
      <c r="R750" s="44" t="inlineStr">
        <is>
          <t/>
        </is>
      </c>
    </row>
    <row r="751">
      <c r="A751" s="9" t="inlineStr">
        <is>
          <t>92896-39</t>
        </is>
      </c>
      <c r="B751" s="10" t="inlineStr">
        <is>
          <t>Theragene Pharmaceuticals</t>
        </is>
      </c>
      <c r="C751" s="11" t="n">
        <v>0.0</v>
      </c>
      <c r="D751" s="12" t="n">
        <v>0.10810810810810811</v>
      </c>
      <c r="E751" s="13" t="inlineStr">
        <is>
          <t/>
        </is>
      </c>
      <c r="F751" s="14" t="n">
        <v>4.0</v>
      </c>
      <c r="G751" s="15" t="inlineStr">
        <is>
          <t/>
        </is>
      </c>
      <c r="H751" s="16" t="inlineStr">
        <is>
          <t/>
        </is>
      </c>
      <c r="I751" s="17" t="inlineStr">
        <is>
          <t/>
        </is>
      </c>
      <c r="J751" s="18" t="n">
        <v>0.55</v>
      </c>
      <c r="K751" s="19" t="inlineStr">
        <is>
          <t>Biotechnology</t>
        </is>
      </c>
      <c r="L751" s="20" t="inlineStr">
        <is>
          <t>Developer of life saving therapies for treating chronic diseases. The company develops pre-clinical and clinical oncology and cardiology products utilizing immunotherapy, gene therapy and peptide delivery methods for treating debilitating diseases.</t>
        </is>
      </c>
      <c r="M751" s="21" t="inlineStr">
        <is>
          <t/>
        </is>
      </c>
      <c r="N751" s="22" t="inlineStr">
        <is>
          <t>Angel-Backed</t>
        </is>
      </c>
      <c r="O751" s="23" t="inlineStr">
        <is>
          <t>Privately Held (backing)</t>
        </is>
      </c>
      <c r="P751" s="24" t="inlineStr">
        <is>
          <t>San Diego, CA</t>
        </is>
      </c>
      <c r="Q751" s="25" t="inlineStr">
        <is>
          <t>www.theragenepharma.com</t>
        </is>
      </c>
      <c r="R751" s="113">
        <f>HYPERLINK("https://my.pitchbook.com?c=92896-39", "View company online")</f>
      </c>
    </row>
    <row r="752">
      <c r="A752" s="27" t="inlineStr">
        <is>
          <t>94310-92</t>
        </is>
      </c>
      <c r="B752" s="28" t="inlineStr">
        <is>
          <t>TheraCell</t>
        </is>
      </c>
      <c r="C752" s="29" t="n">
        <v>0.0</v>
      </c>
      <c r="D752" s="30" t="n">
        <v>0.7837837837837838</v>
      </c>
      <c r="E752" s="31" t="inlineStr">
        <is>
          <t/>
        </is>
      </c>
      <c r="F752" s="32" t="n">
        <v>29.0</v>
      </c>
      <c r="G752" s="33" t="inlineStr">
        <is>
          <t/>
        </is>
      </c>
      <c r="H752" s="34" t="inlineStr">
        <is>
          <t/>
        </is>
      </c>
      <c r="I752" s="35" t="n">
        <v>4.0</v>
      </c>
      <c r="J752" s="36" t="n">
        <v>3.09</v>
      </c>
      <c r="K752" s="37" t="inlineStr">
        <is>
          <t>Other Healthcare Technology Systems</t>
        </is>
      </c>
      <c r="L752" s="38" t="inlineStr">
        <is>
          <t>Developer of healthcare technology for tissue repair. The company develops stem cell sorting device for research of adipose tissue and oxygenation technology to improve survival of stem cell solutions.</t>
        </is>
      </c>
      <c r="M752" s="39" t="inlineStr">
        <is>
          <t/>
        </is>
      </c>
      <c r="N752" s="40" t="inlineStr">
        <is>
          <t>Angel-Backed</t>
        </is>
      </c>
      <c r="O752" s="41" t="inlineStr">
        <is>
          <t>Privately Held (backing)</t>
        </is>
      </c>
      <c r="P752" s="42" t="inlineStr">
        <is>
          <t>Los Angeles, CA</t>
        </is>
      </c>
      <c r="Q752" s="43" t="inlineStr">
        <is>
          <t>www.theracellinc.com</t>
        </is>
      </c>
      <c r="R752" s="114">
        <f>HYPERLINK("https://my.pitchbook.com?c=94310-92", "View company online")</f>
      </c>
    </row>
    <row r="753">
      <c r="A753" s="9" t="inlineStr">
        <is>
          <t>160116-58</t>
        </is>
      </c>
      <c r="B753" s="10" t="inlineStr">
        <is>
          <t>Theracaine</t>
        </is>
      </c>
      <c r="C753" s="11" t="inlineStr">
        <is>
          <t/>
        </is>
      </c>
      <c r="D753" s="12" t="inlineStr">
        <is>
          <t/>
        </is>
      </c>
      <c r="E753" s="13" t="inlineStr">
        <is>
          <t/>
        </is>
      </c>
      <c r="F753" s="14" t="inlineStr">
        <is>
          <t/>
        </is>
      </c>
      <c r="G753" s="15" t="inlineStr">
        <is>
          <t/>
        </is>
      </c>
      <c r="H753" s="16" t="inlineStr">
        <is>
          <t/>
        </is>
      </c>
      <c r="I753" s="17" t="inlineStr">
        <is>
          <t/>
        </is>
      </c>
      <c r="J753" s="18" t="n">
        <v>1.35</v>
      </c>
      <c r="K753" s="19" t="inlineStr">
        <is>
          <t>Other Business Products and Services</t>
        </is>
      </c>
      <c r="L753" s="20" t="inlineStr">
        <is>
          <t>The company is currently operating in Stealth mode.</t>
        </is>
      </c>
      <c r="M753" s="21" t="inlineStr">
        <is>
          <t/>
        </is>
      </c>
      <c r="N753" s="22" t="inlineStr">
        <is>
          <t>Angel-Backed</t>
        </is>
      </c>
      <c r="O753" s="23" t="inlineStr">
        <is>
          <t>Privately Held (backing)</t>
        </is>
      </c>
      <c r="P753" s="24" t="inlineStr">
        <is>
          <t>San Francisco, CA</t>
        </is>
      </c>
      <c r="Q753" s="25" t="inlineStr">
        <is>
          <t/>
        </is>
      </c>
      <c r="R753" s="113">
        <f>HYPERLINK("https://my.pitchbook.com?c=160116-58", "View company online")</f>
      </c>
    </row>
    <row r="754">
      <c r="A754" s="27" t="inlineStr">
        <is>
          <t>103178-62</t>
        </is>
      </c>
      <c r="B754" s="28" t="inlineStr">
        <is>
          <t>TheraBiologics</t>
        </is>
      </c>
      <c r="C754" s="29" t="n">
        <v>0.0</v>
      </c>
      <c r="D754" s="30" t="n">
        <v>0.3783783783783784</v>
      </c>
      <c r="E754" s="31" t="inlineStr">
        <is>
          <t/>
        </is>
      </c>
      <c r="F754" s="32" t="n">
        <v>14.0</v>
      </c>
      <c r="G754" s="33" t="inlineStr">
        <is>
          <t/>
        </is>
      </c>
      <c r="H754" s="34" t="inlineStr">
        <is>
          <t/>
        </is>
      </c>
      <c r="I754" s="35" t="inlineStr">
        <is>
          <t/>
        </is>
      </c>
      <c r="J754" s="36" t="inlineStr">
        <is>
          <t/>
        </is>
      </c>
      <c r="K754" s="37" t="inlineStr">
        <is>
          <t>Biotechnology</t>
        </is>
      </c>
      <c r="L754" s="38" t="inlineStr">
        <is>
          <t>Developer of stem cell mediated cancer therapies. The company develops human neural stem cell to provide anti-cancer agents that are specific to invasive cancer sites in order to maximize therapeutic concentrations of the targeted disease and minimize off target toxicities.</t>
        </is>
      </c>
      <c r="M754" s="39" t="inlineStr">
        <is>
          <t>California Institute for Regenerative Medicine</t>
        </is>
      </c>
      <c r="N754" s="40" t="inlineStr">
        <is>
          <t>Angel-Backed</t>
        </is>
      </c>
      <c r="O754" s="41" t="inlineStr">
        <is>
          <t>Privately Held (backing)</t>
        </is>
      </c>
      <c r="P754" s="42" t="inlineStr">
        <is>
          <t>Arcadia, CA</t>
        </is>
      </c>
      <c r="Q754" s="43" t="inlineStr">
        <is>
          <t>www.therabiologics.com</t>
        </is>
      </c>
      <c r="R754" s="114">
        <f>HYPERLINK("https://my.pitchbook.com?c=103178-62", "View company online")</f>
      </c>
    </row>
    <row r="755">
      <c r="A755" s="9" t="inlineStr">
        <is>
          <t>90114-67</t>
        </is>
      </c>
      <c r="B755" s="10" t="inlineStr">
        <is>
          <t>Therabiol</t>
        </is>
      </c>
      <c r="C755" s="11" t="n">
        <v>-0.47537212735489914</v>
      </c>
      <c r="D755" s="12" t="n">
        <v>4.162162162162162</v>
      </c>
      <c r="E755" s="13" t="inlineStr">
        <is>
          <t/>
        </is>
      </c>
      <c r="F755" s="14" t="n">
        <v>154.0</v>
      </c>
      <c r="G755" s="15" t="inlineStr">
        <is>
          <t/>
        </is>
      </c>
      <c r="H755" s="16" t="inlineStr">
        <is>
          <t/>
        </is>
      </c>
      <c r="I755" s="17" t="inlineStr">
        <is>
          <t/>
        </is>
      </c>
      <c r="J755" s="18" t="n">
        <v>0.15</v>
      </c>
      <c r="K755" s="19" t="inlineStr">
        <is>
          <t>Biotechnology</t>
        </is>
      </c>
      <c r="L755" s="20" t="inlineStr">
        <is>
          <t>Developer of immunodeficiency virus therapies. The company develops safe and effective antibody therapies for the prevention, treatment and cure of HIV infection.</t>
        </is>
      </c>
      <c r="M755" s="21" t="inlineStr">
        <is>
          <t>BayBio FAST, California Institute for Quantitative Biosciences</t>
        </is>
      </c>
      <c r="N755" s="22" t="inlineStr">
        <is>
          <t>Accelerator/Incubator Backed</t>
        </is>
      </c>
      <c r="O755" s="23" t="inlineStr">
        <is>
          <t>Privately Held (backing)</t>
        </is>
      </c>
      <c r="P755" s="24" t="inlineStr">
        <is>
          <t>San Francisco, CA</t>
        </is>
      </c>
      <c r="Q755" s="25" t="inlineStr">
        <is>
          <t>therabiol.com</t>
        </is>
      </c>
      <c r="R755" s="113">
        <f>HYPERLINK("https://my.pitchbook.com?c=90114-67", "View company online")</f>
      </c>
    </row>
    <row r="756">
      <c r="A756" s="27" t="inlineStr">
        <is>
          <t>103178-53</t>
        </is>
      </c>
      <c r="B756" s="28" t="inlineStr">
        <is>
          <t>Theo</t>
        </is>
      </c>
      <c r="C756" s="29" t="n">
        <v>0.7986884310078335</v>
      </c>
      <c r="D756" s="30" t="n">
        <v>0.4832512004582749</v>
      </c>
      <c r="E756" s="31" t="inlineStr">
        <is>
          <t/>
        </is>
      </c>
      <c r="F756" s="32" t="n">
        <v>26.0</v>
      </c>
      <c r="G756" s="33" t="n">
        <v>118.0</v>
      </c>
      <c r="H756" s="34" t="n">
        <v>133.0</v>
      </c>
      <c r="I756" s="35" t="n">
        <v>5.0</v>
      </c>
      <c r="J756" s="36" t="n">
        <v>3.93</v>
      </c>
      <c r="K756" s="37" t="inlineStr">
        <is>
          <t>Information Services (B2C)</t>
        </is>
      </c>
      <c r="L756" s="38" t="inlineStr">
        <is>
          <t>Developer of an integrated mobile platform for real estate professionals. The company's software offers information regarding various real estate transactions and deals to real estate professionals and their clientele.</t>
        </is>
      </c>
      <c r="M756" s="39" t="inlineStr">
        <is>
          <t>Founder Institute, RocketSpace</t>
        </is>
      </c>
      <c r="N756" s="40" t="inlineStr">
        <is>
          <t>Accelerator/Incubator Backed</t>
        </is>
      </c>
      <c r="O756" s="41" t="inlineStr">
        <is>
          <t>Privately Held (backing)</t>
        </is>
      </c>
      <c r="P756" s="42" t="inlineStr">
        <is>
          <t>San Francisco, CA</t>
        </is>
      </c>
      <c r="Q756" s="43" t="inlineStr">
        <is>
          <t>www.mytheo.com</t>
        </is>
      </c>
      <c r="R756" s="114">
        <f>HYPERLINK("https://my.pitchbook.com?c=103178-53", "View company online")</f>
      </c>
    </row>
    <row r="757">
      <c r="A757" s="9" t="inlineStr">
        <is>
          <t>163506-07</t>
        </is>
      </c>
      <c r="B757" s="10" t="inlineStr">
        <is>
          <t>TheMetaverseChannel</t>
        </is>
      </c>
      <c r="C757" s="11" t="n">
        <v>0.0</v>
      </c>
      <c r="D757" s="12" t="n">
        <v>0.045359160613397904</v>
      </c>
      <c r="E757" s="13" t="inlineStr">
        <is>
          <t/>
        </is>
      </c>
      <c r="F757" s="14" t="inlineStr">
        <is>
          <t/>
        </is>
      </c>
      <c r="G757" s="15" t="n">
        <v>23.0</v>
      </c>
      <c r="H757" s="16" t="n">
        <v>22.0</v>
      </c>
      <c r="I757" s="17" t="inlineStr">
        <is>
          <t/>
        </is>
      </c>
      <c r="J757" s="18" t="inlineStr">
        <is>
          <t/>
        </is>
      </c>
      <c r="K757" s="19" t="inlineStr">
        <is>
          <t>Social/Platform Software</t>
        </is>
      </c>
      <c r="L757" s="20" t="inlineStr">
        <is>
          <t>Provider of an interactive educational platform. The company's software uses virtual reality based technologies to create a virtual shared space for educating students.</t>
        </is>
      </c>
      <c r="M757" s="21" t="inlineStr">
        <is>
          <t>Vive X Accelerator</t>
        </is>
      </c>
      <c r="N757" s="22" t="inlineStr">
        <is>
          <t>Accelerator/Incubator Backed</t>
        </is>
      </c>
      <c r="O757" s="23" t="inlineStr">
        <is>
          <t>Privately Held (backing)</t>
        </is>
      </c>
      <c r="P757" s="24" t="inlineStr">
        <is>
          <t>Los Angeles, CA</t>
        </is>
      </c>
      <c r="Q757" s="25" t="inlineStr">
        <is>
          <t>www.themetaversechannel.com</t>
        </is>
      </c>
      <c r="R757" s="113">
        <f>HYPERLINK("https://my.pitchbook.com?c=163506-07", "View company online")</f>
      </c>
    </row>
    <row r="758">
      <c r="A758" s="27" t="inlineStr">
        <is>
          <t>180358-39</t>
        </is>
      </c>
      <c r="B758" s="28" t="inlineStr">
        <is>
          <t>TheHintBox!</t>
        </is>
      </c>
      <c r="C758" s="86">
        <f>HYPERLINK("https://my.pitchbook.com?rrp=180358-39&amp;type=c", "This Company's information is not available to download. Need this Company? Request availability")</f>
      </c>
      <c r="D758" s="30" t="inlineStr">
        <is>
          <t/>
        </is>
      </c>
      <c r="E758" s="31" t="inlineStr">
        <is>
          <t/>
        </is>
      </c>
      <c r="F758" s="32" t="inlineStr">
        <is>
          <t/>
        </is>
      </c>
      <c r="G758" s="33" t="inlineStr">
        <is>
          <t/>
        </is>
      </c>
      <c r="H758" s="34" t="inlineStr">
        <is>
          <t/>
        </is>
      </c>
      <c r="I758" s="35" t="inlineStr">
        <is>
          <t/>
        </is>
      </c>
      <c r="J758" s="36" t="inlineStr">
        <is>
          <t/>
        </is>
      </c>
      <c r="K758" s="37" t="inlineStr">
        <is>
          <t/>
        </is>
      </c>
      <c r="L758" s="38" t="inlineStr">
        <is>
          <t/>
        </is>
      </c>
      <c r="M758" s="39" t="inlineStr">
        <is>
          <t/>
        </is>
      </c>
      <c r="N758" s="40" t="inlineStr">
        <is>
          <t/>
        </is>
      </c>
      <c r="O758" s="41" t="inlineStr">
        <is>
          <t/>
        </is>
      </c>
      <c r="P758" s="42" t="inlineStr">
        <is>
          <t/>
        </is>
      </c>
      <c r="Q758" s="43" t="inlineStr">
        <is>
          <t/>
        </is>
      </c>
      <c r="R758" s="44" t="inlineStr">
        <is>
          <t/>
        </is>
      </c>
    </row>
    <row r="759">
      <c r="A759" s="9" t="inlineStr">
        <is>
          <t>95197-51</t>
        </is>
      </c>
      <c r="B759" s="10" t="inlineStr">
        <is>
          <t>TheBankCloud</t>
        </is>
      </c>
      <c r="C759" s="11" t="n">
        <v>0.0</v>
      </c>
      <c r="D759" s="12" t="n">
        <v>0.2366391815544358</v>
      </c>
      <c r="E759" s="13" t="inlineStr">
        <is>
          <t/>
        </is>
      </c>
      <c r="F759" s="14" t="n">
        <v>8.0</v>
      </c>
      <c r="G759" s="15" t="inlineStr">
        <is>
          <t/>
        </is>
      </c>
      <c r="H759" s="16" t="n">
        <v>91.0</v>
      </c>
      <c r="I759" s="17" t="n">
        <v>11.0</v>
      </c>
      <c r="J759" s="18" t="n">
        <v>2.3</v>
      </c>
      <c r="K759" s="19" t="inlineStr">
        <is>
          <t>Other Information Technology</t>
        </is>
      </c>
      <c r="L759" s="20" t="inlineStr">
        <is>
          <t>Provider of a digital banking platform. The company provides a platform for financial institutions to deploy mobile technology for serving their customers.</t>
        </is>
      </c>
      <c r="M759" s="21" t="inlineStr">
        <is>
          <t>Microsoft Accelerator</t>
        </is>
      </c>
      <c r="N759" s="22" t="inlineStr">
        <is>
          <t>Accelerator/Incubator Backed</t>
        </is>
      </c>
      <c r="O759" s="23" t="inlineStr">
        <is>
          <t>Privately Held (backing)</t>
        </is>
      </c>
      <c r="P759" s="24" t="inlineStr">
        <is>
          <t>San Francisco, CA</t>
        </is>
      </c>
      <c r="Q759" s="25" t="inlineStr">
        <is>
          <t>www.thebankcloud.com</t>
        </is>
      </c>
      <c r="R759" s="113">
        <f>HYPERLINK("https://my.pitchbook.com?c=95197-51", "View company online")</f>
      </c>
    </row>
    <row r="760">
      <c r="A760" s="27" t="inlineStr">
        <is>
          <t>62424-91</t>
        </is>
      </c>
      <c r="B760" s="28" t="inlineStr">
        <is>
          <t>The Young Turks</t>
        </is>
      </c>
      <c r="C760" s="29" t="n">
        <v>-0.05159092336057364</v>
      </c>
      <c r="D760" s="30" t="n">
        <v>794.6693268091757</v>
      </c>
      <c r="E760" s="31" t="inlineStr">
        <is>
          <t/>
        </is>
      </c>
      <c r="F760" s="32" t="n">
        <v>1647.0</v>
      </c>
      <c r="G760" s="33" t="n">
        <v>1789188.0</v>
      </c>
      <c r="H760" s="34" t="n">
        <v>304832.0</v>
      </c>
      <c r="I760" s="35" t="n">
        <v>65.0</v>
      </c>
      <c r="J760" s="36" t="n">
        <v>7.25</v>
      </c>
      <c r="K760" s="37" t="inlineStr">
        <is>
          <t>Broadcasting, Radio and Television</t>
        </is>
      </c>
      <c r="L760" s="38" t="inlineStr">
        <is>
          <t>Operator of a multi platform network of an online video talk show. The company provides a network of online news shows covering politics, economics, pop culture, social trends and lifestyle.</t>
        </is>
      </c>
      <c r="M760" s="39" t="inlineStr">
        <is>
          <t>Roemer, Robinson, Melville and Co</t>
        </is>
      </c>
      <c r="N760" s="40" t="inlineStr">
        <is>
          <t>Angel-Backed</t>
        </is>
      </c>
      <c r="O760" s="41" t="inlineStr">
        <is>
          <t>Privately Held (backing)</t>
        </is>
      </c>
      <c r="P760" s="42" t="inlineStr">
        <is>
          <t>Los Angeles, CA</t>
        </is>
      </c>
      <c r="Q760" s="43" t="inlineStr">
        <is>
          <t>www.tytnetwork.com</t>
        </is>
      </c>
      <c r="R760" s="114">
        <f>HYPERLINK("https://my.pitchbook.com?c=62424-91", "View company online")</f>
      </c>
    </row>
    <row r="761">
      <c r="A761" s="9" t="inlineStr">
        <is>
          <t>156501-28</t>
        </is>
      </c>
      <c r="B761" s="10" t="inlineStr">
        <is>
          <t>The Worldwide Exchange</t>
        </is>
      </c>
      <c r="C761" s="11" t="n">
        <v>0.023052510872307766</v>
      </c>
      <c r="D761" s="12" t="n">
        <v>0.1616585529629008</v>
      </c>
      <c r="E761" s="13" t="inlineStr">
        <is>
          <t/>
        </is>
      </c>
      <c r="F761" s="14" t="n">
        <v>3.0</v>
      </c>
      <c r="G761" s="15" t="n">
        <v>194.0</v>
      </c>
      <c r="H761" s="16" t="inlineStr">
        <is>
          <t/>
        </is>
      </c>
      <c r="I761" s="17" t="inlineStr">
        <is>
          <t/>
        </is>
      </c>
      <c r="J761" s="18" t="n">
        <v>0.35</v>
      </c>
      <c r="K761" s="19" t="inlineStr">
        <is>
          <t>Information Services (B2C)</t>
        </is>
      </c>
      <c r="L761" s="20" t="inlineStr">
        <is>
          <t>Developer of digital applications. The company offers Px2, a marketing tool to create video classified advertisements for businesses and individuals, and Cobo, a dating and chat-enabled mobile application.</t>
        </is>
      </c>
      <c r="M761" s="21" t="inlineStr">
        <is>
          <t/>
        </is>
      </c>
      <c r="N761" s="22" t="inlineStr">
        <is>
          <t>Angel-Backed</t>
        </is>
      </c>
      <c r="O761" s="23" t="inlineStr">
        <is>
          <t>Privately Held (backing)</t>
        </is>
      </c>
      <c r="P761" s="24" t="inlineStr">
        <is>
          <t>Marina Del Rey, CA</t>
        </is>
      </c>
      <c r="Q761" s="25" t="inlineStr">
        <is>
          <t>www.theworldwideexchange.com</t>
        </is>
      </c>
      <c r="R761" s="113">
        <f>HYPERLINK("https://my.pitchbook.com?c=156501-28", "View company online")</f>
      </c>
    </row>
    <row r="762">
      <c r="A762" s="27" t="inlineStr">
        <is>
          <t>119961-82</t>
        </is>
      </c>
      <c r="B762" s="28" t="inlineStr">
        <is>
          <t>The Town Kitchen</t>
        </is>
      </c>
      <c r="C762" s="29" t="n">
        <v>0.10260221203989624</v>
      </c>
      <c r="D762" s="30" t="n">
        <v>2.2177964441965914</v>
      </c>
      <c r="E762" s="31" t="inlineStr">
        <is>
          <t/>
        </is>
      </c>
      <c r="F762" s="32" t="n">
        <v>61.0</v>
      </c>
      <c r="G762" s="33" t="n">
        <v>1625.0</v>
      </c>
      <c r="H762" s="34" t="n">
        <v>1257.0</v>
      </c>
      <c r="I762" s="35" t="n">
        <v>3.0</v>
      </c>
      <c r="J762" s="36" t="n">
        <v>0.62</v>
      </c>
      <c r="K762" s="37" t="inlineStr">
        <is>
          <t>Food Products</t>
        </is>
      </c>
      <c r="L762" s="38" t="inlineStr">
        <is>
          <t>Developer of a food delivery application designed to deliver box meals and food. The company's food delivery application offers food preparation and delivery service which employs low-income youths to cook, package and deliver lunch boxes to companies and individuals, enabling people to get home made food.</t>
        </is>
      </c>
      <c r="M762" s="39" t="inlineStr">
        <is>
          <t>Skydeck | Berkeley, Telecare, Tumml</t>
        </is>
      </c>
      <c r="N762" s="40" t="inlineStr">
        <is>
          <t>Accelerator/Incubator Backed</t>
        </is>
      </c>
      <c r="O762" s="41" t="inlineStr">
        <is>
          <t>Privately Held (backing)</t>
        </is>
      </c>
      <c r="P762" s="42" t="inlineStr">
        <is>
          <t>Oakland, CA</t>
        </is>
      </c>
      <c r="Q762" s="43" t="inlineStr">
        <is>
          <t>www.thetownkitchen.com</t>
        </is>
      </c>
      <c r="R762" s="114">
        <f>HYPERLINK("https://my.pitchbook.com?c=119961-82", "View company online")</f>
      </c>
    </row>
    <row r="763">
      <c r="A763" s="9" t="inlineStr">
        <is>
          <t>109002-25</t>
        </is>
      </c>
      <c r="B763" s="10" t="inlineStr">
        <is>
          <t>The Swatch Box</t>
        </is>
      </c>
      <c r="C763" s="11" t="n">
        <v>4.732188217360345</v>
      </c>
      <c r="D763" s="12" t="n">
        <v>3.5417839146652708</v>
      </c>
      <c r="E763" s="13" t="inlineStr">
        <is>
          <t/>
        </is>
      </c>
      <c r="F763" s="14" t="n">
        <v>211.0</v>
      </c>
      <c r="G763" s="15" t="n">
        <v>1723.0</v>
      </c>
      <c r="H763" s="16" t="n">
        <v>66.0</v>
      </c>
      <c r="I763" s="17" t="n">
        <v>5.0</v>
      </c>
      <c r="J763" s="18" t="n">
        <v>0.15</v>
      </c>
      <c r="K763" s="19" t="inlineStr">
        <is>
          <t>Other Services (B2C Non-Financial)</t>
        </is>
      </c>
      <c r="L763" s="20" t="inlineStr">
        <is>
          <t>Provider of a platform for residential interior designing. The company provides an online platform for residential interior designing where users can shop for their home, get it delivered and decide to keep it or not.</t>
        </is>
      </c>
      <c r="M763" s="21" t="inlineStr">
        <is>
          <t/>
        </is>
      </c>
      <c r="N763" s="22" t="inlineStr">
        <is>
          <t>Angel-Backed</t>
        </is>
      </c>
      <c r="O763" s="23" t="inlineStr">
        <is>
          <t>Privately Held (backing)</t>
        </is>
      </c>
      <c r="P763" s="24" t="inlineStr">
        <is>
          <t>Manhattan Beach, CA</t>
        </is>
      </c>
      <c r="Q763" s="25" t="inlineStr">
        <is>
          <t>www.theswatchbox.com</t>
        </is>
      </c>
      <c r="R763" s="113">
        <f>HYPERLINK("https://my.pitchbook.com?c=109002-25", "View company online")</f>
      </c>
    </row>
    <row r="764">
      <c r="A764" s="27" t="inlineStr">
        <is>
          <t>54885-07</t>
        </is>
      </c>
      <c r="B764" s="28" t="inlineStr">
        <is>
          <t>The Style Club</t>
        </is>
      </c>
      <c r="C764" s="29" t="n">
        <v>-0.01620921935699835</v>
      </c>
      <c r="D764" s="30" t="n">
        <v>31.641698604594698</v>
      </c>
      <c r="E764" s="31" t="inlineStr">
        <is>
          <t/>
        </is>
      </c>
      <c r="F764" s="32" t="n">
        <v>85.0</v>
      </c>
      <c r="G764" s="33" t="n">
        <v>45956.0</v>
      </c>
      <c r="H764" s="34" t="n">
        <v>22949.0</v>
      </c>
      <c r="I764" s="35" t="n">
        <v>3.0</v>
      </c>
      <c r="J764" s="36" t="n">
        <v>0.02</v>
      </c>
      <c r="K764" s="37" t="inlineStr">
        <is>
          <t>Internet Retail</t>
        </is>
      </c>
      <c r="L764" s="38" t="inlineStr">
        <is>
          <t>Provider of social networking platform for online fashion. The company provides a friendly experience where one can shop online with their friends.</t>
        </is>
      </c>
      <c r="M764" s="39" t="inlineStr">
        <is>
          <t>StartEngine.com</t>
        </is>
      </c>
      <c r="N764" s="40" t="inlineStr">
        <is>
          <t>Accelerator/Incubator Backed</t>
        </is>
      </c>
      <c r="O764" s="41" t="inlineStr">
        <is>
          <t>Privately Held (backing)</t>
        </is>
      </c>
      <c r="P764" s="42" t="inlineStr">
        <is>
          <t>Los Angeles, CA</t>
        </is>
      </c>
      <c r="Q764" s="43" t="inlineStr">
        <is>
          <t>www.thestyleclub.com</t>
        </is>
      </c>
      <c r="R764" s="114">
        <f>HYPERLINK("https://my.pitchbook.com?c=54885-07", "View company online")</f>
      </c>
    </row>
    <row r="765">
      <c r="A765" s="9" t="inlineStr">
        <is>
          <t>112510-90</t>
        </is>
      </c>
      <c r="B765" s="10" t="inlineStr">
        <is>
          <t>The Story of Stuff Project</t>
        </is>
      </c>
      <c r="C765" s="11" t="n">
        <v>-0.009358342536322138</v>
      </c>
      <c r="D765" s="12" t="n">
        <v>233.90285321641255</v>
      </c>
      <c r="E765" s="13" t="inlineStr">
        <is>
          <t/>
        </is>
      </c>
      <c r="F765" s="14" t="n">
        <v>3126.0</v>
      </c>
      <c r="G765" s="15" t="n">
        <v>509719.0</v>
      </c>
      <c r="H765" s="16" t="n">
        <v>47211.0</v>
      </c>
      <c r="I765" s="17" t="n">
        <v>13.0</v>
      </c>
      <c r="J765" s="18" t="inlineStr">
        <is>
          <t/>
        </is>
      </c>
      <c r="K765" s="19" t="inlineStr">
        <is>
          <t>Movies, Music and Entertainment</t>
        </is>
      </c>
      <c r="L765" s="20" t="inlineStr">
        <is>
          <t>Provider of online movies. The company provides educational resources to teachers, people of faith, and business and community leaders; and support the learning and collective action of 500,000 members of the Story of Stuff community.</t>
        </is>
      </c>
      <c r="M765" s="21" t="inlineStr">
        <is>
          <t>New Media Ventures</t>
        </is>
      </c>
      <c r="N765" s="22" t="inlineStr">
        <is>
          <t>Angel-Backed</t>
        </is>
      </c>
      <c r="O765" s="23" t="inlineStr">
        <is>
          <t>Privately Held (backing)</t>
        </is>
      </c>
      <c r="P765" s="24" t="inlineStr">
        <is>
          <t>Berkeley, CA</t>
        </is>
      </c>
      <c r="Q765" s="25" t="inlineStr">
        <is>
          <t>www.storyofstuff.org</t>
        </is>
      </c>
      <c r="R765" s="113">
        <f>HYPERLINK("https://my.pitchbook.com?c=112510-90", "View company online")</f>
      </c>
    </row>
    <row r="766">
      <c r="A766" s="27" t="inlineStr">
        <is>
          <t>102654-28</t>
        </is>
      </c>
      <c r="B766" s="28" t="inlineStr">
        <is>
          <t>The Sports Skinny</t>
        </is>
      </c>
      <c r="C766" s="29" t="inlineStr">
        <is>
          <t/>
        </is>
      </c>
      <c r="D766" s="30" t="inlineStr">
        <is>
          <t/>
        </is>
      </c>
      <c r="E766" s="31" t="inlineStr">
        <is>
          <t/>
        </is>
      </c>
      <c r="F766" s="32" t="inlineStr">
        <is>
          <t/>
        </is>
      </c>
      <c r="G766" s="33" t="inlineStr">
        <is>
          <t/>
        </is>
      </c>
      <c r="H766" s="34" t="inlineStr">
        <is>
          <t/>
        </is>
      </c>
      <c r="I766" s="35" t="inlineStr">
        <is>
          <t/>
        </is>
      </c>
      <c r="J766" s="36" t="inlineStr">
        <is>
          <t/>
        </is>
      </c>
      <c r="K766" s="37" t="inlineStr">
        <is>
          <t>Publishing</t>
        </is>
      </c>
      <c r="L766" s="38" t="inlineStr">
        <is>
          <t>Developer of a a daily email newsletter. The company delivers the news in a daily e-mail newsletter so that people can stay up to date with the top stories in sports and can participate in the conversation.</t>
        </is>
      </c>
      <c r="M766" s="39" t="inlineStr">
        <is>
          <t/>
        </is>
      </c>
      <c r="N766" s="40" t="inlineStr">
        <is>
          <t>Angel-Backed</t>
        </is>
      </c>
      <c r="O766" s="41" t="inlineStr">
        <is>
          <t>Privately Held (backing)</t>
        </is>
      </c>
      <c r="P766" s="42" t="inlineStr">
        <is>
          <t>Los Angeles, CA</t>
        </is>
      </c>
      <c r="Q766" s="43" t="inlineStr">
        <is>
          <t>www.thesportsskinny.com</t>
        </is>
      </c>
      <c r="R766" s="114">
        <f>HYPERLINK("https://my.pitchbook.com?c=102654-28", "View company online")</f>
      </c>
    </row>
    <row r="767">
      <c r="A767" s="9" t="inlineStr">
        <is>
          <t>115537-15</t>
        </is>
      </c>
      <c r="B767" s="10" t="inlineStr">
        <is>
          <t>The Smooth Company</t>
        </is>
      </c>
      <c r="C767" s="11" t="n">
        <v>0.023620930154693926</v>
      </c>
      <c r="D767" s="12" t="n">
        <v>0.31932690401739783</v>
      </c>
      <c r="E767" s="13" t="inlineStr">
        <is>
          <t/>
        </is>
      </c>
      <c r="F767" s="14" t="n">
        <v>3.0</v>
      </c>
      <c r="G767" s="15" t="n">
        <v>476.0</v>
      </c>
      <c r="H767" s="16" t="n">
        <v>185.0</v>
      </c>
      <c r="I767" s="17" t="inlineStr">
        <is>
          <t/>
        </is>
      </c>
      <c r="J767" s="18" t="n">
        <v>0.03</v>
      </c>
      <c r="K767" s="19" t="inlineStr">
        <is>
          <t>Beverages</t>
        </is>
      </c>
      <c r="L767" s="20" t="inlineStr">
        <is>
          <t>Manufacturer of health drinks. The company manufactures protein drink made up of oat meal in different flavors such as vanilla and chocolate.</t>
        </is>
      </c>
      <c r="M767" s="21" t="inlineStr">
        <is>
          <t>Morris Paulson</t>
        </is>
      </c>
      <c r="N767" s="22" t="inlineStr">
        <is>
          <t>Angel-Backed</t>
        </is>
      </c>
      <c r="O767" s="23" t="inlineStr">
        <is>
          <t>Privately Held (backing)</t>
        </is>
      </c>
      <c r="P767" s="24" t="inlineStr">
        <is>
          <t>Santa Monica, CA</t>
        </is>
      </c>
      <c r="Q767" s="25" t="inlineStr">
        <is>
          <t>www.smoothcompany.com</t>
        </is>
      </c>
      <c r="R767" s="113">
        <f>HYPERLINK("https://my.pitchbook.com?c=115537-15", "View company online")</f>
      </c>
    </row>
    <row r="768">
      <c r="A768" s="27" t="inlineStr">
        <is>
          <t>179457-76</t>
        </is>
      </c>
      <c r="B768" s="28" t="inlineStr">
        <is>
          <t>The Shade Room</t>
        </is>
      </c>
      <c r="C768" s="29" t="n">
        <v>0.3919451011480594</v>
      </c>
      <c r="D768" s="30" t="n">
        <v>307.62998167659185</v>
      </c>
      <c r="E768" s="31" t="inlineStr">
        <is>
          <t/>
        </is>
      </c>
      <c r="F768" s="32" t="n">
        <v>30.0</v>
      </c>
      <c r="G768" s="33" t="n">
        <v>1137278.0</v>
      </c>
      <c r="H768" s="34" t="n">
        <v>216919.0</v>
      </c>
      <c r="I768" s="35" t="inlineStr">
        <is>
          <t/>
        </is>
      </c>
      <c r="J768" s="36" t="inlineStr">
        <is>
          <t/>
        </is>
      </c>
      <c r="K768" s="37" t="inlineStr">
        <is>
          <t>Information Services (B2C)</t>
        </is>
      </c>
      <c r="L768" s="38" t="inlineStr">
        <is>
          <t>Provider on an online celebrity and fashion blogging platform designed to provide news regarding celebrities and fashion. The company's online celebrity and fashion blogging platform is designed to provide news relating to trending topics in the world of fashion and entertainment, celebrities and sports, enabling users to stay connected and receive news on trending subjects from the world of fashion and entertainment. It also sells caps, hats and other accessories via its website.</t>
        </is>
      </c>
      <c r="M768" s="39" t="inlineStr">
        <is>
          <t>INDIE DOT VC</t>
        </is>
      </c>
      <c r="N768" s="40" t="inlineStr">
        <is>
          <t>Accelerator/Incubator Backed</t>
        </is>
      </c>
      <c r="O768" s="41" t="inlineStr">
        <is>
          <t>Privately Held (backing)</t>
        </is>
      </c>
      <c r="P768" s="42" t="inlineStr">
        <is>
          <t>Los Angeles, CA</t>
        </is>
      </c>
      <c r="Q768" s="43" t="inlineStr">
        <is>
          <t>www.theshaderoom.com</t>
        </is>
      </c>
      <c r="R768" s="114">
        <f>HYPERLINK("https://my.pitchbook.com?c=179457-76", "View company online")</f>
      </c>
    </row>
    <row r="769">
      <c r="A769" s="9" t="inlineStr">
        <is>
          <t>161644-78</t>
        </is>
      </c>
      <c r="B769" s="10" t="inlineStr">
        <is>
          <t>The Rocket Fizz Soda Pop and Candy Shops</t>
        </is>
      </c>
      <c r="C769" s="11" t="n">
        <v>0.059367800773220444</v>
      </c>
      <c r="D769" s="12" t="n">
        <v>10.840282713495684</v>
      </c>
      <c r="E769" s="13" t="inlineStr">
        <is>
          <t/>
        </is>
      </c>
      <c r="F769" s="14" t="n">
        <v>465.0</v>
      </c>
      <c r="G769" s="15" t="n">
        <v>10122.0</v>
      </c>
      <c r="H769" s="16" t="n">
        <v>1995.0</v>
      </c>
      <c r="I769" s="17" t="inlineStr">
        <is>
          <t/>
        </is>
      </c>
      <c r="J769" s="18" t="inlineStr">
        <is>
          <t/>
        </is>
      </c>
      <c r="K769" s="19" t="inlineStr">
        <is>
          <t>Other Retail</t>
        </is>
      </c>
      <c r="L769" s="20" t="inlineStr">
        <is>
          <t>Operator of a soda and candy shop franchise. The company operates stores, online portals and franchise shops offering different flavored soda and candies.</t>
        </is>
      </c>
      <c r="M769" s="21" t="inlineStr">
        <is>
          <t>Michael Santullo</t>
        </is>
      </c>
      <c r="N769" s="22" t="inlineStr">
        <is>
          <t>Angel-Backed</t>
        </is>
      </c>
      <c r="O769" s="23" t="inlineStr">
        <is>
          <t>Privately Held (backing)</t>
        </is>
      </c>
      <c r="P769" s="24" t="inlineStr">
        <is>
          <t>Camarillo, CA</t>
        </is>
      </c>
      <c r="Q769" s="25" t="inlineStr">
        <is>
          <t>www.rocketfizz.com</t>
        </is>
      </c>
      <c r="R769" s="113">
        <f>HYPERLINK("https://my.pitchbook.com?c=161644-78", "View company online")</f>
      </c>
    </row>
    <row r="770">
      <c r="A770" s="27" t="inlineStr">
        <is>
          <t>118806-67</t>
        </is>
      </c>
      <c r="B770" s="28" t="inlineStr">
        <is>
          <t>The Reliant Group</t>
        </is>
      </c>
      <c r="C770" s="29" t="n">
        <v>0.0</v>
      </c>
      <c r="D770" s="30" t="n">
        <v>0.13513513513513514</v>
      </c>
      <c r="E770" s="31" t="inlineStr">
        <is>
          <t/>
        </is>
      </c>
      <c r="F770" s="32" t="n">
        <v>5.0</v>
      </c>
      <c r="G770" s="33" t="inlineStr">
        <is>
          <t/>
        </is>
      </c>
      <c r="H770" s="34" t="inlineStr">
        <is>
          <t/>
        </is>
      </c>
      <c r="I770" s="35" t="n">
        <v>18.0</v>
      </c>
      <c r="J770" s="36" t="n">
        <v>1.13</v>
      </c>
      <c r="K770" s="37" t="inlineStr">
        <is>
          <t>Real Estate Services (B2C)</t>
        </is>
      </c>
      <c r="L770" s="38" t="inlineStr">
        <is>
          <t>Owner and operator of a real estate company. The company offers real estate services such as spanning tax-exempt bonds, low income housing tax credits, structured finance, construction, rehabilitation, asset management and other social services.</t>
        </is>
      </c>
      <c r="M770" s="39" t="inlineStr">
        <is>
          <t>Barry Gilbert, Keiretsu Forum, Pete Barovich</t>
        </is>
      </c>
      <c r="N770" s="40" t="inlineStr">
        <is>
          <t>Angel-Backed</t>
        </is>
      </c>
      <c r="O770" s="41" t="inlineStr">
        <is>
          <t>Privately Held (backing)</t>
        </is>
      </c>
      <c r="P770" s="42" t="inlineStr">
        <is>
          <t>San Francisco, CA</t>
        </is>
      </c>
      <c r="Q770" s="43" t="inlineStr">
        <is>
          <t>www.reliantgroup.com</t>
        </is>
      </c>
      <c r="R770" s="114">
        <f>HYPERLINK("https://my.pitchbook.com?c=118806-67", "View company online")</f>
      </c>
    </row>
    <row r="771">
      <c r="A771" s="9" t="inlineStr">
        <is>
          <t>92710-18</t>
        </is>
      </c>
      <c r="B771" s="10" t="inlineStr">
        <is>
          <t>The Political Student</t>
        </is>
      </c>
      <c r="C771" s="11" t="n">
        <v>0.03388290402133673</v>
      </c>
      <c r="D771" s="12" t="n">
        <v>0.594504684703653</v>
      </c>
      <c r="E771" s="13" t="inlineStr">
        <is>
          <t/>
        </is>
      </c>
      <c r="F771" s="14" t="inlineStr">
        <is>
          <t/>
        </is>
      </c>
      <c r="G771" s="15" t="n">
        <v>846.0</v>
      </c>
      <c r="H771" s="16" t="n">
        <v>48.0</v>
      </c>
      <c r="I771" s="17" t="n">
        <v>4.0</v>
      </c>
      <c r="J771" s="18" t="n">
        <v>0.01</v>
      </c>
      <c r="K771" s="19" t="inlineStr">
        <is>
          <t>Media and Information Services (B2B)</t>
        </is>
      </c>
      <c r="L771" s="20" t="inlineStr">
        <is>
          <t>Developer of a news and opinion website. The company develops and maintains news and opinion website to create a product that will keep users across the nation abreast of the latest developments in politics and current events.</t>
        </is>
      </c>
      <c r="M771" s="21" t="inlineStr">
        <is>
          <t/>
        </is>
      </c>
      <c r="N771" s="22" t="inlineStr">
        <is>
          <t>Angel-Backed</t>
        </is>
      </c>
      <c r="O771" s="23" t="inlineStr">
        <is>
          <t>Privately Held (backing)</t>
        </is>
      </c>
      <c r="P771" s="24" t="inlineStr">
        <is>
          <t>Saratoga, CA</t>
        </is>
      </c>
      <c r="Q771" s="25" t="inlineStr">
        <is>
          <t>www.thepoliticalstudent.com</t>
        </is>
      </c>
      <c r="R771" s="113">
        <f>HYPERLINK("https://my.pitchbook.com?c=92710-18", "View company online")</f>
      </c>
    </row>
    <row r="772">
      <c r="A772" s="27" t="inlineStr">
        <is>
          <t>176725-54</t>
        </is>
      </c>
      <c r="B772" s="28" t="inlineStr">
        <is>
          <t>The Players Guide</t>
        </is>
      </c>
      <c r="C772" s="86">
        <f>HYPERLINK("https://my.pitchbook.com?rrp=176725-54&amp;type=c", "This Company's information is not available to download. Need this Company? Request availability")</f>
      </c>
      <c r="D772" s="30" t="inlineStr">
        <is>
          <t/>
        </is>
      </c>
      <c r="E772" s="31" t="inlineStr">
        <is>
          <t/>
        </is>
      </c>
      <c r="F772" s="32" t="inlineStr">
        <is>
          <t/>
        </is>
      </c>
      <c r="G772" s="33" t="inlineStr">
        <is>
          <t/>
        </is>
      </c>
      <c r="H772" s="34" t="inlineStr">
        <is>
          <t/>
        </is>
      </c>
      <c r="I772" s="35" t="inlineStr">
        <is>
          <t/>
        </is>
      </c>
      <c r="J772" s="36" t="inlineStr">
        <is>
          <t/>
        </is>
      </c>
      <c r="K772" s="37" t="inlineStr">
        <is>
          <t/>
        </is>
      </c>
      <c r="L772" s="38" t="inlineStr">
        <is>
          <t/>
        </is>
      </c>
      <c r="M772" s="39" t="inlineStr">
        <is>
          <t/>
        </is>
      </c>
      <c r="N772" s="40" t="inlineStr">
        <is>
          <t/>
        </is>
      </c>
      <c r="O772" s="41" t="inlineStr">
        <is>
          <t/>
        </is>
      </c>
      <c r="P772" s="42" t="inlineStr">
        <is>
          <t/>
        </is>
      </c>
      <c r="Q772" s="43" t="inlineStr">
        <is>
          <t/>
        </is>
      </c>
      <c r="R772" s="44" t="inlineStr">
        <is>
          <t/>
        </is>
      </c>
    </row>
    <row r="773">
      <c r="A773" s="9" t="inlineStr">
        <is>
          <t>102557-26</t>
        </is>
      </c>
      <c r="B773" s="10" t="inlineStr">
        <is>
          <t>The Planetary Society</t>
        </is>
      </c>
      <c r="C773" s="11" t="n">
        <v>0.15551760429839578</v>
      </c>
      <c r="D773" s="12" t="n">
        <v>513.2018479896888</v>
      </c>
      <c r="E773" s="13" t="inlineStr">
        <is>
          <t/>
        </is>
      </c>
      <c r="F773" s="14" t="n">
        <v>11297.0</v>
      </c>
      <c r="G773" s="15" t="n">
        <v>816922.0</v>
      </c>
      <c r="H773" s="16" t="n">
        <v>150975.0</v>
      </c>
      <c r="I773" s="17" t="n">
        <v>44.0</v>
      </c>
      <c r="J773" s="18" t="n">
        <v>1.24</v>
      </c>
      <c r="K773" s="19" t="inlineStr">
        <is>
          <t>Other Commercial Services</t>
        </is>
      </c>
      <c r="L773" s="20" t="inlineStr">
        <is>
          <t>Provider of a platform for space science and exploration technology and knowledge. The company provides a platform which helps users to develop space technology knowledge, guidance for future space policy and space science and exploration knowledge.</t>
        </is>
      </c>
      <c r="M773" s="21" t="inlineStr">
        <is>
          <t/>
        </is>
      </c>
      <c r="N773" s="22" t="inlineStr">
        <is>
          <t>Angel-Backed</t>
        </is>
      </c>
      <c r="O773" s="23" t="inlineStr">
        <is>
          <t>Privately Held (backing)</t>
        </is>
      </c>
      <c r="P773" s="24" t="inlineStr">
        <is>
          <t>Pasadena, CA</t>
        </is>
      </c>
      <c r="Q773" s="25" t="inlineStr">
        <is>
          <t>www.planetary.org</t>
        </is>
      </c>
      <c r="R773" s="113">
        <f>HYPERLINK("https://my.pitchbook.com?c=102557-26", "View company online")</f>
      </c>
    </row>
    <row r="774">
      <c r="A774" s="27" t="inlineStr">
        <is>
          <t>115479-82</t>
        </is>
      </c>
      <c r="B774" s="28" t="inlineStr">
        <is>
          <t>The Pill Club</t>
        </is>
      </c>
      <c r="C774" s="29" t="n">
        <v>0.5765016514833821</v>
      </c>
      <c r="D774" s="30" t="n">
        <v>1.532653247520602</v>
      </c>
      <c r="E774" s="31" t="inlineStr">
        <is>
          <t/>
        </is>
      </c>
      <c r="F774" s="32" t="n">
        <v>1.0</v>
      </c>
      <c r="G774" s="33" t="n">
        <v>4020.0</v>
      </c>
      <c r="H774" s="34" t="n">
        <v>345.0</v>
      </c>
      <c r="I774" s="35" t="n">
        <v>11.0</v>
      </c>
      <c r="J774" s="36" t="n">
        <v>3.61</v>
      </c>
      <c r="K774" s="37" t="inlineStr">
        <is>
          <t>Other Healthcare</t>
        </is>
      </c>
      <c r="L774" s="38" t="inlineStr">
        <is>
          <t>Developer of a mobile application software for medicine delivery. The company designs a mobile application for delivering medicines at users door steps and allows them to manage and refill their prescriptions. It also provides information about birth control, emergency contraception and other related issues.</t>
        </is>
      </c>
      <c r="M774" s="39" t="inlineStr">
        <is>
          <t>500 Startups, StartX</t>
        </is>
      </c>
      <c r="N774" s="40" t="inlineStr">
        <is>
          <t>Accelerator/Incubator Backed</t>
        </is>
      </c>
      <c r="O774" s="41" t="inlineStr">
        <is>
          <t>Privately Held (backing)</t>
        </is>
      </c>
      <c r="P774" s="42" t="inlineStr">
        <is>
          <t>Redwood City, CA</t>
        </is>
      </c>
      <c r="Q774" s="43" t="inlineStr">
        <is>
          <t>www.thepillclub.com</t>
        </is>
      </c>
      <c r="R774" s="114">
        <f>HYPERLINK("https://my.pitchbook.com?c=115479-82", "View company online")</f>
      </c>
    </row>
    <row r="775">
      <c r="A775" s="9" t="inlineStr">
        <is>
          <t>165984-49</t>
        </is>
      </c>
      <c r="B775" s="10" t="inlineStr">
        <is>
          <t>The Peak Beyond</t>
        </is>
      </c>
      <c r="C775" s="11" t="inlineStr">
        <is>
          <t/>
        </is>
      </c>
      <c r="D775" s="12" t="inlineStr">
        <is>
          <t/>
        </is>
      </c>
      <c r="E775" s="13" t="inlineStr">
        <is>
          <t/>
        </is>
      </c>
      <c r="F775" s="14" t="inlineStr">
        <is>
          <t/>
        </is>
      </c>
      <c r="G775" s="15" t="inlineStr">
        <is>
          <t/>
        </is>
      </c>
      <c r="H775" s="16" t="inlineStr">
        <is>
          <t/>
        </is>
      </c>
      <c r="I775" s="17" t="inlineStr">
        <is>
          <t/>
        </is>
      </c>
      <c r="J775" s="18" t="n">
        <v>0.02</v>
      </c>
      <c r="K775" s="19" t="inlineStr">
        <is>
          <t>Other Commercial Products</t>
        </is>
      </c>
      <c r="L775" s="20" t="inlineStr">
        <is>
          <t>Manufacturer of interactive smart tables for cannabis retail spaces. The company designs and manufactures a digitized smart table that helps businesses to market and advertise their products by interacting with customers via a pre-installed point of sale system for lead generation.</t>
        </is>
      </c>
      <c r="M775" s="21" t="inlineStr">
        <is>
          <t>CanopyBoulder</t>
        </is>
      </c>
      <c r="N775" s="22" t="inlineStr">
        <is>
          <t>Accelerator/Incubator Backed</t>
        </is>
      </c>
      <c r="O775" s="23" t="inlineStr">
        <is>
          <t>Privately Held (backing)</t>
        </is>
      </c>
      <c r="P775" s="24" t="inlineStr">
        <is>
          <t>San Rafael, CA</t>
        </is>
      </c>
      <c r="Q775" s="25" t="inlineStr">
        <is>
          <t>www.thepeakbeyond.com</t>
        </is>
      </c>
      <c r="R775" s="113">
        <f>HYPERLINK("https://my.pitchbook.com?c=165984-49", "View company online")</f>
      </c>
    </row>
    <row r="776">
      <c r="A776" s="27" t="inlineStr">
        <is>
          <t>94165-66</t>
        </is>
      </c>
      <c r="B776" s="28" t="inlineStr">
        <is>
          <t>The Party Network</t>
        </is>
      </c>
      <c r="C776" s="29" t="n">
        <v>0.0</v>
      </c>
      <c r="D776" s="30" t="n">
        <v>0.4619152419078727</v>
      </c>
      <c r="E776" s="31" t="inlineStr">
        <is>
          <t/>
        </is>
      </c>
      <c r="F776" s="32" t="n">
        <v>27.0</v>
      </c>
      <c r="G776" s="33" t="n">
        <v>128.0</v>
      </c>
      <c r="H776" s="34" t="n">
        <v>62.0</v>
      </c>
      <c r="I776" s="35" t="inlineStr">
        <is>
          <t/>
        </is>
      </c>
      <c r="J776" s="36" t="n">
        <v>0.05</v>
      </c>
      <c r="K776" s="37" t="inlineStr">
        <is>
          <t>Social/Platform Software</t>
        </is>
      </c>
      <c r="L776" s="38" t="inlineStr">
        <is>
          <t>Developer of a social search platform for event planning. The company designs and builds a localized search platform for wedding, event and party planning.</t>
        </is>
      </c>
      <c r="M776" s="39" t="inlineStr">
        <is>
          <t/>
        </is>
      </c>
      <c r="N776" s="40" t="inlineStr">
        <is>
          <t>Angel-Backed</t>
        </is>
      </c>
      <c r="O776" s="41" t="inlineStr">
        <is>
          <t>Privately Held (backing)</t>
        </is>
      </c>
      <c r="P776" s="42" t="inlineStr">
        <is>
          <t>San Jose, CA</t>
        </is>
      </c>
      <c r="Q776" s="43" t="inlineStr">
        <is>
          <t>www.theparty.net</t>
        </is>
      </c>
      <c r="R776" s="114">
        <f>HYPERLINK("https://my.pitchbook.com?c=94165-66", "View company online")</f>
      </c>
    </row>
    <row r="777">
      <c r="A777" s="9" t="inlineStr">
        <is>
          <t>172135-00</t>
        </is>
      </c>
      <c r="B777" s="10" t="inlineStr">
        <is>
          <t>The ODIN</t>
        </is>
      </c>
      <c r="C777" s="85">
        <f>HYPERLINK("https://my.pitchbook.com?rrp=172135-00&amp;type=c", "This Company's information is not available to download. Need this Company? Request availability")</f>
      </c>
      <c r="D777" s="12" t="inlineStr">
        <is>
          <t/>
        </is>
      </c>
      <c r="E777" s="13" t="inlineStr">
        <is>
          <t/>
        </is>
      </c>
      <c r="F777" s="14" t="inlineStr">
        <is>
          <t/>
        </is>
      </c>
      <c r="G777" s="15" t="inlineStr">
        <is>
          <t/>
        </is>
      </c>
      <c r="H777" s="16" t="inlineStr">
        <is>
          <t/>
        </is>
      </c>
      <c r="I777" s="17" t="inlineStr">
        <is>
          <t/>
        </is>
      </c>
      <c r="J777" s="18" t="inlineStr">
        <is>
          <t/>
        </is>
      </c>
      <c r="K777" s="19" t="inlineStr">
        <is>
          <t/>
        </is>
      </c>
      <c r="L777" s="20" t="inlineStr">
        <is>
          <t/>
        </is>
      </c>
      <c r="M777" s="21" t="inlineStr">
        <is>
          <t/>
        </is>
      </c>
      <c r="N777" s="22" t="inlineStr">
        <is>
          <t/>
        </is>
      </c>
      <c r="O777" s="23" t="inlineStr">
        <is>
          <t/>
        </is>
      </c>
      <c r="P777" s="24" t="inlineStr">
        <is>
          <t/>
        </is>
      </c>
      <c r="Q777" s="25" t="inlineStr">
        <is>
          <t/>
        </is>
      </c>
      <c r="R777" s="26" t="inlineStr">
        <is>
          <t/>
        </is>
      </c>
    </row>
    <row r="778">
      <c r="A778" s="27" t="inlineStr">
        <is>
          <t>167726-62</t>
        </is>
      </c>
      <c r="B778" s="28" t="inlineStr">
        <is>
          <t>The Nectar Company</t>
        </is>
      </c>
      <c r="C778" s="29" t="n">
        <v>0.0</v>
      </c>
      <c r="D778" s="30" t="n">
        <v>0.38322087483841355</v>
      </c>
      <c r="E778" s="31" t="inlineStr">
        <is>
          <t/>
        </is>
      </c>
      <c r="F778" s="32" t="n">
        <v>24.0</v>
      </c>
      <c r="G778" s="33" t="n">
        <v>10.0</v>
      </c>
      <c r="H778" s="34" t="n">
        <v>79.0</v>
      </c>
      <c r="I778" s="35" t="inlineStr">
        <is>
          <t/>
        </is>
      </c>
      <c r="J778" s="36" t="inlineStr">
        <is>
          <t/>
        </is>
      </c>
      <c r="K778" s="37" t="inlineStr">
        <is>
          <t>Communication Software</t>
        </is>
      </c>
      <c r="L778" s="38" t="inlineStr">
        <is>
          <t>Developer of a telecommunications software. The company's software allows businesses to improve their productivity and reduce spending on communications.</t>
        </is>
      </c>
      <c r="M778" s="39" t="inlineStr">
        <is>
          <t>Conector Startup Accelerator</t>
        </is>
      </c>
      <c r="N778" s="40" t="inlineStr">
        <is>
          <t>Accelerator/Incubator Backed</t>
        </is>
      </c>
      <c r="O778" s="41" t="inlineStr">
        <is>
          <t>Privately Held (backing)</t>
        </is>
      </c>
      <c r="P778" s="42" t="inlineStr">
        <is>
          <t>Barcelona, Spain</t>
        </is>
      </c>
      <c r="Q778" s="43" t="inlineStr">
        <is>
          <t>www.nectarcompany.com</t>
        </is>
      </c>
      <c r="R778" s="114">
        <f>HYPERLINK("https://my.pitchbook.com?c=167726-62", "View company online")</f>
      </c>
    </row>
    <row r="779">
      <c r="A779" s="9" t="inlineStr">
        <is>
          <t>128431-90</t>
        </is>
      </c>
      <c r="B779" s="10" t="inlineStr">
        <is>
          <t>The Natural Repellent Co.</t>
        </is>
      </c>
      <c r="C779" s="11" t="n">
        <v>0.011519103132154915</v>
      </c>
      <c r="D779" s="12" t="n">
        <v>1.8168546191206467</v>
      </c>
      <c r="E779" s="13" t="inlineStr">
        <is>
          <t/>
        </is>
      </c>
      <c r="F779" s="14" t="n">
        <v>58.0</v>
      </c>
      <c r="G779" s="15" t="n">
        <v>2360.0</v>
      </c>
      <c r="H779" s="16" t="n">
        <v>405.0</v>
      </c>
      <c r="I779" s="17" t="inlineStr">
        <is>
          <t/>
        </is>
      </c>
      <c r="J779" s="18" t="inlineStr">
        <is>
          <t/>
        </is>
      </c>
      <c r="K779" s="19" t="inlineStr">
        <is>
          <t>Other Consumer Non-Durables</t>
        </is>
      </c>
      <c r="L779" s="20" t="inlineStr">
        <is>
          <t>Manufacturer of mosquito repellent products. The company specializes in manufacturing and selling mosquito repellent products through its online platform.</t>
        </is>
      </c>
      <c r="M779" s="21" t="inlineStr">
        <is>
          <t>Rani Aliahmad</t>
        </is>
      </c>
      <c r="N779" s="22" t="inlineStr">
        <is>
          <t>Angel-Backed</t>
        </is>
      </c>
      <c r="O779" s="23" t="inlineStr">
        <is>
          <t>Privately Held (backing)</t>
        </is>
      </c>
      <c r="P779" s="24" t="inlineStr">
        <is>
          <t>Hermosa Beach, CA</t>
        </is>
      </c>
      <c r="Q779" s="25" t="inlineStr">
        <is>
          <t>www.bugbam.com</t>
        </is>
      </c>
      <c r="R779" s="113">
        <f>HYPERLINK("https://my.pitchbook.com?c=128431-90", "View company online")</f>
      </c>
    </row>
    <row r="780">
      <c r="A780" s="27" t="inlineStr">
        <is>
          <t>97354-54</t>
        </is>
      </c>
      <c r="B780" s="28" t="inlineStr">
        <is>
          <t>The Muse Factory</t>
        </is>
      </c>
      <c r="C780" s="29" t="n">
        <v>0.005213987019568714</v>
      </c>
      <c r="D780" s="30" t="n">
        <v>2.331383744519338</v>
      </c>
      <c r="E780" s="31" t="inlineStr">
        <is>
          <t/>
        </is>
      </c>
      <c r="F780" s="32" t="n">
        <v>6.0</v>
      </c>
      <c r="G780" s="33" t="n">
        <v>2299.0</v>
      </c>
      <c r="H780" s="34" t="n">
        <v>2175.0</v>
      </c>
      <c r="I780" s="35" t="inlineStr">
        <is>
          <t/>
        </is>
      </c>
      <c r="J780" s="36" t="inlineStr">
        <is>
          <t/>
        </is>
      </c>
      <c r="K780" s="37" t="inlineStr">
        <is>
          <t>Social/Platform Software</t>
        </is>
      </c>
      <c r="L780" s="38" t="inlineStr">
        <is>
          <t>Developer of a gift giving platform. The company is building AwesomeBox, a platform for giving a social gift for a friend's birthday or other special occasion.</t>
        </is>
      </c>
      <c r="M780" s="39" t="inlineStr">
        <is>
          <t>Individual Investor, Launchpad LA</t>
        </is>
      </c>
      <c r="N780" s="40" t="inlineStr">
        <is>
          <t>Accelerator/Incubator Backed</t>
        </is>
      </c>
      <c r="O780" s="41" t="inlineStr">
        <is>
          <t>Privately Held (backing)</t>
        </is>
      </c>
      <c r="P780" s="42" t="inlineStr">
        <is>
          <t>San Francisco, CA</t>
        </is>
      </c>
      <c r="Q780" s="43" t="inlineStr">
        <is>
          <t>www.musefactoryinc.com</t>
        </is>
      </c>
      <c r="R780" s="114">
        <f>HYPERLINK("https://my.pitchbook.com?c=97354-54", "View company online")</f>
      </c>
    </row>
    <row r="781">
      <c r="A781" s="9" t="inlineStr">
        <is>
          <t>160900-03</t>
        </is>
      </c>
      <c r="B781" s="10" t="inlineStr">
        <is>
          <t>The Loyal Subjects</t>
        </is>
      </c>
      <c r="C781" s="11" t="n">
        <v>0.08082589856016546</v>
      </c>
      <c r="D781" s="12" t="n">
        <v>14.703514808102135</v>
      </c>
      <c r="E781" s="13" t="inlineStr">
        <is>
          <t/>
        </is>
      </c>
      <c r="F781" s="14" t="n">
        <v>243.0</v>
      </c>
      <c r="G781" s="15" t="n">
        <v>30352.0</v>
      </c>
      <c r="H781" s="16" t="n">
        <v>2822.0</v>
      </c>
      <c r="I781" s="17" t="inlineStr">
        <is>
          <t/>
        </is>
      </c>
      <c r="J781" s="18" t="inlineStr">
        <is>
          <t/>
        </is>
      </c>
      <c r="K781" s="19" t="inlineStr">
        <is>
          <t>Other Consumer Durables</t>
        </is>
      </c>
      <c r="L781" s="20" t="inlineStr">
        <is>
          <t>Manufacturer of artistic collectibles. The company develops art driven collectibles such as Vinyl Toys, Fiberglass Multiples, Apparel and Inflatables.</t>
        </is>
      </c>
      <c r="M781" s="21" t="inlineStr">
        <is>
          <t/>
        </is>
      </c>
      <c r="N781" s="22" t="inlineStr">
        <is>
          <t>Angel-Backed</t>
        </is>
      </c>
      <c r="O781" s="23" t="inlineStr">
        <is>
          <t>Privately Held (backing)</t>
        </is>
      </c>
      <c r="P781" s="24" t="inlineStr">
        <is>
          <t>Los Angeles, CA</t>
        </is>
      </c>
      <c r="Q781" s="25" t="inlineStr">
        <is>
          <t>www.theloyalsubjects.com</t>
        </is>
      </c>
      <c r="R781" s="113">
        <f>HYPERLINK("https://my.pitchbook.com?c=160900-03", "View company online")</f>
      </c>
    </row>
    <row r="782">
      <c r="A782" s="27" t="inlineStr">
        <is>
          <t>172731-88</t>
        </is>
      </c>
      <c r="B782" s="28" t="inlineStr">
        <is>
          <t>The Live Box</t>
        </is>
      </c>
      <c r="C782" s="86">
        <f>HYPERLINK("https://my.pitchbook.com?rrp=172731-88&amp;type=c", "This Company's information is not available to download. Need this Company? Request availability")</f>
      </c>
      <c r="D782" s="30" t="inlineStr">
        <is>
          <t/>
        </is>
      </c>
      <c r="E782" s="31" t="inlineStr">
        <is>
          <t/>
        </is>
      </c>
      <c r="F782" s="32" t="inlineStr">
        <is>
          <t/>
        </is>
      </c>
      <c r="G782" s="33" t="inlineStr">
        <is>
          <t/>
        </is>
      </c>
      <c r="H782" s="34" t="inlineStr">
        <is>
          <t/>
        </is>
      </c>
      <c r="I782" s="35" t="inlineStr">
        <is>
          <t/>
        </is>
      </c>
      <c r="J782" s="36" t="inlineStr">
        <is>
          <t/>
        </is>
      </c>
      <c r="K782" s="37" t="inlineStr">
        <is>
          <t/>
        </is>
      </c>
      <c r="L782" s="38" t="inlineStr">
        <is>
          <t/>
        </is>
      </c>
      <c r="M782" s="39" t="inlineStr">
        <is>
          <t/>
        </is>
      </c>
      <c r="N782" s="40" t="inlineStr">
        <is>
          <t/>
        </is>
      </c>
      <c r="O782" s="41" t="inlineStr">
        <is>
          <t/>
        </is>
      </c>
      <c r="P782" s="42" t="inlineStr">
        <is>
          <t/>
        </is>
      </c>
      <c r="Q782" s="43" t="inlineStr">
        <is>
          <t/>
        </is>
      </c>
      <c r="R782" s="44" t="inlineStr">
        <is>
          <t/>
        </is>
      </c>
    </row>
    <row r="783">
      <c r="A783" s="9" t="inlineStr">
        <is>
          <t>55622-89</t>
        </is>
      </c>
      <c r="B783" s="10" t="inlineStr">
        <is>
          <t>The Kive Company</t>
        </is>
      </c>
      <c r="C783" s="11" t="n">
        <v>0.07800340794297643</v>
      </c>
      <c r="D783" s="12" t="n">
        <v>15.939692940650936</v>
      </c>
      <c r="E783" s="13" t="inlineStr">
        <is>
          <t/>
        </is>
      </c>
      <c r="F783" s="14" t="n">
        <v>605.0</v>
      </c>
      <c r="G783" s="15" t="n">
        <v>20248.0</v>
      </c>
      <c r="H783" s="16" t="n">
        <v>2087.0</v>
      </c>
      <c r="I783" s="17" t="n">
        <v>2.0</v>
      </c>
      <c r="J783" s="18" t="n">
        <v>0.78</v>
      </c>
      <c r="K783" s="19" t="inlineStr">
        <is>
          <t>Application Software</t>
        </is>
      </c>
      <c r="L783" s="20" t="inlineStr">
        <is>
          <t>Provider of a mobile art application. The company offers a mobile application that allows users to take photos of their kid's art, then tag it with their name, grade, date and title.</t>
        </is>
      </c>
      <c r="M783" s="21" t="inlineStr">
        <is>
          <t>Amplify.LA, Kris Bjornerud, Michael Liou, Richard Wolpert</t>
        </is>
      </c>
      <c r="N783" s="22" t="inlineStr">
        <is>
          <t>Accelerator/Incubator Backed</t>
        </is>
      </c>
      <c r="O783" s="23" t="inlineStr">
        <is>
          <t>Privately Held (backing)</t>
        </is>
      </c>
      <c r="P783" s="24" t="inlineStr">
        <is>
          <t>Los Angeles, CA</t>
        </is>
      </c>
      <c r="Q783" s="25" t="inlineStr">
        <is>
          <t>www.artkiveapp.com</t>
        </is>
      </c>
      <c r="R783" s="113">
        <f>HYPERLINK("https://my.pitchbook.com?c=55622-89", "View company online")</f>
      </c>
    </row>
    <row r="784">
      <c r="A784" s="27" t="inlineStr">
        <is>
          <t>172691-83</t>
        </is>
      </c>
      <c r="B784" s="28" t="inlineStr">
        <is>
          <t>The Kinney Group</t>
        </is>
      </c>
      <c r="C784" s="86">
        <f>HYPERLINK("https://my.pitchbook.com?rrp=172691-83&amp;type=c", "This Company's information is not available to download. Need this Company? Request availability")</f>
      </c>
      <c r="D784" s="30" t="inlineStr">
        <is>
          <t/>
        </is>
      </c>
      <c r="E784" s="31" t="inlineStr">
        <is>
          <t/>
        </is>
      </c>
      <c r="F784" s="32" t="inlineStr">
        <is>
          <t/>
        </is>
      </c>
      <c r="G784" s="33" t="inlineStr">
        <is>
          <t/>
        </is>
      </c>
      <c r="H784" s="34" t="inlineStr">
        <is>
          <t/>
        </is>
      </c>
      <c r="I784" s="35" t="inlineStr">
        <is>
          <t/>
        </is>
      </c>
      <c r="J784" s="36" t="inlineStr">
        <is>
          <t/>
        </is>
      </c>
      <c r="K784" s="37" t="inlineStr">
        <is>
          <t/>
        </is>
      </c>
      <c r="L784" s="38" t="inlineStr">
        <is>
          <t/>
        </is>
      </c>
      <c r="M784" s="39" t="inlineStr">
        <is>
          <t/>
        </is>
      </c>
      <c r="N784" s="40" t="inlineStr">
        <is>
          <t/>
        </is>
      </c>
      <c r="O784" s="41" t="inlineStr">
        <is>
          <t/>
        </is>
      </c>
      <c r="P784" s="42" t="inlineStr">
        <is>
          <t/>
        </is>
      </c>
      <c r="Q784" s="43" t="inlineStr">
        <is>
          <t/>
        </is>
      </c>
      <c r="R784" s="44" t="inlineStr">
        <is>
          <t/>
        </is>
      </c>
    </row>
    <row r="785">
      <c r="A785" s="9" t="inlineStr">
        <is>
          <t>119767-06</t>
        </is>
      </c>
      <c r="B785" s="10" t="inlineStr">
        <is>
          <t>The Information</t>
        </is>
      </c>
      <c r="C785" s="11" t="n">
        <v>0.049215485823280475</v>
      </c>
      <c r="D785" s="12" t="n">
        <v>191.64603481257868</v>
      </c>
      <c r="E785" s="13" t="inlineStr">
        <is>
          <t/>
        </is>
      </c>
      <c r="F785" s="14" t="n">
        <v>12139.0</v>
      </c>
      <c r="G785" s="15" t="n">
        <v>28327.0</v>
      </c>
      <c r="H785" s="16" t="n">
        <v>26776.0</v>
      </c>
      <c r="I785" s="17" t="n">
        <v>21.0</v>
      </c>
      <c r="J785" s="18" t="inlineStr">
        <is>
          <t/>
        </is>
      </c>
      <c r="K785" s="19" t="inlineStr">
        <is>
          <t>Publishing</t>
        </is>
      </c>
      <c r="L785" s="20" t="inlineStr">
        <is>
          <t>Owner and Operator of a magazine subscription site. The company operates a subscription-based publication and online magazine which provides articles, news current trends and information in the field of technology.</t>
        </is>
      </c>
      <c r="M785" s="21" t="inlineStr">
        <is>
          <t>Katalyst Philippines</t>
        </is>
      </c>
      <c r="N785" s="22" t="inlineStr">
        <is>
          <t>Accelerator/Incubator Backed</t>
        </is>
      </c>
      <c r="O785" s="23" t="inlineStr">
        <is>
          <t>Privately Held (backing)</t>
        </is>
      </c>
      <c r="P785" s="24" t="inlineStr">
        <is>
          <t>San Francisco, CA</t>
        </is>
      </c>
      <c r="Q785" s="25" t="inlineStr">
        <is>
          <t>www.theinformation.com</t>
        </is>
      </c>
      <c r="R785" s="113">
        <f>HYPERLINK("https://my.pitchbook.com?c=119767-06", "View company online")</f>
      </c>
    </row>
    <row r="786">
      <c r="A786" s="27" t="inlineStr">
        <is>
          <t>170867-71</t>
        </is>
      </c>
      <c r="B786" s="28" t="inlineStr">
        <is>
          <t>The Hotels Network</t>
        </is>
      </c>
      <c r="C786" s="29" t="n">
        <v>0.2408081941297861</v>
      </c>
      <c r="D786" s="30" t="n">
        <v>0.6668730184021268</v>
      </c>
      <c r="E786" s="31" t="inlineStr">
        <is>
          <t/>
        </is>
      </c>
      <c r="F786" s="32" t="n">
        <v>36.0</v>
      </c>
      <c r="G786" s="33" t="n">
        <v>51.0</v>
      </c>
      <c r="H786" s="34" t="n">
        <v>234.0</v>
      </c>
      <c r="I786" s="35" t="inlineStr">
        <is>
          <t/>
        </is>
      </c>
      <c r="J786" s="36" t="n">
        <v>0.12</v>
      </c>
      <c r="K786" s="37" t="inlineStr">
        <is>
          <t>Other Software</t>
        </is>
      </c>
      <c r="L786" s="38" t="inlineStr">
        <is>
          <t>Developer of a marketing technology designed to increase their direct online bookings by adding tools to the website and booking engine.
The company's marketing technology tools is designed to increase direct bookings, spend less on commissions and regain direct communication with their clients enabling hotels to increase direct bookings and compete for customers online.</t>
        </is>
      </c>
      <c r="M786" s="39" t="inlineStr">
        <is>
          <t>NFX Guild</t>
        </is>
      </c>
      <c r="N786" s="40" t="inlineStr">
        <is>
          <t>Accelerator/Incubator Backed</t>
        </is>
      </c>
      <c r="O786" s="41" t="inlineStr">
        <is>
          <t>Privately Held (backing)</t>
        </is>
      </c>
      <c r="P786" s="42" t="inlineStr">
        <is>
          <t>San Francisco, CA</t>
        </is>
      </c>
      <c r="Q786" s="43" t="inlineStr">
        <is>
          <t>www.thehotelsnetwork.com</t>
        </is>
      </c>
      <c r="R786" s="114">
        <f>HYPERLINK("https://my.pitchbook.com?c=170867-71", "View company online")</f>
      </c>
    </row>
    <row r="787">
      <c r="A787" s="9" t="inlineStr">
        <is>
          <t>155368-54</t>
        </is>
      </c>
      <c r="B787" s="10" t="inlineStr">
        <is>
          <t>The Guru</t>
        </is>
      </c>
      <c r="C787" s="11" t="n">
        <v>0.40932583142402357</v>
      </c>
      <c r="D787" s="12" t="n">
        <v>1.4101950987728438</v>
      </c>
      <c r="E787" s="13" t="inlineStr">
        <is>
          <t/>
        </is>
      </c>
      <c r="F787" s="14" t="n">
        <v>50.0</v>
      </c>
      <c r="G787" s="15" t="n">
        <v>644.0</v>
      </c>
      <c r="H787" s="16" t="n">
        <v>751.0</v>
      </c>
      <c r="I787" s="17" t="inlineStr">
        <is>
          <t/>
        </is>
      </c>
      <c r="J787" s="18" t="inlineStr">
        <is>
          <t/>
        </is>
      </c>
      <c r="K787" s="19" t="inlineStr">
        <is>
          <t>Application Software</t>
        </is>
      </c>
      <c r="L787" s="20" t="inlineStr">
        <is>
          <t>Developer of a digital storytelling mobile application. The company develops a mobile application that helps museums, zoos and aquariums to record a virtual tour of the facility and offer games and other interactive content for users.</t>
        </is>
      </c>
      <c r="M787" s="21" t="inlineStr">
        <is>
          <t>EvoNexus</t>
        </is>
      </c>
      <c r="N787" s="22" t="inlineStr">
        <is>
          <t>Accelerator/Incubator Backed</t>
        </is>
      </c>
      <c r="O787" s="23" t="inlineStr">
        <is>
          <t>Privately Held (backing)</t>
        </is>
      </c>
      <c r="P787" s="24" t="inlineStr">
        <is>
          <t>San Diego, CA</t>
        </is>
      </c>
      <c r="Q787" s="25" t="inlineStr">
        <is>
          <t>www.theguru.co</t>
        </is>
      </c>
      <c r="R787" s="113">
        <f>HYPERLINK("https://my.pitchbook.com?c=155368-54", "View company online")</f>
      </c>
    </row>
    <row r="788">
      <c r="A788" s="27" t="inlineStr">
        <is>
          <t>125404-12</t>
        </is>
      </c>
      <c r="B788" s="28" t="inlineStr">
        <is>
          <t>The Green Exchange</t>
        </is>
      </c>
      <c r="C788" s="29" t="n">
        <v>0.0</v>
      </c>
      <c r="D788" s="30" t="n">
        <v>0.43243243243243246</v>
      </c>
      <c r="E788" s="31" t="inlineStr">
        <is>
          <t/>
        </is>
      </c>
      <c r="F788" s="32" t="n">
        <v>15.0</v>
      </c>
      <c r="G788" s="33" t="inlineStr">
        <is>
          <t/>
        </is>
      </c>
      <c r="H788" s="34" t="inlineStr">
        <is>
          <t/>
        </is>
      </c>
      <c r="I788" s="35" t="inlineStr">
        <is>
          <t/>
        </is>
      </c>
      <c r="J788" s="36" t="inlineStr">
        <is>
          <t/>
        </is>
      </c>
      <c r="K788" s="37" t="inlineStr">
        <is>
          <t>Other Healthcare</t>
        </is>
      </c>
      <c r="L788" s="38" t="inlineStr">
        <is>
          <t>Developer of an online platform for providing legal marijuana. The company develops an application software for providing medical marijuana and connecting providers with patients.</t>
        </is>
      </c>
      <c r="M788" s="39" t="inlineStr">
        <is>
          <t/>
        </is>
      </c>
      <c r="N788" s="40" t="inlineStr">
        <is>
          <t>Angel-Backed</t>
        </is>
      </c>
      <c r="O788" s="41" t="inlineStr">
        <is>
          <t>Privately Held (backing)</t>
        </is>
      </c>
      <c r="P788" s="42" t="inlineStr">
        <is>
          <t>Covelo, CA</t>
        </is>
      </c>
      <c r="Q788" s="43" t="inlineStr">
        <is>
          <t>www.biggreenexchange.com</t>
        </is>
      </c>
      <c r="R788" s="114">
        <f>HYPERLINK("https://my.pitchbook.com?c=125404-12", "View company online")</f>
      </c>
    </row>
    <row r="789">
      <c r="A789" s="9" t="inlineStr">
        <is>
          <t>95435-74</t>
        </is>
      </c>
      <c r="B789" s="10" t="inlineStr">
        <is>
          <t>The Glampire Group</t>
        </is>
      </c>
      <c r="C789" s="11" t="n">
        <v>0.0</v>
      </c>
      <c r="D789" s="12" t="n">
        <v>0.07161398686822416</v>
      </c>
      <c r="E789" s="13" t="inlineStr">
        <is>
          <t/>
        </is>
      </c>
      <c r="F789" s="14" t="n">
        <v>3.0</v>
      </c>
      <c r="G789" s="15" t="inlineStr">
        <is>
          <t/>
        </is>
      </c>
      <c r="H789" s="16" t="n">
        <v>21.0</v>
      </c>
      <c r="I789" s="17" t="n">
        <v>5.0</v>
      </c>
      <c r="J789" s="18" t="n">
        <v>1.0</v>
      </c>
      <c r="K789" s="19" t="inlineStr">
        <is>
          <t>Media and Information Services (B2B)</t>
        </is>
      </c>
      <c r="L789" s="20" t="inlineStr">
        <is>
          <t>Operator of a digital agency. The company operates a digital agency focusing in social technology, interactive media for entertainment industry, professionals and other brands.</t>
        </is>
      </c>
      <c r="M789" s="21" t="inlineStr">
        <is>
          <t>ROSEMAX MEDIA</t>
        </is>
      </c>
      <c r="N789" s="22" t="inlineStr">
        <is>
          <t>Angel-Backed</t>
        </is>
      </c>
      <c r="O789" s="23" t="inlineStr">
        <is>
          <t>Privately Held (backing)</t>
        </is>
      </c>
      <c r="P789" s="24" t="inlineStr">
        <is>
          <t>Los Angeles, CA</t>
        </is>
      </c>
      <c r="Q789" s="25" t="inlineStr">
        <is>
          <t>www.theglampiregroup.com</t>
        </is>
      </c>
      <c r="R789" s="113">
        <f>HYPERLINK("https://my.pitchbook.com?c=95435-74", "View company online")</f>
      </c>
    </row>
    <row r="790">
      <c r="A790" s="27" t="inlineStr">
        <is>
          <t>123417-46</t>
        </is>
      </c>
      <c r="B790" s="28" t="inlineStr">
        <is>
          <t>The Gift of Education</t>
        </is>
      </c>
      <c r="C790" s="29" t="n">
        <v>-0.010316607420416495</v>
      </c>
      <c r="D790" s="30" t="n">
        <v>1.875115208902976</v>
      </c>
      <c r="E790" s="31" t="inlineStr">
        <is>
          <t/>
        </is>
      </c>
      <c r="F790" s="32" t="n">
        <v>17.0</v>
      </c>
      <c r="G790" s="33" t="n">
        <v>3436.0</v>
      </c>
      <c r="H790" s="34" t="n">
        <v>816.0</v>
      </c>
      <c r="I790" s="35" t="inlineStr">
        <is>
          <t/>
        </is>
      </c>
      <c r="J790" s="36" t="inlineStr">
        <is>
          <t/>
        </is>
      </c>
      <c r="K790" s="37" t="inlineStr">
        <is>
          <t>Other Services (B2C Non-Financial)</t>
        </is>
      </c>
      <c r="L790" s="38" t="inlineStr">
        <is>
          <t>Provider of an online gift registry for educational funds. The company helps users to register an existing educational savings account where friends and family can contribute directly into the account online for future educational purposes.</t>
        </is>
      </c>
      <c r="M790" s="39" t="inlineStr">
        <is>
          <t>Davis Roots</t>
        </is>
      </c>
      <c r="N790" s="40" t="inlineStr">
        <is>
          <t>Accelerator/Incubator Backed</t>
        </is>
      </c>
      <c r="O790" s="41" t="inlineStr">
        <is>
          <t>Privately Held (backing)</t>
        </is>
      </c>
      <c r="P790" s="42" t="inlineStr">
        <is>
          <t>Davis, CA</t>
        </is>
      </c>
      <c r="Q790" s="43" t="inlineStr">
        <is>
          <t>www.thegiftofeducation.com</t>
        </is>
      </c>
      <c r="R790" s="114">
        <f>HYPERLINK("https://my.pitchbook.com?c=123417-46", "View company online")</f>
      </c>
    </row>
    <row r="791">
      <c r="A791" s="9" t="inlineStr">
        <is>
          <t>169102-72</t>
        </is>
      </c>
      <c r="B791" s="10" t="inlineStr">
        <is>
          <t>The Fresh Mat</t>
        </is>
      </c>
      <c r="C791" s="11" t="inlineStr">
        <is>
          <t/>
        </is>
      </c>
      <c r="D791" s="12" t="inlineStr">
        <is>
          <t/>
        </is>
      </c>
      <c r="E791" s="13" t="inlineStr">
        <is>
          <t/>
        </is>
      </c>
      <c r="F791" s="14" t="inlineStr">
        <is>
          <t/>
        </is>
      </c>
      <c r="G791" s="15" t="inlineStr">
        <is>
          <t/>
        </is>
      </c>
      <c r="H791" s="16" t="inlineStr">
        <is>
          <t/>
        </is>
      </c>
      <c r="I791" s="17" t="inlineStr">
        <is>
          <t/>
        </is>
      </c>
      <c r="J791" s="18" t="inlineStr">
        <is>
          <t/>
        </is>
      </c>
      <c r="K791" s="19" t="inlineStr">
        <is>
          <t>Machinery (B2B)</t>
        </is>
      </c>
      <c r="L791" s="20" t="inlineStr">
        <is>
          <t>Developer of a device to clean fitness equipment. The company designs and develops a cleaning machine that automates the cleaning of multi-user fitness equipment such as yoga mats, yoga blocks and small-size dumbbells.</t>
        </is>
      </c>
      <c r="M791" s="21" t="inlineStr">
        <is>
          <t>New Orleans Startup Fund</t>
        </is>
      </c>
      <c r="N791" s="22" t="inlineStr">
        <is>
          <t>Angel-Backed</t>
        </is>
      </c>
      <c r="O791" s="23" t="inlineStr">
        <is>
          <t>Privately Held (backing)</t>
        </is>
      </c>
      <c r="P791" s="24" t="inlineStr">
        <is>
          <t>San Francisco, CA</t>
        </is>
      </c>
      <c r="Q791" s="25" t="inlineStr">
        <is>
          <t>www.thefreshmat.com</t>
        </is>
      </c>
      <c r="R791" s="113">
        <f>HYPERLINK("https://my.pitchbook.com?c=169102-72", "View company online")</f>
      </c>
    </row>
    <row r="792">
      <c r="A792" s="27" t="inlineStr">
        <is>
          <t>162380-26</t>
        </is>
      </c>
      <c r="B792" s="28" t="inlineStr">
        <is>
          <t>The Fetch</t>
        </is>
      </c>
      <c r="C792" s="29" t="n">
        <v>0.008811140977792366</v>
      </c>
      <c r="D792" s="30" t="n">
        <v>4.67335606213646</v>
      </c>
      <c r="E792" s="31" t="inlineStr">
        <is>
          <t/>
        </is>
      </c>
      <c r="F792" s="32" t="n">
        <v>18.0</v>
      </c>
      <c r="G792" s="33" t="n">
        <v>3543.0</v>
      </c>
      <c r="H792" s="34" t="n">
        <v>4718.0</v>
      </c>
      <c r="I792" s="35" t="inlineStr">
        <is>
          <t/>
        </is>
      </c>
      <c r="J792" s="36" t="inlineStr">
        <is>
          <t/>
        </is>
      </c>
      <c r="K792" s="37" t="inlineStr">
        <is>
          <t>Social/Platform Software</t>
        </is>
      </c>
      <c r="L792" s="38" t="inlineStr">
        <is>
          <t>Provider of an event discovery platform. The company offers a online curated guide to various events and industry reads for professionals.</t>
        </is>
      </c>
      <c r="M792" s="39" t="inlineStr">
        <is>
          <t/>
        </is>
      </c>
      <c r="N792" s="40" t="inlineStr">
        <is>
          <t>Angel-Backed</t>
        </is>
      </c>
      <c r="O792" s="41" t="inlineStr">
        <is>
          <t>Privately Held (backing)</t>
        </is>
      </c>
      <c r="P792" s="42" t="inlineStr">
        <is>
          <t>San Francisco, CA</t>
        </is>
      </c>
      <c r="Q792" s="43" t="inlineStr">
        <is>
          <t>www.thefetch.com</t>
        </is>
      </c>
      <c r="R792" s="114">
        <f>HYPERLINK("https://my.pitchbook.com?c=162380-26", "View company online")</f>
      </c>
    </row>
    <row r="793">
      <c r="A793" s="9" t="inlineStr">
        <is>
          <t>117713-98</t>
        </is>
      </c>
      <c r="B793" s="10" t="inlineStr">
        <is>
          <t>The Eye Machine</t>
        </is>
      </c>
      <c r="C793" s="11" t="n">
        <v>0.0</v>
      </c>
      <c r="D793" s="12" t="n">
        <v>0.21621621621621623</v>
      </c>
      <c r="E793" s="13" t="inlineStr">
        <is>
          <t/>
        </is>
      </c>
      <c r="F793" s="14" t="n">
        <v>8.0</v>
      </c>
      <c r="G793" s="15" t="inlineStr">
        <is>
          <t/>
        </is>
      </c>
      <c r="H793" s="16" t="inlineStr">
        <is>
          <t/>
        </is>
      </c>
      <c r="I793" s="17" t="inlineStr">
        <is>
          <t/>
        </is>
      </c>
      <c r="J793" s="18" t="n">
        <v>2.66</v>
      </c>
      <c r="K793" s="19" t="inlineStr">
        <is>
          <t>Therapeutic Devices</t>
        </is>
      </c>
      <c r="L793" s="20" t="inlineStr">
        <is>
          <t>Manufacturer of a medical device to treat macular degeneration. The company develops a medical device to treat macular degeneration by condensing current from direct current barriers in order to deliver energy around the eye, mitigating the effects of age-related macular degeneration and diabetic retinopathy</t>
        </is>
      </c>
      <c r="M793" s="21" t="inlineStr">
        <is>
          <t/>
        </is>
      </c>
      <c r="N793" s="22" t="inlineStr">
        <is>
          <t>Angel-Backed</t>
        </is>
      </c>
      <c r="O793" s="23" t="inlineStr">
        <is>
          <t>Privately Held (backing)</t>
        </is>
      </c>
      <c r="P793" s="24" t="inlineStr">
        <is>
          <t>Indian Wells, CA</t>
        </is>
      </c>
      <c r="Q793" s="25" t="inlineStr">
        <is>
          <t>www.theeyemachine.com</t>
        </is>
      </c>
      <c r="R793" s="113">
        <f>HYPERLINK("https://my.pitchbook.com?c=117713-98", "View company online")</f>
      </c>
    </row>
    <row r="794">
      <c r="A794" s="27" t="inlineStr">
        <is>
          <t>86250-70</t>
        </is>
      </c>
      <c r="B794" s="28" t="inlineStr">
        <is>
          <t>The Ditlo</t>
        </is>
      </c>
      <c r="C794" s="29" t="n">
        <v>-0.0031982384510518365</v>
      </c>
      <c r="D794" s="30" t="n">
        <v>61.78012695030012</v>
      </c>
      <c r="E794" s="31" t="inlineStr">
        <is>
          <t/>
        </is>
      </c>
      <c r="F794" s="32" t="n">
        <v>18.0</v>
      </c>
      <c r="G794" s="33" t="n">
        <v>24361.0</v>
      </c>
      <c r="H794" s="34" t="n">
        <v>76439.0</v>
      </c>
      <c r="I794" s="35" t="inlineStr">
        <is>
          <t/>
        </is>
      </c>
      <c r="J794" s="36" t="n">
        <v>0.31</v>
      </c>
      <c r="K794" s="37" t="inlineStr">
        <is>
          <t>Social/Platform Software</t>
        </is>
      </c>
      <c r="L794" s="38" t="inlineStr">
        <is>
          <t>Provider of an information platform software. The company provides an online platform and a mobile application that offers information about various personalities, places and things in the form of interviews, photos and videos.</t>
        </is>
      </c>
      <c r="M794" s="39" t="inlineStr">
        <is>
          <t/>
        </is>
      </c>
      <c r="N794" s="40" t="inlineStr">
        <is>
          <t>Angel-Backed</t>
        </is>
      </c>
      <c r="O794" s="41" t="inlineStr">
        <is>
          <t>Privately Held (backing)</t>
        </is>
      </c>
      <c r="P794" s="42" t="inlineStr">
        <is>
          <t>Culver City, CA</t>
        </is>
      </c>
      <c r="Q794" s="43" t="inlineStr">
        <is>
          <t>www.ditlo.com</t>
        </is>
      </c>
      <c r="R794" s="114">
        <f>HYPERLINK("https://my.pitchbook.com?c=86250-70", "View company online")</f>
      </c>
    </row>
    <row r="795">
      <c r="A795" s="9" t="inlineStr">
        <is>
          <t>95565-07</t>
        </is>
      </c>
      <c r="B795" s="10" t="inlineStr">
        <is>
          <t>The Design Accelerator</t>
        </is>
      </c>
      <c r="C795" s="11" t="n">
        <v>0.0</v>
      </c>
      <c r="D795" s="12" t="n">
        <v>0.1891891891891892</v>
      </c>
      <c r="E795" s="13" t="inlineStr">
        <is>
          <t/>
        </is>
      </c>
      <c r="F795" s="14" t="n">
        <v>7.0</v>
      </c>
      <c r="G795" s="15" t="inlineStr">
        <is>
          <t/>
        </is>
      </c>
      <c r="H795" s="16" t="inlineStr">
        <is>
          <t/>
        </is>
      </c>
      <c r="I795" s="17" t="n">
        <v>8.0</v>
      </c>
      <c r="J795" s="18" t="inlineStr">
        <is>
          <t/>
        </is>
      </c>
      <c r="K795" s="19" t="inlineStr">
        <is>
          <t>Specialized Finance</t>
        </is>
      </c>
      <c r="L795" s="20" t="inlineStr">
        <is>
          <t>Provider of acceleration services for early stage design and technology businesses. The company helps early stage, design-driven technology companies with training and other services for an intensive three-month program. It also offers seed-stage investment services.</t>
        </is>
      </c>
      <c r="M795" s="21" t="inlineStr">
        <is>
          <t>Idealab</t>
        </is>
      </c>
      <c r="N795" s="22" t="inlineStr">
        <is>
          <t>Accelerator/Incubator Backed</t>
        </is>
      </c>
      <c r="O795" s="23" t="inlineStr">
        <is>
          <t>Privately Held (backing)</t>
        </is>
      </c>
      <c r="P795" s="24" t="inlineStr">
        <is>
          <t>Pasadena, CA</t>
        </is>
      </c>
      <c r="Q795" s="25" t="inlineStr">
        <is>
          <t>www.thedesignaccelerator.com</t>
        </is>
      </c>
      <c r="R795" s="113">
        <f>HYPERLINK("https://my.pitchbook.com?c=95565-07", "View company online")</f>
      </c>
    </row>
    <row r="796">
      <c r="A796" s="27" t="inlineStr">
        <is>
          <t>55439-20</t>
        </is>
      </c>
      <c r="B796" s="28" t="inlineStr">
        <is>
          <t>The Daily Dot</t>
        </is>
      </c>
      <c r="C796" s="29" t="n">
        <v>-0.1255824203607035</v>
      </c>
      <c r="D796" s="30" t="n">
        <v>1498.019286548892</v>
      </c>
      <c r="E796" s="31" t="inlineStr">
        <is>
          <t/>
        </is>
      </c>
      <c r="F796" s="32" t="n">
        <v>38824.0</v>
      </c>
      <c r="G796" s="33" t="n">
        <v>2502721.0</v>
      </c>
      <c r="H796" s="34" t="n">
        <v>275458.0</v>
      </c>
      <c r="I796" s="35" t="n">
        <v>115.0</v>
      </c>
      <c r="J796" s="36" t="n">
        <v>13.6</v>
      </c>
      <c r="K796" s="37" t="inlineStr">
        <is>
          <t>Information Services (B2C)</t>
        </is>
      </c>
      <c r="L796" s="38" t="inlineStr">
        <is>
          <t>Provider of an online newspaper. The company provides online news for the Web and internet community and covers various topics such as trending, entertainment, lifestyle, politics and business.</t>
        </is>
      </c>
      <c r="M796" s="39" t="inlineStr">
        <is>
          <t/>
        </is>
      </c>
      <c r="N796" s="40" t="inlineStr">
        <is>
          <t>Angel-Backed</t>
        </is>
      </c>
      <c r="O796" s="41" t="inlineStr">
        <is>
          <t>Privately Held (backing)</t>
        </is>
      </c>
      <c r="P796" s="42" t="inlineStr">
        <is>
          <t>Austin, TX</t>
        </is>
      </c>
      <c r="Q796" s="43" t="inlineStr">
        <is>
          <t>www.dailydot.com</t>
        </is>
      </c>
      <c r="R796" s="114">
        <f>HYPERLINK("https://my.pitchbook.com?c=55439-20", "View company online")</f>
      </c>
    </row>
    <row r="797">
      <c r="A797" s="9" t="inlineStr">
        <is>
          <t>166267-54</t>
        </is>
      </c>
      <c r="B797" s="10" t="inlineStr">
        <is>
          <t>The Chopra Center</t>
        </is>
      </c>
      <c r="C797" s="11" t="n">
        <v>0.16339339313775025</v>
      </c>
      <c r="D797" s="12" t="n">
        <v>209.29833363208456</v>
      </c>
      <c r="E797" s="13" t="inlineStr">
        <is>
          <t/>
        </is>
      </c>
      <c r="F797" s="14" t="n">
        <v>9117.0</v>
      </c>
      <c r="G797" s="15" t="n">
        <v>220343.0</v>
      </c>
      <c r="H797" s="16" t="n">
        <v>24952.0</v>
      </c>
      <c r="I797" s="17" t="inlineStr">
        <is>
          <t/>
        </is>
      </c>
      <c r="J797" s="18" t="n">
        <v>3.2</v>
      </c>
      <c r="K797" s="19" t="inlineStr">
        <is>
          <t>Leisure Facilities</t>
        </is>
      </c>
      <c r="L797" s="20" t="inlineStr">
        <is>
          <t>Owner and operator of a meditation center in the States. The company operates a destination center for well-being, which features meditation, yoga and Ayurveda, a holistic whole-body healing approach.</t>
        </is>
      </c>
      <c r="M797" s="21" t="inlineStr">
        <is>
          <t/>
        </is>
      </c>
      <c r="N797" s="22" t="inlineStr">
        <is>
          <t>Angel-Backed</t>
        </is>
      </c>
      <c r="O797" s="23" t="inlineStr">
        <is>
          <t>Privately Held (backing)</t>
        </is>
      </c>
      <c r="P797" s="24" t="inlineStr">
        <is>
          <t>Carlsbad, CA</t>
        </is>
      </c>
      <c r="Q797" s="25" t="inlineStr">
        <is>
          <t>www.chopra.com</t>
        </is>
      </c>
      <c r="R797" s="113">
        <f>HYPERLINK("https://my.pitchbook.com?c=166267-54", "View company online")</f>
      </c>
    </row>
    <row r="798">
      <c r="A798" s="27" t="inlineStr">
        <is>
          <t>172750-60</t>
        </is>
      </c>
      <c r="B798" s="28" t="inlineStr">
        <is>
          <t>The Caves At Soda Canyon</t>
        </is>
      </c>
      <c r="C798" s="86">
        <f>HYPERLINK("https://my.pitchbook.com?rrp=172750-60&amp;type=c", "This Company's information is not available to download. Need this Company? Request availability")</f>
      </c>
      <c r="D798" s="30" t="inlineStr">
        <is>
          <t/>
        </is>
      </c>
      <c r="E798" s="31" t="inlineStr">
        <is>
          <t/>
        </is>
      </c>
      <c r="F798" s="32" t="inlineStr">
        <is>
          <t/>
        </is>
      </c>
      <c r="G798" s="33" t="inlineStr">
        <is>
          <t/>
        </is>
      </c>
      <c r="H798" s="34" t="inlineStr">
        <is>
          <t/>
        </is>
      </c>
      <c r="I798" s="35" t="inlineStr">
        <is>
          <t/>
        </is>
      </c>
      <c r="J798" s="36" t="inlineStr">
        <is>
          <t/>
        </is>
      </c>
      <c r="K798" s="37" t="inlineStr">
        <is>
          <t/>
        </is>
      </c>
      <c r="L798" s="38" t="inlineStr">
        <is>
          <t/>
        </is>
      </c>
      <c r="M798" s="39" t="inlineStr">
        <is>
          <t/>
        </is>
      </c>
      <c r="N798" s="40" t="inlineStr">
        <is>
          <t/>
        </is>
      </c>
      <c r="O798" s="41" t="inlineStr">
        <is>
          <t/>
        </is>
      </c>
      <c r="P798" s="42" t="inlineStr">
        <is>
          <t/>
        </is>
      </c>
      <c r="Q798" s="43" t="inlineStr">
        <is>
          <t/>
        </is>
      </c>
      <c r="R798" s="44" t="inlineStr">
        <is>
          <t/>
        </is>
      </c>
    </row>
    <row r="799">
      <c r="A799" s="9" t="inlineStr">
        <is>
          <t>94226-59</t>
        </is>
      </c>
      <c r="B799" s="10" t="inlineStr">
        <is>
          <t>The Cameron Group</t>
        </is>
      </c>
      <c r="C799" s="11" t="n">
        <v>-0.009657993616458188</v>
      </c>
      <c r="D799" s="12" t="n">
        <v>0.14886773287657593</v>
      </c>
      <c r="E799" s="13" t="inlineStr">
        <is>
          <t/>
        </is>
      </c>
      <c r="F799" s="14" t="n">
        <v>3.0</v>
      </c>
      <c r="G799" s="15" t="n">
        <v>35.0</v>
      </c>
      <c r="H799" s="16" t="n">
        <v>137.0</v>
      </c>
      <c r="I799" s="17" t="inlineStr">
        <is>
          <t/>
        </is>
      </c>
      <c r="J799" s="18" t="n">
        <v>0.04</v>
      </c>
      <c r="K799" s="19" t="inlineStr">
        <is>
          <t>Consulting Services (B2B)</t>
        </is>
      </c>
      <c r="L799" s="20" t="inlineStr">
        <is>
          <t>Provider of consulting services in the areas of nuclear systems. The company provides professional consulting services for nuclear and space systems technology programs.</t>
        </is>
      </c>
      <c r="M799" s="21" t="inlineStr">
        <is>
          <t/>
        </is>
      </c>
      <c r="N799" s="22" t="inlineStr">
        <is>
          <t>Angel-Backed</t>
        </is>
      </c>
      <c r="O799" s="23" t="inlineStr">
        <is>
          <t>Privately Held (backing)</t>
        </is>
      </c>
      <c r="P799" s="24" t="inlineStr">
        <is>
          <t>Fremont, CA</t>
        </is>
      </c>
      <c r="Q799" s="25" t="inlineStr">
        <is>
          <t>www.thecamerongroupinc.com</t>
        </is>
      </c>
      <c r="R799" s="113">
        <f>HYPERLINK("https://my.pitchbook.com?c=94226-59", "View company online")</f>
      </c>
    </row>
    <row r="800">
      <c r="A800" s="27" t="inlineStr">
        <is>
          <t>154944-82</t>
        </is>
      </c>
      <c r="B800" s="28" t="inlineStr">
        <is>
          <t>The Butterfly Joint</t>
        </is>
      </c>
      <c r="C800" s="29" t="n">
        <v>0.12908753135349194</v>
      </c>
      <c r="D800" s="30" t="n">
        <v>0.9714285714285714</v>
      </c>
      <c r="E800" s="31" t="inlineStr">
        <is>
          <t/>
        </is>
      </c>
      <c r="F800" s="32" t="inlineStr">
        <is>
          <t/>
        </is>
      </c>
      <c r="G800" s="33" t="n">
        <v>780.0</v>
      </c>
      <c r="H800" s="34" t="inlineStr">
        <is>
          <t/>
        </is>
      </c>
      <c r="I800" s="35" t="inlineStr">
        <is>
          <t/>
        </is>
      </c>
      <c r="J800" s="36" t="n">
        <v>0.05</v>
      </c>
      <c r="K800" s="37" t="inlineStr">
        <is>
          <t>Educational and Training Services (B2C)</t>
        </is>
      </c>
      <c r="L800" s="38" t="inlineStr">
        <is>
          <t>Operator of a woodworking and design studio. The company operates a woodworking and design studio for children aged 18 months and above.</t>
        </is>
      </c>
      <c r="M800" s="39" t="inlineStr">
        <is>
          <t/>
        </is>
      </c>
      <c r="N800" s="40" t="inlineStr">
        <is>
          <t>Angel-Backed</t>
        </is>
      </c>
      <c r="O800" s="41" t="inlineStr">
        <is>
          <t>Privately Held (backing)</t>
        </is>
      </c>
      <c r="P800" s="42" t="inlineStr">
        <is>
          <t>San Francisco, CA</t>
        </is>
      </c>
      <c r="Q800" s="43" t="inlineStr">
        <is>
          <t>www.thebutterflyjoint.com</t>
        </is>
      </c>
      <c r="R800" s="114">
        <f>HYPERLINK("https://my.pitchbook.com?c=154944-82", "View company online")</f>
      </c>
    </row>
    <row r="801">
      <c r="A801" s="9" t="inlineStr">
        <is>
          <t>169424-83</t>
        </is>
      </c>
      <c r="B801" s="10" t="inlineStr">
        <is>
          <t>The Bridge Initiative</t>
        </is>
      </c>
      <c r="C801" s="11" t="n">
        <v>0.0</v>
      </c>
      <c r="D801" s="12" t="n">
        <v>0.04195296991907162</v>
      </c>
      <c r="E801" s="13" t="inlineStr">
        <is>
          <t/>
        </is>
      </c>
      <c r="F801" s="14" t="n">
        <v>3.0</v>
      </c>
      <c r="G801" s="15" t="inlineStr">
        <is>
          <t/>
        </is>
      </c>
      <c r="H801" s="16" t="n">
        <v>1.0</v>
      </c>
      <c r="I801" s="17" t="inlineStr">
        <is>
          <t/>
        </is>
      </c>
      <c r="J801" s="18" t="inlineStr">
        <is>
          <t/>
        </is>
      </c>
      <c r="K801" s="19" t="inlineStr">
        <is>
          <t>Social/Platform Software</t>
        </is>
      </c>
      <c r="L801" s="20" t="inlineStr">
        <is>
          <t>Provider of an employment assistance platform for disabled persons. The company provides a Web based platform that helps the disabled to find and apply for jobs by connecting them to job training centers and employers.</t>
        </is>
      </c>
      <c r="M801" s="21" t="inlineStr">
        <is>
          <t>Catapult Ideas, MIT Launch</t>
        </is>
      </c>
      <c r="N801" s="22" t="inlineStr">
        <is>
          <t>Accelerator/Incubator Backed</t>
        </is>
      </c>
      <c r="O801" s="23" t="inlineStr">
        <is>
          <t>Privately Held (backing)</t>
        </is>
      </c>
      <c r="P801" s="24" t="inlineStr">
        <is>
          <t>San Diego, CA</t>
        </is>
      </c>
      <c r="Q801" s="25" t="inlineStr">
        <is>
          <t>www.bridgeinitiative.org</t>
        </is>
      </c>
      <c r="R801" s="113">
        <f>HYPERLINK("https://my.pitchbook.com?c=169424-83", "View company online")</f>
      </c>
    </row>
    <row r="802">
      <c r="A802" s="27" t="inlineStr">
        <is>
          <t>169469-83</t>
        </is>
      </c>
      <c r="B802" s="28" t="inlineStr">
        <is>
          <t>The Beans</t>
        </is>
      </c>
      <c r="C802" s="29" t="inlineStr">
        <is>
          <t/>
        </is>
      </c>
      <c r="D802" s="30" t="inlineStr">
        <is>
          <t/>
        </is>
      </c>
      <c r="E802" s="31" t="inlineStr">
        <is>
          <t/>
        </is>
      </c>
      <c r="F802" s="32" t="inlineStr">
        <is>
          <t/>
        </is>
      </c>
      <c r="G802" s="33" t="inlineStr">
        <is>
          <t/>
        </is>
      </c>
      <c r="H802" s="34" t="inlineStr">
        <is>
          <t/>
        </is>
      </c>
      <c r="I802" s="35" t="inlineStr">
        <is>
          <t/>
        </is>
      </c>
      <c r="J802" s="36" t="inlineStr">
        <is>
          <t/>
        </is>
      </c>
      <c r="K802" s="37" t="inlineStr">
        <is>
          <t>Other Financial Services</t>
        </is>
      </c>
      <c r="L802" s="38" t="inlineStr">
        <is>
          <t>Provider of financial management services.</t>
        </is>
      </c>
      <c r="M802" s="39" t="inlineStr">
        <is>
          <t>Vidinovo</t>
        </is>
      </c>
      <c r="N802" s="40" t="inlineStr">
        <is>
          <t>Angel-Backed</t>
        </is>
      </c>
      <c r="O802" s="41" t="inlineStr">
        <is>
          <t>Privately Held (backing)</t>
        </is>
      </c>
      <c r="P802" s="42" t="inlineStr">
        <is>
          <t>San Francisco, CA</t>
        </is>
      </c>
      <c r="Q802" s="43" t="inlineStr">
        <is>
          <t>www.thebeans.io</t>
        </is>
      </c>
      <c r="R802" s="114">
        <f>HYPERLINK("https://my.pitchbook.com?c=169469-83", "View company online")</f>
      </c>
    </row>
    <row r="803">
      <c r="A803" s="9" t="inlineStr">
        <is>
          <t>64136-44</t>
        </is>
      </c>
      <c r="B803" s="10" t="inlineStr">
        <is>
          <t>The Bay Lights</t>
        </is>
      </c>
      <c r="C803" s="11" t="n">
        <v>-0.4909073194920571</v>
      </c>
      <c r="D803" s="12" t="n">
        <v>4.52686043765631</v>
      </c>
      <c r="E803" s="13" t="inlineStr">
        <is>
          <t/>
        </is>
      </c>
      <c r="F803" s="14" t="n">
        <v>94.0</v>
      </c>
      <c r="G803" s="15" t="n">
        <v>1561.0</v>
      </c>
      <c r="H803" s="16" t="n">
        <v>3921.0</v>
      </c>
      <c r="I803" s="17" t="n">
        <v>2.0</v>
      </c>
      <c r="J803" s="18" t="n">
        <v>1.2</v>
      </c>
      <c r="K803" s="19" t="inlineStr">
        <is>
          <t>Other Consumer Products and Services</t>
        </is>
      </c>
      <c r="L803" s="20" t="inlineStr">
        <is>
          <t>Creator of a public art. The company creates contemporary public art with civic impact, social activation and global reach.</t>
        </is>
      </c>
      <c r="M803" s="21" t="inlineStr">
        <is>
          <t/>
        </is>
      </c>
      <c r="N803" s="22" t="inlineStr">
        <is>
          <t>Angel-Backed</t>
        </is>
      </c>
      <c r="O803" s="23" t="inlineStr">
        <is>
          <t>Privately Held (backing)</t>
        </is>
      </c>
      <c r="P803" s="24" t="inlineStr">
        <is>
          <t>San Rafael, CA</t>
        </is>
      </c>
      <c r="Q803" s="25" t="inlineStr">
        <is>
          <t>www.thebaylights.org</t>
        </is>
      </c>
      <c r="R803" s="113">
        <f>HYPERLINK("https://my.pitchbook.com?c=64136-44", "View company online")</f>
      </c>
    </row>
    <row r="804">
      <c r="A804" s="27" t="inlineStr">
        <is>
          <t>122353-84</t>
        </is>
      </c>
      <c r="B804" s="28" t="inlineStr">
        <is>
          <t>The Bark</t>
        </is>
      </c>
      <c r="C804" s="29" t="n">
        <v>-0.13956145215778673</v>
      </c>
      <c r="D804" s="30" t="n">
        <v>188.3762570787442</v>
      </c>
      <c r="E804" s="31" t="inlineStr">
        <is>
          <t/>
        </is>
      </c>
      <c r="F804" s="32" t="n">
        <v>1228.0</v>
      </c>
      <c r="G804" s="33" t="n">
        <v>362030.0</v>
      </c>
      <c r="H804" s="34" t="n">
        <v>84001.0</v>
      </c>
      <c r="I804" s="35" t="n">
        <v>8.0</v>
      </c>
      <c r="J804" s="36" t="inlineStr">
        <is>
          <t/>
        </is>
      </c>
      <c r="K804" s="37" t="inlineStr">
        <is>
          <t>Publishing</t>
        </is>
      </c>
      <c r="L804" s="38" t="inlineStr">
        <is>
          <t>Publisher of a dog culture magazine. The company publishes a dog culture magazine that provides a guide to life with dogs, showing readers how to live with their canine companions.</t>
        </is>
      </c>
      <c r="M804" s="39" t="inlineStr">
        <is>
          <t>Greg Kidd</t>
        </is>
      </c>
      <c r="N804" s="40" t="inlineStr">
        <is>
          <t>Angel-Backed</t>
        </is>
      </c>
      <c r="O804" s="41" t="inlineStr">
        <is>
          <t>Privately Held (backing)</t>
        </is>
      </c>
      <c r="P804" s="42" t="inlineStr">
        <is>
          <t>Berkeley, CA</t>
        </is>
      </c>
      <c r="Q804" s="43" t="inlineStr">
        <is>
          <t>www.thebark.com</t>
        </is>
      </c>
      <c r="R804" s="114">
        <f>HYPERLINK("https://my.pitchbook.com?c=122353-84", "View company online")</f>
      </c>
    </row>
    <row r="805">
      <c r="A805" s="9" t="inlineStr">
        <is>
          <t>126529-48</t>
        </is>
      </c>
      <c r="B805" s="10" t="inlineStr">
        <is>
          <t>The Awesome Game Studio</t>
        </is>
      </c>
      <c r="C805" s="11" t="n">
        <v>0.005844877513858349</v>
      </c>
      <c r="D805" s="12" t="n">
        <v>2.239952996474736</v>
      </c>
      <c r="E805" s="13" t="inlineStr">
        <is>
          <t/>
        </is>
      </c>
      <c r="F805" s="14" t="n">
        <v>11.0</v>
      </c>
      <c r="G805" s="15" t="n">
        <v>3365.0</v>
      </c>
      <c r="H805" s="16" t="inlineStr">
        <is>
          <t/>
        </is>
      </c>
      <c r="I805" s="17" t="inlineStr">
        <is>
          <t/>
        </is>
      </c>
      <c r="J805" s="18" t="inlineStr">
        <is>
          <t/>
        </is>
      </c>
      <c r="K805" s="19" t="inlineStr">
        <is>
          <t>Entertainment Software</t>
        </is>
      </c>
      <c r="L805" s="20" t="inlineStr">
        <is>
          <t>Operator of a game development studio. The company specializes in designing and developing gaming applications.</t>
        </is>
      </c>
      <c r="M805" s="21" t="inlineStr">
        <is>
          <t>YetiZen</t>
        </is>
      </c>
      <c r="N805" s="22" t="inlineStr">
        <is>
          <t>Accelerator/Incubator Backed</t>
        </is>
      </c>
      <c r="O805" s="23" t="inlineStr">
        <is>
          <t>Privately Held (backing)</t>
        </is>
      </c>
      <c r="P805" s="24" t="inlineStr">
        <is>
          <t>Fremont, CA</t>
        </is>
      </c>
      <c r="Q805" s="25" t="inlineStr">
        <is>
          <t>www.theawesomegamestudio.com</t>
        </is>
      </c>
      <c r="R805" s="113">
        <f>HYPERLINK("https://my.pitchbook.com?c=126529-48", "View company online")</f>
      </c>
    </row>
    <row r="806">
      <c r="A806" s="27" t="inlineStr">
        <is>
          <t>95427-19</t>
        </is>
      </c>
      <c r="B806" s="28" t="inlineStr">
        <is>
          <t>The 1947 Partition Archive</t>
        </is>
      </c>
      <c r="C806" s="29" t="n">
        <v>0.9821609408572464</v>
      </c>
      <c r="D806" s="30" t="n">
        <v>212.9830476465517</v>
      </c>
      <c r="E806" s="31" t="inlineStr">
        <is>
          <t/>
        </is>
      </c>
      <c r="F806" s="32" t="n">
        <v>150.0</v>
      </c>
      <c r="G806" s="33" t="n">
        <v>664717.0</v>
      </c>
      <c r="H806" s="34" t="n">
        <v>5531.0</v>
      </c>
      <c r="I806" s="35" t="n">
        <v>24.0</v>
      </c>
      <c r="J806" s="36" t="n">
        <v>0.04</v>
      </c>
      <c r="K806" s="37" t="inlineStr">
        <is>
          <t>Other Consumer Products and Services</t>
        </is>
      </c>
      <c r="L806" s="38" t="inlineStr">
        <is>
          <t>Provider of a platform for collecting live stories at the time of Indian partition. The company offers an archive for citizens to record and share experiences at the time of India-Pakistan partition.</t>
        </is>
      </c>
      <c r="M806" s="39" t="inlineStr">
        <is>
          <t>Skydeck | Berkeley</t>
        </is>
      </c>
      <c r="N806" s="40" t="inlineStr">
        <is>
          <t>Accelerator/Incubator Backed</t>
        </is>
      </c>
      <c r="O806" s="41" t="inlineStr">
        <is>
          <t>Privately Held (backing)</t>
        </is>
      </c>
      <c r="P806" s="42" t="inlineStr">
        <is>
          <t>Berkeley, CA</t>
        </is>
      </c>
      <c r="Q806" s="43" t="inlineStr">
        <is>
          <t>www.1947partitionarchive.org</t>
        </is>
      </c>
      <c r="R806" s="114">
        <f>HYPERLINK("https://my.pitchbook.com?c=95427-19", "View company online")</f>
      </c>
    </row>
    <row r="807">
      <c r="A807" s="9" t="inlineStr">
        <is>
          <t>176409-37</t>
        </is>
      </c>
      <c r="B807" s="10" t="inlineStr">
        <is>
          <t>The 100 Mile Network</t>
        </is>
      </c>
      <c r="C807" s="85">
        <f>HYPERLINK("https://my.pitchbook.com?rrp=176409-37&amp;type=c", "This Company's information is not available to download. Need this Company? Request availability")</f>
      </c>
      <c r="D807" s="12" t="inlineStr">
        <is>
          <t/>
        </is>
      </c>
      <c r="E807" s="13" t="inlineStr">
        <is>
          <t/>
        </is>
      </c>
      <c r="F807" s="14" t="inlineStr">
        <is>
          <t/>
        </is>
      </c>
      <c r="G807" s="15" t="inlineStr">
        <is>
          <t/>
        </is>
      </c>
      <c r="H807" s="16" t="inlineStr">
        <is>
          <t/>
        </is>
      </c>
      <c r="I807" s="17" t="inlineStr">
        <is>
          <t/>
        </is>
      </c>
      <c r="J807" s="18" t="inlineStr">
        <is>
          <t/>
        </is>
      </c>
      <c r="K807" s="19" t="inlineStr">
        <is>
          <t/>
        </is>
      </c>
      <c r="L807" s="20" t="inlineStr">
        <is>
          <t/>
        </is>
      </c>
      <c r="M807" s="21" t="inlineStr">
        <is>
          <t/>
        </is>
      </c>
      <c r="N807" s="22" t="inlineStr">
        <is>
          <t/>
        </is>
      </c>
      <c r="O807" s="23" t="inlineStr">
        <is>
          <t/>
        </is>
      </c>
      <c r="P807" s="24" t="inlineStr">
        <is>
          <t/>
        </is>
      </c>
      <c r="Q807" s="25" t="inlineStr">
        <is>
          <t/>
        </is>
      </c>
      <c r="R807" s="26" t="inlineStr">
        <is>
          <t/>
        </is>
      </c>
    </row>
    <row r="808">
      <c r="A808" s="27" t="inlineStr">
        <is>
          <t>157872-25</t>
        </is>
      </c>
      <c r="B808" s="28" t="inlineStr">
        <is>
          <t>ThankRoll</t>
        </is>
      </c>
      <c r="C808" s="29" t="n">
        <v>0.0</v>
      </c>
      <c r="D808" s="30" t="n">
        <v>0.06744745060883602</v>
      </c>
      <c r="E808" s="31" t="inlineStr">
        <is>
          <t/>
        </is>
      </c>
      <c r="F808" s="32" t="inlineStr">
        <is>
          <t/>
        </is>
      </c>
      <c r="G808" s="33" t="n">
        <v>29.0</v>
      </c>
      <c r="H808" s="34" t="n">
        <v>35.0</v>
      </c>
      <c r="I808" s="35" t="inlineStr">
        <is>
          <t/>
        </is>
      </c>
      <c r="J808" s="36" t="n">
        <v>0.05</v>
      </c>
      <c r="K808" s="37" t="inlineStr">
        <is>
          <t>Social/Platform Software</t>
        </is>
      </c>
      <c r="L808" s="38" t="inlineStr">
        <is>
          <t>Provider of a platform for fans to collect products of artists. The company provides a platform where fans can enter their credit card information and purchase products and services trough a white-label widget.</t>
        </is>
      </c>
      <c r="M808" s="39" t="inlineStr">
        <is>
          <t>Matter</t>
        </is>
      </c>
      <c r="N808" s="40" t="inlineStr">
        <is>
          <t>Accelerator/Incubator Backed</t>
        </is>
      </c>
      <c r="O808" s="41" t="inlineStr">
        <is>
          <t>Privately Held (backing)</t>
        </is>
      </c>
      <c r="P808" s="42" t="inlineStr">
        <is>
          <t>San Francisco, CA</t>
        </is>
      </c>
      <c r="Q808" s="43" t="inlineStr">
        <is>
          <t>www.thankroll.com</t>
        </is>
      </c>
      <c r="R808" s="114">
        <f>HYPERLINK("https://my.pitchbook.com?c=157872-25", "View company online")</f>
      </c>
    </row>
    <row r="809">
      <c r="A809" s="9" t="inlineStr">
        <is>
          <t>170396-74</t>
        </is>
      </c>
      <c r="B809" s="10" t="inlineStr">
        <is>
          <t>Text To Ticket</t>
        </is>
      </c>
      <c r="C809" s="11" t="n">
        <v>0.6252496749586682</v>
      </c>
      <c r="D809" s="12" t="n">
        <v>1.0720890961495235</v>
      </c>
      <c r="E809" s="13" t="inlineStr">
        <is>
          <t/>
        </is>
      </c>
      <c r="F809" s="14" t="n">
        <v>42.0</v>
      </c>
      <c r="G809" s="15" t="n">
        <v>149.0</v>
      </c>
      <c r="H809" s="16" t="n">
        <v>679.0</v>
      </c>
      <c r="I809" s="17" t="inlineStr">
        <is>
          <t/>
        </is>
      </c>
      <c r="J809" s="18" t="n">
        <v>0.15</v>
      </c>
      <c r="K809" s="19" t="inlineStr">
        <is>
          <t>Application Software</t>
        </is>
      </c>
      <c r="L809" s="20" t="inlineStr">
        <is>
          <t>Provider of an application intended to save lives and injuries by paying user-submitted videos that catch texting and driving in the act. The company offers an application to assist law enforcement in ticketing those who violate distracted driving safety laws and develops an enforcement process for drivers who break minor traffic safety laws using crowdsourced video evidence enabling people save lives and reduce injuries.</t>
        </is>
      </c>
      <c r="M809" s="21" t="inlineStr">
        <is>
          <t>500 Startups</t>
        </is>
      </c>
      <c r="N809" s="22" t="inlineStr">
        <is>
          <t>Accelerator/Incubator Backed</t>
        </is>
      </c>
      <c r="O809" s="23" t="inlineStr">
        <is>
          <t>Privately Held (backing)</t>
        </is>
      </c>
      <c r="P809" s="24" t="inlineStr">
        <is>
          <t>San Francisco, CA</t>
        </is>
      </c>
      <c r="Q809" s="25" t="inlineStr">
        <is>
          <t>www.texttoticket.com</t>
        </is>
      </c>
      <c r="R809" s="113">
        <f>HYPERLINK("https://my.pitchbook.com?c=170396-74", "View company online")</f>
      </c>
    </row>
    <row r="810">
      <c r="A810" s="27" t="inlineStr">
        <is>
          <t>167681-62</t>
        </is>
      </c>
      <c r="B810" s="28" t="inlineStr">
        <is>
          <t>Tetracube Technologies</t>
        </is>
      </c>
      <c r="C810" s="29" t="inlineStr">
        <is>
          <t/>
        </is>
      </c>
      <c r="D810" s="30" t="inlineStr">
        <is>
          <t/>
        </is>
      </c>
      <c r="E810" s="31" t="inlineStr">
        <is>
          <t/>
        </is>
      </c>
      <c r="F810" s="32" t="inlineStr">
        <is>
          <t/>
        </is>
      </c>
      <c r="G810" s="33" t="inlineStr">
        <is>
          <t/>
        </is>
      </c>
      <c r="H810" s="34" t="inlineStr">
        <is>
          <t/>
        </is>
      </c>
      <c r="I810" s="35" t="inlineStr">
        <is>
          <t/>
        </is>
      </c>
      <c r="J810" s="36" t="n">
        <v>3.0</v>
      </c>
      <c r="K810" s="37" t="inlineStr">
        <is>
          <t>Other Business Products and Services</t>
        </is>
      </c>
      <c r="L810" s="38" t="inlineStr">
        <is>
          <t>The company is currently operating in Stealth mode.</t>
        </is>
      </c>
      <c r="M810" s="39" t="inlineStr">
        <is>
          <t/>
        </is>
      </c>
      <c r="N810" s="40" t="inlineStr">
        <is>
          <t>Angel-Backed</t>
        </is>
      </c>
      <c r="O810" s="41" t="inlineStr">
        <is>
          <t>Privately Held (backing)</t>
        </is>
      </c>
      <c r="P810" s="42" t="inlineStr">
        <is>
          <t>Walnut Creek, CA</t>
        </is>
      </c>
      <c r="Q810" s="43" t="inlineStr">
        <is>
          <t/>
        </is>
      </c>
      <c r="R810" s="114">
        <f>HYPERLINK("https://my.pitchbook.com?c=167681-62", "View company online")</f>
      </c>
    </row>
    <row r="811">
      <c r="A811" s="9" t="inlineStr">
        <is>
          <t>180669-70</t>
        </is>
      </c>
      <c r="B811" s="10" t="inlineStr">
        <is>
          <t>Tetra Health Centers</t>
        </is>
      </c>
      <c r="C811" s="11" t="inlineStr">
        <is>
          <t/>
        </is>
      </c>
      <c r="D811" s="12" t="inlineStr">
        <is>
          <t/>
        </is>
      </c>
      <c r="E811" s="13" t="inlineStr">
        <is>
          <t/>
        </is>
      </c>
      <c r="F811" s="14" t="inlineStr">
        <is>
          <t/>
        </is>
      </c>
      <c r="G811" s="15" t="inlineStr">
        <is>
          <t/>
        </is>
      </c>
      <c r="H811" s="16" t="inlineStr">
        <is>
          <t/>
        </is>
      </c>
      <c r="I811" s="17" t="inlineStr">
        <is>
          <t/>
        </is>
      </c>
      <c r="J811" s="18" t="n">
        <v>0.59</v>
      </c>
      <c r="K811" s="19" t="inlineStr">
        <is>
          <t>Clinics/Outpatient Services</t>
        </is>
      </c>
      <c r="L811" s="20" t="inlineStr">
        <is>
          <t>Operator of medical marijuana recommendation clinics to provide treatment of medical conditions using medical marijuana. The company's marijuana clinics specialize in the diagnosis and prescription of natural healing processes of a wide range of medical conditions by educated medical marijuana doctors, enabling patients to address individual medical needs and get cured of chronic illnesses.</t>
        </is>
      </c>
      <c r="M811" s="21" t="inlineStr">
        <is>
          <t/>
        </is>
      </c>
      <c r="N811" s="22" t="inlineStr">
        <is>
          <t>Angel-Backed</t>
        </is>
      </c>
      <c r="O811" s="23" t="inlineStr">
        <is>
          <t>Privately Held (backing)</t>
        </is>
      </c>
      <c r="P811" s="24" t="inlineStr">
        <is>
          <t>Clearwater, FL</t>
        </is>
      </c>
      <c r="Q811" s="25" t="inlineStr">
        <is>
          <t>www.tetrahealthcenters.com</t>
        </is>
      </c>
      <c r="R811" s="113">
        <f>HYPERLINK("https://my.pitchbook.com?c=180669-70", "View company online")</f>
      </c>
    </row>
    <row r="812">
      <c r="A812" s="27" t="inlineStr">
        <is>
          <t>178894-54</t>
        </is>
      </c>
      <c r="B812" s="28" t="inlineStr">
        <is>
          <t>Tetra (Automatic notes)</t>
        </is>
      </c>
      <c r="C812" s="29" t="inlineStr">
        <is>
          <t/>
        </is>
      </c>
      <c r="D812" s="30" t="inlineStr">
        <is>
          <t/>
        </is>
      </c>
      <c r="E812" s="31" t="inlineStr">
        <is>
          <t/>
        </is>
      </c>
      <c r="F812" s="32" t="inlineStr">
        <is>
          <t/>
        </is>
      </c>
      <c r="G812" s="33" t="inlineStr">
        <is>
          <t/>
        </is>
      </c>
      <c r="H812" s="34" t="inlineStr">
        <is>
          <t/>
        </is>
      </c>
      <c r="I812" s="35" t="inlineStr">
        <is>
          <t/>
        </is>
      </c>
      <c r="J812" s="36" t="n">
        <v>0.12</v>
      </c>
      <c r="K812" s="37" t="inlineStr">
        <is>
          <t>Application Software</t>
        </is>
      </c>
      <c r="L812" s="38" t="inlineStr">
        <is>
          <t>Developer of a call note mobile application designed to send notes on entire conversation. The company's call note mobile application dials into calls and automatically takes notes then send the entire conversations to users, enabling them to concentrate on the conversations and remember everything later.</t>
        </is>
      </c>
      <c r="M812" s="39" t="inlineStr">
        <is>
          <t>Y Combinator</t>
        </is>
      </c>
      <c r="N812" s="40" t="inlineStr">
        <is>
          <t>Accelerator/Incubator Backed</t>
        </is>
      </c>
      <c r="O812" s="41" t="inlineStr">
        <is>
          <t>Privately Held (backing)</t>
        </is>
      </c>
      <c r="P812" s="42" t="inlineStr">
        <is>
          <t>Menlo Park, CA</t>
        </is>
      </c>
      <c r="Q812" s="43" t="inlineStr">
        <is>
          <t>www.asktetra.com</t>
        </is>
      </c>
      <c r="R812" s="114">
        <f>HYPERLINK("https://my.pitchbook.com?c=178894-54", "View company online")</f>
      </c>
    </row>
    <row r="813">
      <c r="A813" s="9" t="inlineStr">
        <is>
          <t>103103-74</t>
        </is>
      </c>
      <c r="B813" s="10" t="inlineStr">
        <is>
          <t>TestNest</t>
        </is>
      </c>
      <c r="C813" s="85">
        <f>HYPERLINK("https://my.pitchbook.com?rrp=103103-74&amp;type=c", "This Company's information is not available to download. Need this Company? Request availability")</f>
      </c>
      <c r="D813" s="12" t="inlineStr">
        <is>
          <t/>
        </is>
      </c>
      <c r="E813" s="13" t="inlineStr">
        <is>
          <t/>
        </is>
      </c>
      <c r="F813" s="14" t="inlineStr">
        <is>
          <t/>
        </is>
      </c>
      <c r="G813" s="15" t="inlineStr">
        <is>
          <t/>
        </is>
      </c>
      <c r="H813" s="16" t="inlineStr">
        <is>
          <t/>
        </is>
      </c>
      <c r="I813" s="17" t="inlineStr">
        <is>
          <t/>
        </is>
      </c>
      <c r="J813" s="18" t="inlineStr">
        <is>
          <t/>
        </is>
      </c>
      <c r="K813" s="19" t="inlineStr">
        <is>
          <t/>
        </is>
      </c>
      <c r="L813" s="20" t="inlineStr">
        <is>
          <t/>
        </is>
      </c>
      <c r="M813" s="21" t="inlineStr">
        <is>
          <t/>
        </is>
      </c>
      <c r="N813" s="22" t="inlineStr">
        <is>
          <t/>
        </is>
      </c>
      <c r="O813" s="23" t="inlineStr">
        <is>
          <t/>
        </is>
      </c>
      <c r="P813" s="24" t="inlineStr">
        <is>
          <t/>
        </is>
      </c>
      <c r="Q813" s="25" t="inlineStr">
        <is>
          <t/>
        </is>
      </c>
      <c r="R813" s="26" t="inlineStr">
        <is>
          <t/>
        </is>
      </c>
    </row>
    <row r="814">
      <c r="A814" s="27" t="inlineStr">
        <is>
          <t>90012-25</t>
        </is>
      </c>
      <c r="B814" s="28" t="inlineStr">
        <is>
          <t>TeselaGen Biotechnology</t>
        </is>
      </c>
      <c r="C814" s="29" t="n">
        <v>0.06227962621845949</v>
      </c>
      <c r="D814" s="30" t="n">
        <v>6.997120038240156</v>
      </c>
      <c r="E814" s="31" t="inlineStr">
        <is>
          <t/>
        </is>
      </c>
      <c r="F814" s="32" t="n">
        <v>86.0</v>
      </c>
      <c r="G814" s="33" t="n">
        <v>1264.0</v>
      </c>
      <c r="H814" s="34" t="n">
        <v>7679.0</v>
      </c>
      <c r="I814" s="35" t="n">
        <v>10.0</v>
      </c>
      <c r="J814" s="36" t="inlineStr">
        <is>
          <t/>
        </is>
      </c>
      <c r="K814" s="37" t="inlineStr">
        <is>
          <t>Biotechnology</t>
        </is>
      </c>
      <c r="L814" s="38" t="inlineStr">
        <is>
          <t>Developer of a software system for DNA assemblies. The company develops software systems for production of DNA assemblies and combination libraries.</t>
        </is>
      </c>
      <c r="M814" s="39" t="inlineStr">
        <is>
          <t>California Institute for Quantitative Biosciences, National Science Foundation</t>
        </is>
      </c>
      <c r="N814" s="40" t="inlineStr">
        <is>
          <t>Accelerator/Incubator Backed</t>
        </is>
      </c>
      <c r="O814" s="41" t="inlineStr">
        <is>
          <t>Privately Held (backing)</t>
        </is>
      </c>
      <c r="P814" s="42" t="inlineStr">
        <is>
          <t>San Francisco, CA</t>
        </is>
      </c>
      <c r="Q814" s="43" t="inlineStr">
        <is>
          <t>www.teselagen.com</t>
        </is>
      </c>
      <c r="R814" s="114">
        <f>HYPERLINK("https://my.pitchbook.com?c=90012-25", "View company online")</f>
      </c>
    </row>
    <row r="815">
      <c r="A815" s="9" t="inlineStr">
        <is>
          <t>152839-27</t>
        </is>
      </c>
      <c r="B815" s="10" t="inlineStr">
        <is>
          <t>Terzo Power Systems</t>
        </is>
      </c>
      <c r="C815" s="11" t="n">
        <v>0.0</v>
      </c>
      <c r="D815" s="12" t="n">
        <v>0.13513513513513514</v>
      </c>
      <c r="E815" s="13" t="inlineStr">
        <is>
          <t/>
        </is>
      </c>
      <c r="F815" s="14" t="n">
        <v>5.0</v>
      </c>
      <c r="G815" s="15" t="inlineStr">
        <is>
          <t/>
        </is>
      </c>
      <c r="H815" s="16" t="inlineStr">
        <is>
          <t/>
        </is>
      </c>
      <c r="I815" s="17" t="inlineStr">
        <is>
          <t/>
        </is>
      </c>
      <c r="J815" s="18" t="n">
        <v>0.5</v>
      </c>
      <c r="K815" s="19" t="inlineStr">
        <is>
          <t>Electrical Equipment</t>
        </is>
      </c>
      <c r="L815" s="20" t="inlineStr">
        <is>
          <t>Manufacturer of electronic pump system. The company manufactures and designs electronic pump system for industrial hydraulics and offers cost effective, controlling and programming architecture.</t>
        </is>
      </c>
      <c r="M815" s="21" t="inlineStr">
        <is>
          <t>Sacramento Angels</t>
        </is>
      </c>
      <c r="N815" s="22" t="inlineStr">
        <is>
          <t>Angel-Backed</t>
        </is>
      </c>
      <c r="O815" s="23" t="inlineStr">
        <is>
          <t>Privately Held (backing)</t>
        </is>
      </c>
      <c r="P815" s="24" t="inlineStr">
        <is>
          <t>Sacramento, CA</t>
        </is>
      </c>
      <c r="Q815" s="25" t="inlineStr">
        <is>
          <t>www.terzopower.com</t>
        </is>
      </c>
      <c r="R815" s="113">
        <f>HYPERLINK("https://my.pitchbook.com?c=152839-27", "View company online")</f>
      </c>
    </row>
    <row r="816">
      <c r="A816" s="27" t="inlineStr">
        <is>
          <t>90743-14</t>
        </is>
      </c>
      <c r="B816" s="28" t="inlineStr">
        <is>
          <t>Terrace</t>
        </is>
      </c>
      <c r="C816" s="29" t="n">
        <v>0.0</v>
      </c>
      <c r="D816" s="30" t="n">
        <v>0.972972972972973</v>
      </c>
      <c r="E816" s="31" t="inlineStr">
        <is>
          <t/>
        </is>
      </c>
      <c r="F816" s="32" t="n">
        <v>36.0</v>
      </c>
      <c r="G816" s="33" t="inlineStr">
        <is>
          <t/>
        </is>
      </c>
      <c r="H816" s="34" t="inlineStr">
        <is>
          <t/>
        </is>
      </c>
      <c r="I816" s="35" t="n">
        <v>17.0</v>
      </c>
      <c r="J816" s="36" t="n">
        <v>0.4</v>
      </c>
      <c r="K816" s="37" t="inlineStr">
        <is>
          <t>Business/Productivity Software</t>
        </is>
      </c>
      <c r="L816" s="38" t="inlineStr">
        <is>
          <t>Developer of business software designed to build a connected workplace which makes an organization run smoothly. The company's business software uses innovative and latest technology that helps businesses to navigate the cloud, and can be customized according to the requirement, enabling companies to avail the software within time and on specified budget.</t>
        </is>
      </c>
      <c r="M816" s="39" t="inlineStr">
        <is>
          <t/>
        </is>
      </c>
      <c r="N816" s="40" t="inlineStr">
        <is>
          <t>Angel-Backed</t>
        </is>
      </c>
      <c r="O816" s="41" t="inlineStr">
        <is>
          <t>Privately Held (backing)</t>
        </is>
      </c>
      <c r="P816" s="42" t="inlineStr">
        <is>
          <t>San Francisco, CA</t>
        </is>
      </c>
      <c r="Q816" s="43" t="inlineStr">
        <is>
          <t>www.terrace.com</t>
        </is>
      </c>
      <c r="R816" s="114">
        <f>HYPERLINK("https://my.pitchbook.com?c=90743-14", "View company online")</f>
      </c>
    </row>
    <row r="817">
      <c r="A817" s="9" t="inlineStr">
        <is>
          <t>53661-34</t>
        </is>
      </c>
      <c r="B817" s="10" t="inlineStr">
        <is>
          <t>Terra Matrix</t>
        </is>
      </c>
      <c r="C817" s="11" t="n">
        <v>0.0</v>
      </c>
      <c r="D817" s="12" t="n">
        <v>0.2048682222595266</v>
      </c>
      <c r="E817" s="13" t="inlineStr">
        <is>
          <t/>
        </is>
      </c>
      <c r="F817" s="14" t="n">
        <v>13.0</v>
      </c>
      <c r="G817" s="15" t="n">
        <v>47.0</v>
      </c>
      <c r="H817" s="16" t="inlineStr">
        <is>
          <t/>
        </is>
      </c>
      <c r="I817" s="17" t="inlineStr">
        <is>
          <t/>
        </is>
      </c>
      <c r="J817" s="18" t="n">
        <v>1.57</v>
      </c>
      <c r="K817" s="19" t="inlineStr">
        <is>
          <t>Information Services (B2C)</t>
        </is>
      </c>
      <c r="L817" s="20" t="inlineStr">
        <is>
          <t>Provider of online marketing services.</t>
        </is>
      </c>
      <c r="M817" s="21" t="inlineStr">
        <is>
          <t>Individual Investor</t>
        </is>
      </c>
      <c r="N817" s="22" t="inlineStr">
        <is>
          <t>Angel-Backed</t>
        </is>
      </c>
      <c r="O817" s="23" t="inlineStr">
        <is>
          <t>Privately Held (backing)</t>
        </is>
      </c>
      <c r="P817" s="24" t="inlineStr">
        <is>
          <t>Santa Monica, CA</t>
        </is>
      </c>
      <c r="Q817" s="25" t="inlineStr">
        <is>
          <t>www.terramatrixmedia.com</t>
        </is>
      </c>
      <c r="R817" s="113">
        <f>HYPERLINK("https://my.pitchbook.com?c=53661-34", "View company online")</f>
      </c>
    </row>
    <row r="818">
      <c r="A818" s="27" t="inlineStr">
        <is>
          <t>121496-86</t>
        </is>
      </c>
      <c r="B818" s="28" t="inlineStr">
        <is>
          <t>Terbine</t>
        </is>
      </c>
      <c r="C818" s="29" t="n">
        <v>0.0</v>
      </c>
      <c r="D818" s="30" t="n">
        <v>0.5132888099174024</v>
      </c>
      <c r="E818" s="31" t="inlineStr">
        <is>
          <t/>
        </is>
      </c>
      <c r="F818" s="32" t="n">
        <v>34.0</v>
      </c>
      <c r="G818" s="33" t="n">
        <v>71.0</v>
      </c>
      <c r="H818" s="34" t="n">
        <v>45.0</v>
      </c>
      <c r="I818" s="35" t="n">
        <v>3.0</v>
      </c>
      <c r="J818" s="36" t="n">
        <v>0.25</v>
      </c>
      <c r="K818" s="37" t="inlineStr">
        <is>
          <t>Other IT Services</t>
        </is>
      </c>
      <c r="L818" s="38" t="inlineStr">
        <is>
          <t>Provider of a digital marketplace which offers sensor data. The company offers a digital marketplace which curates sensor data and seeks to provide an accessible pool of data.</t>
        </is>
      </c>
      <c r="M818" s="39" t="inlineStr">
        <is>
          <t>Bruce Macurda, Peter Knez</t>
        </is>
      </c>
      <c r="N818" s="40" t="inlineStr">
        <is>
          <t>Angel-Backed</t>
        </is>
      </c>
      <c r="O818" s="41" t="inlineStr">
        <is>
          <t>Privately Held (backing)</t>
        </is>
      </c>
      <c r="P818" s="42" t="inlineStr">
        <is>
          <t>Los Angeles, CA</t>
        </is>
      </c>
      <c r="Q818" s="43" t="inlineStr">
        <is>
          <t>www.terbine.com</t>
        </is>
      </c>
      <c r="R818" s="114">
        <f>HYPERLINK("https://my.pitchbook.com?c=121496-86", "View company online")</f>
      </c>
    </row>
    <row r="819">
      <c r="A819" s="9" t="inlineStr">
        <is>
          <t>162054-10</t>
        </is>
      </c>
      <c r="B819" s="10" t="inlineStr">
        <is>
          <t>TeraPore Technologies</t>
        </is>
      </c>
      <c r="C819" s="11" t="n">
        <v>0.0</v>
      </c>
      <c r="D819" s="12" t="n">
        <v>0.2702702702702703</v>
      </c>
      <c r="E819" s="13" t="inlineStr">
        <is>
          <t/>
        </is>
      </c>
      <c r="F819" s="14" t="n">
        <v>10.0</v>
      </c>
      <c r="G819" s="15" t="inlineStr">
        <is>
          <t/>
        </is>
      </c>
      <c r="H819" s="16" t="inlineStr">
        <is>
          <t/>
        </is>
      </c>
      <c r="I819" s="17" t="inlineStr">
        <is>
          <t/>
        </is>
      </c>
      <c r="J819" s="18" t="n">
        <v>1.75</v>
      </c>
      <c r="K819" s="19" t="inlineStr">
        <is>
          <t>Biotechnology</t>
        </is>
      </c>
      <c r="L819" s="20" t="inlineStr">
        <is>
          <t>Developer and manufacturer of a membrane technology for protein separations. The company specializes in the manufacturing of filters for protein separations, membrane separations for purification of biological fluids.</t>
        </is>
      </c>
      <c r="M819" s="21" t="inlineStr">
        <is>
          <t>BR Venture Fund, National Science Foundation, U.S. Department of Health and Human Services</t>
        </is>
      </c>
      <c r="N819" s="22" t="inlineStr">
        <is>
          <t>Angel-Backed</t>
        </is>
      </c>
      <c r="O819" s="23" t="inlineStr">
        <is>
          <t>Privately Held (backing)</t>
        </is>
      </c>
      <c r="P819" s="24" t="inlineStr">
        <is>
          <t>South San Francisco, CA</t>
        </is>
      </c>
      <c r="Q819" s="25" t="inlineStr">
        <is>
          <t>www.teraporetech.com</t>
        </is>
      </c>
      <c r="R819" s="113">
        <f>HYPERLINK("https://my.pitchbook.com?c=162054-10", "View company online")</f>
      </c>
    </row>
    <row r="820">
      <c r="A820" s="27" t="inlineStr">
        <is>
          <t>96813-64</t>
        </is>
      </c>
      <c r="B820" s="28" t="inlineStr">
        <is>
          <t>TeraFold Biologics</t>
        </is>
      </c>
      <c r="C820" s="29" t="n">
        <v>0.0</v>
      </c>
      <c r="D820" s="30" t="n">
        <v>0.16216216216216217</v>
      </c>
      <c r="E820" s="31" t="inlineStr">
        <is>
          <t/>
        </is>
      </c>
      <c r="F820" s="32" t="n">
        <v>6.0</v>
      </c>
      <c r="G820" s="33" t="inlineStr">
        <is>
          <t/>
        </is>
      </c>
      <c r="H820" s="34" t="inlineStr">
        <is>
          <t/>
        </is>
      </c>
      <c r="I820" s="35" t="inlineStr">
        <is>
          <t/>
        </is>
      </c>
      <c r="J820" s="36" t="n">
        <v>0.04</v>
      </c>
      <c r="K820" s="37" t="inlineStr">
        <is>
          <t>Biotechnology</t>
        </is>
      </c>
      <c r="L820" s="38" t="inlineStr">
        <is>
          <t>Provider of a computational platform to accelerate the discovery and pre-clinical validation of biologic drugs for cancer and neuro-degenerative diseases. The company designs novel protein scaffolds for a range of applications including novel therapeutics and medical diagnostics.</t>
        </is>
      </c>
      <c r="M820" s="39" t="inlineStr">
        <is>
          <t>California Institute for Quantitative Biosciences, Start-Up Chile, SVB Accelerator, VentureLab</t>
        </is>
      </c>
      <c r="N820" s="40" t="inlineStr">
        <is>
          <t>Accelerator/Incubator Backed</t>
        </is>
      </c>
      <c r="O820" s="41" t="inlineStr">
        <is>
          <t>Privately Held (backing)</t>
        </is>
      </c>
      <c r="P820" s="42" t="inlineStr">
        <is>
          <t>San Francisco, CA</t>
        </is>
      </c>
      <c r="Q820" s="43" t="inlineStr">
        <is>
          <t>www.terafold.com</t>
        </is>
      </c>
      <c r="R820" s="114">
        <f>HYPERLINK("https://my.pitchbook.com?c=96813-64", "View company online")</f>
      </c>
    </row>
    <row r="821">
      <c r="A821" s="9" t="inlineStr">
        <is>
          <t>103103-56</t>
        </is>
      </c>
      <c r="B821" s="10" t="inlineStr">
        <is>
          <t>Terafina</t>
        </is>
      </c>
      <c r="C821" s="11" t="n">
        <v>0.08928571428571441</v>
      </c>
      <c r="D821" s="12" t="n">
        <v>0.39013589861047493</v>
      </c>
      <c r="E821" s="13" t="inlineStr">
        <is>
          <t/>
        </is>
      </c>
      <c r="F821" s="14" t="n">
        <v>18.0</v>
      </c>
      <c r="G821" s="15" t="inlineStr">
        <is>
          <t/>
        </is>
      </c>
      <c r="H821" s="16" t="n">
        <v>100.0</v>
      </c>
      <c r="I821" s="17" t="n">
        <v>11.0</v>
      </c>
      <c r="J821" s="18" t="inlineStr">
        <is>
          <t/>
        </is>
      </c>
      <c r="K821" s="19" t="inlineStr">
        <is>
          <t>Business/Productivity Software</t>
        </is>
      </c>
      <c r="L821" s="20" t="inlineStr">
        <is>
          <t>Provider of a cloud-based omni channel sales platform. The company offers a platform which allows lead generation, sales process management and sales performance tracking.</t>
        </is>
      </c>
      <c r="M821" s="21" t="inlineStr">
        <is>
          <t/>
        </is>
      </c>
      <c r="N821" s="22" t="inlineStr">
        <is>
          <t>Angel-Backed</t>
        </is>
      </c>
      <c r="O821" s="23" t="inlineStr">
        <is>
          <t>Privately Held (backing)</t>
        </is>
      </c>
      <c r="P821" s="24" t="inlineStr">
        <is>
          <t>San Francisco, CA</t>
        </is>
      </c>
      <c r="Q821" s="25" t="inlineStr">
        <is>
          <t>www.terafinainc.com</t>
        </is>
      </c>
      <c r="R821" s="113">
        <f>HYPERLINK("https://my.pitchbook.com?c=103103-56", "View company online")</f>
      </c>
    </row>
    <row r="822">
      <c r="A822" s="27" t="inlineStr">
        <is>
          <t>119437-12</t>
        </is>
      </c>
      <c r="B822" s="28" t="inlineStr">
        <is>
          <t>Tenxor Technology</t>
        </is>
      </c>
      <c r="C822" s="29" t="inlineStr">
        <is>
          <t/>
        </is>
      </c>
      <c r="D822" s="30" t="inlineStr">
        <is>
          <t/>
        </is>
      </c>
      <c r="E822" s="31" t="inlineStr">
        <is>
          <t/>
        </is>
      </c>
      <c r="F822" s="32" t="inlineStr">
        <is>
          <t/>
        </is>
      </c>
      <c r="G822" s="33" t="inlineStr">
        <is>
          <t/>
        </is>
      </c>
      <c r="H822" s="34" t="inlineStr">
        <is>
          <t/>
        </is>
      </c>
      <c r="I822" s="35" t="inlineStr">
        <is>
          <t/>
        </is>
      </c>
      <c r="J822" s="36" t="inlineStr">
        <is>
          <t/>
        </is>
      </c>
      <c r="K822" s="37" t="inlineStr">
        <is>
          <t>Electronics (B2C)</t>
        </is>
      </c>
      <c r="L822" s="38" t="inlineStr">
        <is>
          <t>Developer of a smart phone embedded wearable device. The company's product can be used to automatically examine, analyze, predict and monitor the vision problems.</t>
        </is>
      </c>
      <c r="M822" s="39" t="inlineStr">
        <is>
          <t>Microsoft Accelerator</t>
        </is>
      </c>
      <c r="N822" s="40" t="inlineStr">
        <is>
          <t>Accelerator/Incubator Backed</t>
        </is>
      </c>
      <c r="O822" s="41" t="inlineStr">
        <is>
          <t>Privately Held (backing)</t>
        </is>
      </c>
      <c r="P822" s="42" t="inlineStr">
        <is>
          <t>San Jose, CA</t>
        </is>
      </c>
      <c r="Q822" s="43" t="inlineStr">
        <is>
          <t>www.tenxor.com</t>
        </is>
      </c>
      <c r="R822" s="114">
        <f>HYPERLINK("https://my.pitchbook.com?c=119437-12", "View company online")</f>
      </c>
    </row>
    <row r="823">
      <c r="A823" s="9" t="inlineStr">
        <is>
          <t>60036-04</t>
        </is>
      </c>
      <c r="B823" s="10" t="inlineStr">
        <is>
          <t>Tensorcom</t>
        </is>
      </c>
      <c r="C823" s="11" t="n">
        <v>0.0</v>
      </c>
      <c r="D823" s="12" t="n">
        <v>0.7837837837837838</v>
      </c>
      <c r="E823" s="13" t="inlineStr">
        <is>
          <t/>
        </is>
      </c>
      <c r="F823" s="14" t="n">
        <v>29.0</v>
      </c>
      <c r="G823" s="15" t="inlineStr">
        <is>
          <t/>
        </is>
      </c>
      <c r="H823" s="16" t="inlineStr">
        <is>
          <t/>
        </is>
      </c>
      <c r="I823" s="17" t="n">
        <v>41.0</v>
      </c>
      <c r="J823" s="18" t="n">
        <v>25.62</v>
      </c>
      <c r="K823" s="19" t="inlineStr">
        <is>
          <t>Other Semiconductors</t>
        </is>
      </c>
      <c r="L823" s="20" t="inlineStr">
        <is>
          <t>Developer of low-power wireless chips. The company provides low-power chipsets and modules target wireless sync-and-go applications in smartphones, tablets, laptops, digital cameras, storage devices, and more.</t>
        </is>
      </c>
      <c r="M823" s="21" t="inlineStr">
        <is>
          <t/>
        </is>
      </c>
      <c r="N823" s="22" t="inlineStr">
        <is>
          <t>Angel-Backed</t>
        </is>
      </c>
      <c r="O823" s="23" t="inlineStr">
        <is>
          <t>Privately Held (backing)</t>
        </is>
      </c>
      <c r="P823" s="24" t="inlineStr">
        <is>
          <t>Carlsbad, CA</t>
        </is>
      </c>
      <c r="Q823" s="25" t="inlineStr">
        <is>
          <t>www.tensorcom.com</t>
        </is>
      </c>
      <c r="R823" s="113">
        <f>HYPERLINK("https://my.pitchbook.com?c=60036-04", "View company online")</f>
      </c>
    </row>
    <row r="824">
      <c r="A824" s="27" t="inlineStr">
        <is>
          <t>99642-52</t>
        </is>
      </c>
      <c r="B824" s="28" t="inlineStr">
        <is>
          <t>Tensile-SSL Holdings</t>
        </is>
      </c>
      <c r="C824" s="29" t="inlineStr">
        <is>
          <t/>
        </is>
      </c>
      <c r="D824" s="30" t="inlineStr">
        <is>
          <t/>
        </is>
      </c>
      <c r="E824" s="31" t="inlineStr">
        <is>
          <t/>
        </is>
      </c>
      <c r="F824" s="32" t="inlineStr">
        <is>
          <t/>
        </is>
      </c>
      <c r="G824" s="33" t="inlineStr">
        <is>
          <t/>
        </is>
      </c>
      <c r="H824" s="34" t="inlineStr">
        <is>
          <t/>
        </is>
      </c>
      <c r="I824" s="35" t="n">
        <v>12.0</v>
      </c>
      <c r="J824" s="36" t="n">
        <v>17.55</v>
      </c>
      <c r="K824" s="37" t="inlineStr">
        <is>
          <t>Other Business Products and Services</t>
        </is>
      </c>
      <c r="L824" s="38" t="inlineStr">
        <is>
          <t>The company is currently operating in stealth mode.</t>
        </is>
      </c>
      <c r="M824" s="39" t="inlineStr">
        <is>
          <t/>
        </is>
      </c>
      <c r="N824" s="40" t="inlineStr">
        <is>
          <t>Angel-Backed</t>
        </is>
      </c>
      <c r="O824" s="41" t="inlineStr">
        <is>
          <t>Privately Held (backing)</t>
        </is>
      </c>
      <c r="P824" s="42" t="inlineStr">
        <is>
          <t>San Francisco, CA</t>
        </is>
      </c>
      <c r="Q824" s="43" t="inlineStr">
        <is>
          <t/>
        </is>
      </c>
      <c r="R824" s="114">
        <f>HYPERLINK("https://my.pitchbook.com?c=99642-52", "View company online")</f>
      </c>
    </row>
    <row r="825">
      <c r="A825" s="9" t="inlineStr">
        <is>
          <t>170348-86</t>
        </is>
      </c>
      <c r="B825" s="10" t="inlineStr">
        <is>
          <t>Tenka Labs</t>
        </is>
      </c>
      <c r="C825" s="11" t="n">
        <v>0.0</v>
      </c>
      <c r="D825" s="12" t="n">
        <v>0.2263322644678577</v>
      </c>
      <c r="E825" s="13" t="inlineStr">
        <is>
          <t/>
        </is>
      </c>
      <c r="F825" s="14" t="n">
        <v>11.0</v>
      </c>
      <c r="G825" s="15" t="inlineStr">
        <is>
          <t/>
        </is>
      </c>
      <c r="H825" s="16" t="n">
        <v>55.0</v>
      </c>
      <c r="I825" s="17" t="inlineStr">
        <is>
          <t/>
        </is>
      </c>
      <c r="J825" s="18" t="n">
        <v>2.1</v>
      </c>
      <c r="K825" s="19" t="inlineStr">
        <is>
          <t>Electronics (B2C)</t>
        </is>
      </c>
      <c r="L825" s="20" t="inlineStr">
        <is>
          <t>Developer of electronic building blocks designed to create tech-related fun projects for kids. The company designs and develops electronic building blocks that operate as parts of circuits and they can connect to LEGO bricks which can in turn be connected to build cars, creepy moving stuffed rabbit and so on enabling the kids learn the basic knowledge of circuitry and science through game.</t>
        </is>
      </c>
      <c r="M825" s="21" t="inlineStr">
        <is>
          <t/>
        </is>
      </c>
      <c r="N825" s="22" t="inlineStr">
        <is>
          <t>Angel-Backed</t>
        </is>
      </c>
      <c r="O825" s="23" t="inlineStr">
        <is>
          <t>Privately Held (backing)</t>
        </is>
      </c>
      <c r="P825" s="24" t="inlineStr">
        <is>
          <t>Sausalito, CA</t>
        </is>
      </c>
      <c r="Q825" s="25" t="inlineStr">
        <is>
          <t>www.tenkalabs.com</t>
        </is>
      </c>
      <c r="R825" s="113">
        <f>HYPERLINK("https://my.pitchbook.com?c=170348-86", "View company online")</f>
      </c>
    </row>
    <row r="826">
      <c r="A826" s="27" t="inlineStr">
        <is>
          <t>92656-54</t>
        </is>
      </c>
      <c r="B826" s="28" t="inlineStr">
        <is>
          <t>Tenfoot</t>
        </is>
      </c>
      <c r="C826" s="29" t="n">
        <v>0.0</v>
      </c>
      <c r="D826" s="30" t="n">
        <v>0.08108108108108109</v>
      </c>
      <c r="E826" s="31" t="inlineStr">
        <is>
          <t/>
        </is>
      </c>
      <c r="F826" s="32" t="n">
        <v>3.0</v>
      </c>
      <c r="G826" s="33" t="inlineStr">
        <is>
          <t/>
        </is>
      </c>
      <c r="H826" s="34" t="inlineStr">
        <is>
          <t/>
        </is>
      </c>
      <c r="I826" s="35" t="inlineStr">
        <is>
          <t/>
        </is>
      </c>
      <c r="J826" s="36" t="inlineStr">
        <is>
          <t/>
        </is>
      </c>
      <c r="K826" s="37" t="inlineStr">
        <is>
          <t>Clothing</t>
        </is>
      </c>
      <c r="L826" s="38" t="inlineStr">
        <is>
          <t>Provider of an SaaS e-commerce fashion platform. The company an optimized version of online stores, custom tailored for every mobile device, by size and platform.</t>
        </is>
      </c>
      <c r="M826" s="39" t="inlineStr">
        <is>
          <t>UpWest Labs</t>
        </is>
      </c>
      <c r="N826" s="40" t="inlineStr">
        <is>
          <t>Accelerator/Incubator Backed</t>
        </is>
      </c>
      <c r="O826" s="41" t="inlineStr">
        <is>
          <t>Privately Held (backing)</t>
        </is>
      </c>
      <c r="P826" s="42" t="inlineStr">
        <is>
          <t>Palo Alto, CA</t>
        </is>
      </c>
      <c r="Q826" s="43" t="inlineStr">
        <is>
          <t>www.tenfootlabs.com</t>
        </is>
      </c>
      <c r="R826" s="114">
        <f>HYPERLINK("https://my.pitchbook.com?c=92656-54", "View company online")</f>
      </c>
    </row>
    <row r="827">
      <c r="A827" s="9" t="inlineStr">
        <is>
          <t>120347-83</t>
        </is>
      </c>
      <c r="B827" s="10" t="inlineStr">
        <is>
          <t>Tending</t>
        </is>
      </c>
      <c r="C827" s="11" t="n">
        <v>0.0</v>
      </c>
      <c r="D827" s="12" t="n">
        <v>0.16470266192079014</v>
      </c>
      <c r="E827" s="13" t="inlineStr">
        <is>
          <t/>
        </is>
      </c>
      <c r="F827" s="14" t="n">
        <v>8.0</v>
      </c>
      <c r="G827" s="15" t="n">
        <v>89.0</v>
      </c>
      <c r="H827" s="16" t="n">
        <v>41.0</v>
      </c>
      <c r="I827" s="17" t="n">
        <v>3.0</v>
      </c>
      <c r="J827" s="18" t="n">
        <v>0.05</v>
      </c>
      <c r="K827" s="19" t="inlineStr">
        <is>
          <t>Elder and Disabled Care</t>
        </is>
      </c>
      <c r="L827" s="20" t="inlineStr">
        <is>
          <t>Provider of a care coordination platform. The company provides a care coordination platform and offers concierge service for those providing care to their elderly loved ones.</t>
        </is>
      </c>
      <c r="M827" s="21" t="inlineStr">
        <is>
          <t>Pipeline Angels</t>
        </is>
      </c>
      <c r="N827" s="22" t="inlineStr">
        <is>
          <t>Angel-Backed</t>
        </is>
      </c>
      <c r="O827" s="23" t="inlineStr">
        <is>
          <t>Privately Held (backing)</t>
        </is>
      </c>
      <c r="P827" s="24" t="inlineStr">
        <is>
          <t>San Francisco, CA</t>
        </is>
      </c>
      <c r="Q827" s="25" t="inlineStr">
        <is>
          <t>www.starttending.com</t>
        </is>
      </c>
      <c r="R827" s="113">
        <f>HYPERLINK("https://my.pitchbook.com?c=120347-83", "View company online")</f>
      </c>
    </row>
    <row r="828">
      <c r="A828" s="27" t="inlineStr">
        <is>
          <t>120252-88</t>
        </is>
      </c>
      <c r="B828" s="28" t="inlineStr">
        <is>
          <t>Ten Ton Raygun</t>
        </is>
      </c>
      <c r="C828" s="29" t="n">
        <v>0.09199194273378752</v>
      </c>
      <c r="D828" s="30" t="n">
        <v>0.1977001846567064</v>
      </c>
      <c r="E828" s="31" t="inlineStr">
        <is>
          <t/>
        </is>
      </c>
      <c r="F828" s="32" t="n">
        <v>7.0</v>
      </c>
      <c r="G828" s="33" t="n">
        <v>166.0</v>
      </c>
      <c r="H828" s="34" t="inlineStr">
        <is>
          <t/>
        </is>
      </c>
      <c r="I828" s="35" t="inlineStr">
        <is>
          <t/>
        </is>
      </c>
      <c r="J828" s="36" t="n">
        <v>0.03</v>
      </c>
      <c r="K828" s="37" t="inlineStr">
        <is>
          <t>Computers, Parts and Peripherals</t>
        </is>
      </c>
      <c r="L828" s="38" t="inlineStr">
        <is>
          <t>Developer of applications for physical rehabilitation therapy. The company specializes in developing data visualization tools, interactive environments and mobile enabled games and utilities for physical rehabilitation therapy of stroke and accident victims.</t>
        </is>
      </c>
      <c r="M828" s="39" t="inlineStr">
        <is>
          <t>LEAP.Axlr8r, SOSV</t>
        </is>
      </c>
      <c r="N828" s="40" t="inlineStr">
        <is>
          <t>Accelerator/Incubator Backed</t>
        </is>
      </c>
      <c r="O828" s="41" t="inlineStr">
        <is>
          <t>Privately Held (backing)</t>
        </is>
      </c>
      <c r="P828" s="42" t="inlineStr">
        <is>
          <t>Los Angeles, CA</t>
        </is>
      </c>
      <c r="Q828" s="43" t="inlineStr">
        <is>
          <t>www.tentonraygun.com</t>
        </is>
      </c>
      <c r="R828" s="114">
        <f>HYPERLINK("https://my.pitchbook.com?c=120252-88", "View company online")</f>
      </c>
    </row>
    <row r="829">
      <c r="A829" s="9" t="inlineStr">
        <is>
          <t>63822-97</t>
        </is>
      </c>
      <c r="B829" s="10" t="inlineStr">
        <is>
          <t>Ten Thirty One Productions</t>
        </is>
      </c>
      <c r="C829" s="11" t="n">
        <v>0.06144865148207013</v>
      </c>
      <c r="D829" s="12" t="n">
        <v>1.4344977043576894</v>
      </c>
      <c r="E829" s="13" t="inlineStr">
        <is>
          <t/>
        </is>
      </c>
      <c r="F829" s="14" t="n">
        <v>22.0</v>
      </c>
      <c r="G829" s="15" t="n">
        <v>2591.0</v>
      </c>
      <c r="H829" s="16" t="n">
        <v>469.0</v>
      </c>
      <c r="I829" s="17" t="n">
        <v>5.0</v>
      </c>
      <c r="J829" s="18" t="n">
        <v>2.0</v>
      </c>
      <c r="K829" s="19" t="inlineStr">
        <is>
          <t>Movies, Music and Entertainment</t>
        </is>
      </c>
      <c r="L829" s="20" t="inlineStr">
        <is>
          <t>Operator of a an event management business that produces Halloween-themed events. The company specializes in organizing Horror-themed events and shows in different states of USA.</t>
        </is>
      </c>
      <c r="M829" s="21" t="inlineStr">
        <is>
          <t>Live Nation (Andrew Lloyd Webber's Phantom, Cirque du Soleil/Delirium, Planet Hollywood), Mark Cuban</t>
        </is>
      </c>
      <c r="N829" s="22" t="inlineStr">
        <is>
          <t>Angel-Backed</t>
        </is>
      </c>
      <c r="O829" s="23" t="inlineStr">
        <is>
          <t>Privately Held (backing)</t>
        </is>
      </c>
      <c r="P829" s="24" t="inlineStr">
        <is>
          <t>Los Angeles, CA</t>
        </is>
      </c>
      <c r="Q829" s="25" t="inlineStr">
        <is>
          <t>www.tenthirtyoneproductions.com</t>
        </is>
      </c>
      <c r="R829" s="113">
        <f>HYPERLINK("https://my.pitchbook.com?c=63822-97", "View company online")</f>
      </c>
    </row>
    <row r="830">
      <c r="A830" s="27" t="inlineStr">
        <is>
          <t>120514-15</t>
        </is>
      </c>
      <c r="B830" s="28" t="inlineStr">
        <is>
          <t>Ten Minute Title Loans</t>
        </is>
      </c>
      <c r="C830" s="29" t="inlineStr">
        <is>
          <t/>
        </is>
      </c>
      <c r="D830" s="30" t="inlineStr">
        <is>
          <t/>
        </is>
      </c>
      <c r="E830" s="31" t="inlineStr">
        <is>
          <t/>
        </is>
      </c>
      <c r="F830" s="32" t="inlineStr">
        <is>
          <t/>
        </is>
      </c>
      <c r="G830" s="33" t="inlineStr">
        <is>
          <t/>
        </is>
      </c>
      <c r="H830" s="34" t="inlineStr">
        <is>
          <t/>
        </is>
      </c>
      <c r="I830" s="35" t="inlineStr">
        <is>
          <t/>
        </is>
      </c>
      <c r="J830" s="36" t="n">
        <v>0.8</v>
      </c>
      <c r="K830" s="37" t="inlineStr">
        <is>
          <t>Other Financial Services</t>
        </is>
      </c>
      <c r="L830" s="38" t="inlineStr">
        <is>
          <t>Provider of collateral loans against vehicles. The company provides title loan against vehicles such as cars, motorcycles, trucks and boats.</t>
        </is>
      </c>
      <c r="M830" s="39" t="inlineStr">
        <is>
          <t/>
        </is>
      </c>
      <c r="N830" s="40" t="inlineStr">
        <is>
          <t>Angel-Backed</t>
        </is>
      </c>
      <c r="O830" s="41" t="inlineStr">
        <is>
          <t>Privately Held (backing)</t>
        </is>
      </c>
      <c r="P830" s="42" t="inlineStr">
        <is>
          <t>Santa Monica, CA</t>
        </is>
      </c>
      <c r="Q830" s="43" t="inlineStr">
        <is>
          <t>www.tenminutetitleloansinvestment.com</t>
        </is>
      </c>
      <c r="R830" s="114">
        <f>HYPERLINK("https://my.pitchbook.com?c=120514-15", "View company online")</f>
      </c>
    </row>
    <row r="831">
      <c r="A831" s="9" t="inlineStr">
        <is>
          <t>149757-13</t>
        </is>
      </c>
      <c r="B831" s="10" t="inlineStr">
        <is>
          <t>Ten Machines</t>
        </is>
      </c>
      <c r="C831" s="11" t="n">
        <v>0.0</v>
      </c>
      <c r="D831" s="12" t="n">
        <v>0.09290451626486998</v>
      </c>
      <c r="E831" s="13" t="inlineStr">
        <is>
          <t/>
        </is>
      </c>
      <c r="F831" s="14" t="n">
        <v>1.0</v>
      </c>
      <c r="G831" s="15" t="n">
        <v>95.0</v>
      </c>
      <c r="H831" s="16" t="n">
        <v>24.0</v>
      </c>
      <c r="I831" s="17" t="inlineStr">
        <is>
          <t/>
        </is>
      </c>
      <c r="J831" s="18" t="inlineStr">
        <is>
          <t/>
        </is>
      </c>
      <c r="K831" s="19" t="inlineStr">
        <is>
          <t>Application Software</t>
        </is>
      </c>
      <c r="L831" s="20" t="inlineStr">
        <is>
          <t>Developer and provider of mobile applications. The company offers an anonymous messaging application that enables users to send private messages to other users and discuss different topics.</t>
        </is>
      </c>
      <c r="M831" s="21" t="inlineStr">
        <is>
          <t>Karl Mehta</t>
        </is>
      </c>
      <c r="N831" s="22" t="inlineStr">
        <is>
          <t>Angel-Backed</t>
        </is>
      </c>
      <c r="O831" s="23" t="inlineStr">
        <is>
          <t>Privately Held (backing)</t>
        </is>
      </c>
      <c r="P831" s="24" t="inlineStr">
        <is>
          <t>New York, NY</t>
        </is>
      </c>
      <c r="Q831" s="25" t="inlineStr">
        <is>
          <t>www.rageapp.io</t>
        </is>
      </c>
      <c r="R831" s="113">
        <f>HYPERLINK("https://my.pitchbook.com?c=149757-13", "View company online")</f>
      </c>
    </row>
    <row r="832">
      <c r="A832" s="27" t="inlineStr">
        <is>
          <t>111639-43</t>
        </is>
      </c>
      <c r="B832" s="28" t="inlineStr">
        <is>
          <t>Ten Degrees</t>
        </is>
      </c>
      <c r="C832" s="29" t="n">
        <v>0.0</v>
      </c>
      <c r="D832" s="30" t="n">
        <v>0.20953500083934867</v>
      </c>
      <c r="E832" s="31" t="inlineStr">
        <is>
          <t/>
        </is>
      </c>
      <c r="F832" s="32" t="n">
        <v>15.0</v>
      </c>
      <c r="G832" s="33" t="n">
        <v>11.0</v>
      </c>
      <c r="H832" s="34" t="inlineStr">
        <is>
          <t/>
        </is>
      </c>
      <c r="I832" s="35" t="inlineStr">
        <is>
          <t/>
        </is>
      </c>
      <c r="J832" s="36" t="inlineStr">
        <is>
          <t/>
        </is>
      </c>
      <c r="K832" s="37" t="inlineStr">
        <is>
          <t>Media and Information Services (B2B)</t>
        </is>
      </c>
      <c r="L832" s="38" t="inlineStr">
        <is>
          <t>Provider of navigation and human motion data analytic services. The company offers indoor map information and motion sensors for smart phones in order to improve positioning accuracy.</t>
        </is>
      </c>
      <c r="M832" s="39" t="inlineStr">
        <is>
          <t>Sand Hill Angels</t>
        </is>
      </c>
      <c r="N832" s="40" t="inlineStr">
        <is>
          <t>Angel-Backed</t>
        </is>
      </c>
      <c r="O832" s="41" t="inlineStr">
        <is>
          <t>Privately Held (backing)</t>
        </is>
      </c>
      <c r="P832" s="42" t="inlineStr">
        <is>
          <t>San Jose, CA</t>
        </is>
      </c>
      <c r="Q832" s="43" t="inlineStr">
        <is>
          <t>www.tendegrees.net</t>
        </is>
      </c>
      <c r="R832" s="114">
        <f>HYPERLINK("https://my.pitchbook.com?c=111639-43", "View company online")</f>
      </c>
    </row>
    <row r="833">
      <c r="A833" s="9" t="inlineStr">
        <is>
          <t>157669-30</t>
        </is>
      </c>
      <c r="B833" s="10" t="inlineStr">
        <is>
          <t>Tempo Therapeutics</t>
        </is>
      </c>
      <c r="C833" s="11" t="n">
        <v>0.0</v>
      </c>
      <c r="D833" s="12" t="n">
        <v>0.1891891891891892</v>
      </c>
      <c r="E833" s="13" t="inlineStr">
        <is>
          <t/>
        </is>
      </c>
      <c r="F833" s="14" t="n">
        <v>6.0</v>
      </c>
      <c r="G833" s="15" t="inlineStr">
        <is>
          <t/>
        </is>
      </c>
      <c r="H833" s="16" t="inlineStr">
        <is>
          <t/>
        </is>
      </c>
      <c r="I833" s="17" t="inlineStr">
        <is>
          <t/>
        </is>
      </c>
      <c r="J833" s="18" t="n">
        <v>0.5</v>
      </c>
      <c r="K833" s="19" t="inlineStr">
        <is>
          <t>Biotechnology</t>
        </is>
      </c>
      <c r="L833" s="20" t="inlineStr">
        <is>
          <t>Developer of inject-able hydro gels for tissue regeneration. The company develops micro porous gel for cutaneous-tissue regeneration and tissue-structure formation at the site of a wound and helps in preventing scarring.</t>
        </is>
      </c>
      <c r="M833" s="21" t="inlineStr">
        <is>
          <t/>
        </is>
      </c>
      <c r="N833" s="22" t="inlineStr">
        <is>
          <t>Angel-Backed</t>
        </is>
      </c>
      <c r="O833" s="23" t="inlineStr">
        <is>
          <t>Privately Held (backing)</t>
        </is>
      </c>
      <c r="P833" s="24" t="inlineStr">
        <is>
          <t>Los Angeles, CA</t>
        </is>
      </c>
      <c r="Q833" s="25" t="inlineStr">
        <is>
          <t>www.tempothera.com</t>
        </is>
      </c>
      <c r="R833" s="113">
        <f>HYPERLINK("https://my.pitchbook.com?c=157669-30", "View company online")</f>
      </c>
    </row>
    <row r="834">
      <c r="A834" s="27" t="inlineStr">
        <is>
          <t>129143-17</t>
        </is>
      </c>
      <c r="B834" s="28" t="inlineStr">
        <is>
          <t>Temple Gate Games</t>
        </is>
      </c>
      <c r="C834" s="29" t="n">
        <v>3.513903870980516</v>
      </c>
      <c r="D834" s="30" t="n">
        <v>2.177986113284566</v>
      </c>
      <c r="E834" s="31" t="inlineStr">
        <is>
          <t/>
        </is>
      </c>
      <c r="F834" s="32" t="n">
        <v>135.0</v>
      </c>
      <c r="G834" s="33" t="n">
        <v>542.0</v>
      </c>
      <c r="H834" s="34" t="n">
        <v>262.0</v>
      </c>
      <c r="I834" s="35" t="inlineStr">
        <is>
          <t/>
        </is>
      </c>
      <c r="J834" s="36" t="n">
        <v>0.2</v>
      </c>
      <c r="K834" s="37" t="inlineStr">
        <is>
          <t>Entertainment Software</t>
        </is>
      </c>
      <c r="L834" s="38" t="inlineStr">
        <is>
          <t>Developer of virtual reality gaming software. The company develops virtual reality focused gaming software accessible on all computing platforms and for users of all ages.</t>
        </is>
      </c>
      <c r="M834" s="39" t="inlineStr">
        <is>
          <t>River</t>
        </is>
      </c>
      <c r="N834" s="40" t="inlineStr">
        <is>
          <t>Accelerator/Incubator Backed</t>
        </is>
      </c>
      <c r="O834" s="41" t="inlineStr">
        <is>
          <t>Privately Held (backing)</t>
        </is>
      </c>
      <c r="P834" s="42" t="inlineStr">
        <is>
          <t>San Mateo, CA</t>
        </is>
      </c>
      <c r="Q834" s="43" t="inlineStr">
        <is>
          <t>www.templegatesgames.com</t>
        </is>
      </c>
      <c r="R834" s="114">
        <f>HYPERLINK("https://my.pitchbook.com?c=129143-17", "View company online")</f>
      </c>
    </row>
    <row r="835">
      <c r="A835" s="9" t="inlineStr">
        <is>
          <t>121555-99</t>
        </is>
      </c>
      <c r="B835" s="10" t="inlineStr">
        <is>
          <t>Temblor</t>
        </is>
      </c>
      <c r="C835" s="85">
        <f>HYPERLINK("https://my.pitchbook.com?rrp=121555-99&amp;type=c", "This Company's information is not available to download. Need this Company? Request availability")</f>
      </c>
      <c r="D835" s="12" t="inlineStr">
        <is>
          <t/>
        </is>
      </c>
      <c r="E835" s="13" t="inlineStr">
        <is>
          <t/>
        </is>
      </c>
      <c r="F835" s="14" t="inlineStr">
        <is>
          <t/>
        </is>
      </c>
      <c r="G835" s="15" t="inlineStr">
        <is>
          <t/>
        </is>
      </c>
      <c r="H835" s="16" t="inlineStr">
        <is>
          <t/>
        </is>
      </c>
      <c r="I835" s="17" t="inlineStr">
        <is>
          <t/>
        </is>
      </c>
      <c r="J835" s="18" t="inlineStr">
        <is>
          <t/>
        </is>
      </c>
      <c r="K835" s="19" t="inlineStr">
        <is>
          <t/>
        </is>
      </c>
      <c r="L835" s="20" t="inlineStr">
        <is>
          <t/>
        </is>
      </c>
      <c r="M835" s="21" t="inlineStr">
        <is>
          <t/>
        </is>
      </c>
      <c r="N835" s="22" t="inlineStr">
        <is>
          <t/>
        </is>
      </c>
      <c r="O835" s="23" t="inlineStr">
        <is>
          <t/>
        </is>
      </c>
      <c r="P835" s="24" t="inlineStr">
        <is>
          <t/>
        </is>
      </c>
      <c r="Q835" s="25" t="inlineStr">
        <is>
          <t/>
        </is>
      </c>
      <c r="R835" s="26" t="inlineStr">
        <is>
          <t/>
        </is>
      </c>
    </row>
    <row r="836">
      <c r="A836" s="27" t="inlineStr">
        <is>
          <t>111297-43</t>
        </is>
      </c>
      <c r="B836" s="28" t="inlineStr">
        <is>
          <t>Temando</t>
        </is>
      </c>
      <c r="C836" s="29" t="n">
        <v>0.3997458817803299</v>
      </c>
      <c r="D836" s="30" t="n">
        <v>3.506850199499426</v>
      </c>
      <c r="E836" s="31" t="inlineStr">
        <is>
          <t/>
        </is>
      </c>
      <c r="F836" s="32" t="n">
        <v>159.0</v>
      </c>
      <c r="G836" s="33" t="n">
        <v>811.0</v>
      </c>
      <c r="H836" s="34" t="n">
        <v>1544.0</v>
      </c>
      <c r="I836" s="35" t="n">
        <v>53.0</v>
      </c>
      <c r="J836" s="36" t="n">
        <v>56.0</v>
      </c>
      <c r="K836" s="37" t="inlineStr">
        <is>
          <t>Logistics</t>
        </is>
      </c>
      <c r="L836" s="38" t="inlineStr">
        <is>
          <t>Produces fulfillment solutions for retail and logistics industries. The company’s cloud software, Temando Intelligent Fulfillment Platform, gives customers access to global couriers and allows them to compare delivery options in one system, including cost, service type, speed and reliability.</t>
        </is>
      </c>
      <c r="M836" s="39" t="inlineStr">
        <is>
          <t>Ellerston Capital, Neopost</t>
        </is>
      </c>
      <c r="N836" s="40" t="inlineStr">
        <is>
          <t>Angel-Backed</t>
        </is>
      </c>
      <c r="O836" s="41" t="inlineStr">
        <is>
          <t>Privately Held (backing)</t>
        </is>
      </c>
      <c r="P836" s="42" t="inlineStr">
        <is>
          <t>Fortitude Valley, Australia</t>
        </is>
      </c>
      <c r="Q836" s="43" t="inlineStr">
        <is>
          <t>www.temando.com</t>
        </is>
      </c>
      <c r="R836" s="114">
        <f>HYPERLINK("https://my.pitchbook.com?c=111297-43", "View company online")</f>
      </c>
    </row>
    <row r="837">
      <c r="A837" s="9" t="inlineStr">
        <is>
          <t>94216-24</t>
        </is>
      </c>
      <c r="B837" s="10" t="inlineStr">
        <is>
          <t>Telzio</t>
        </is>
      </c>
      <c r="C837" s="85">
        <f>HYPERLINK("https://my.pitchbook.com?rrp=94216-24&amp;type=c", "This Company's information is not available to download. Need this Company? Request availability")</f>
      </c>
      <c r="D837" s="12" t="inlineStr">
        <is>
          <t/>
        </is>
      </c>
      <c r="E837" s="13" t="inlineStr">
        <is>
          <t/>
        </is>
      </c>
      <c r="F837" s="14" t="inlineStr">
        <is>
          <t/>
        </is>
      </c>
      <c r="G837" s="15" t="inlineStr">
        <is>
          <t/>
        </is>
      </c>
      <c r="H837" s="16" t="inlineStr">
        <is>
          <t/>
        </is>
      </c>
      <c r="I837" s="17" t="inlineStr">
        <is>
          <t/>
        </is>
      </c>
      <c r="J837" s="18" t="inlineStr">
        <is>
          <t/>
        </is>
      </c>
      <c r="K837" s="19" t="inlineStr">
        <is>
          <t/>
        </is>
      </c>
      <c r="L837" s="20" t="inlineStr">
        <is>
          <t/>
        </is>
      </c>
      <c r="M837" s="21" t="inlineStr">
        <is>
          <t/>
        </is>
      </c>
      <c r="N837" s="22" t="inlineStr">
        <is>
          <t/>
        </is>
      </c>
      <c r="O837" s="23" t="inlineStr">
        <is>
          <t/>
        </is>
      </c>
      <c r="P837" s="24" t="inlineStr">
        <is>
          <t/>
        </is>
      </c>
      <c r="Q837" s="25" t="inlineStr">
        <is>
          <t/>
        </is>
      </c>
      <c r="R837" s="26" t="inlineStr">
        <is>
          <t/>
        </is>
      </c>
    </row>
    <row r="838">
      <c r="A838" s="27" t="inlineStr">
        <is>
          <t>90009-91</t>
        </is>
      </c>
      <c r="B838" s="28" t="inlineStr">
        <is>
          <t>Telnexus</t>
        </is>
      </c>
      <c r="C838" s="29" t="n">
        <v>0.057808091143531096</v>
      </c>
      <c r="D838" s="30" t="n">
        <v>0.7939749466278574</v>
      </c>
      <c r="E838" s="31" t="inlineStr">
        <is>
          <t/>
        </is>
      </c>
      <c r="F838" s="32" t="n">
        <v>27.0</v>
      </c>
      <c r="G838" s="33" t="n">
        <v>81.0</v>
      </c>
      <c r="H838" s="34" t="n">
        <v>573.0</v>
      </c>
      <c r="I838" s="35" t="n">
        <v>11.0</v>
      </c>
      <c r="J838" s="36" t="n">
        <v>0.25</v>
      </c>
      <c r="K838" s="37" t="inlineStr">
        <is>
          <t>Wireless Service Providers</t>
        </is>
      </c>
      <c r="L838" s="38" t="inlineStr">
        <is>
          <t>Provider of internet protocol services. The company helps in delivering low-budget VoIP services to small and medium sized enterprises around the Bay Area.</t>
        </is>
      </c>
      <c r="M838" s="39" t="inlineStr">
        <is>
          <t/>
        </is>
      </c>
      <c r="N838" s="40" t="inlineStr">
        <is>
          <t>Angel-Backed</t>
        </is>
      </c>
      <c r="O838" s="41" t="inlineStr">
        <is>
          <t>Privately Held (backing)</t>
        </is>
      </c>
      <c r="P838" s="42" t="inlineStr">
        <is>
          <t>Berkeley, CA</t>
        </is>
      </c>
      <c r="Q838" s="43" t="inlineStr">
        <is>
          <t>telnexus.com</t>
        </is>
      </c>
      <c r="R838" s="114">
        <f>HYPERLINK("https://my.pitchbook.com?c=90009-91", "View company online")</f>
      </c>
    </row>
    <row r="839">
      <c r="A839" s="9" t="inlineStr">
        <is>
          <t>125635-42</t>
        </is>
      </c>
      <c r="B839" s="10" t="inlineStr">
        <is>
          <t>Tell Market</t>
        </is>
      </c>
      <c r="C839" s="11" t="n">
        <v>-0.03398420691898967</v>
      </c>
      <c r="D839" s="12" t="n">
        <v>3.9077813311785308</v>
      </c>
      <c r="E839" s="13" t="inlineStr">
        <is>
          <t/>
        </is>
      </c>
      <c r="F839" s="14" t="n">
        <v>1.0</v>
      </c>
      <c r="G839" s="15" t="n">
        <v>792.0</v>
      </c>
      <c r="H839" s="16" t="n">
        <v>5167.0</v>
      </c>
      <c r="I839" s="17" t="inlineStr">
        <is>
          <t/>
        </is>
      </c>
      <c r="J839" s="18" t="inlineStr">
        <is>
          <t/>
        </is>
      </c>
      <c r="K839" s="19" t="inlineStr">
        <is>
          <t>Application Software</t>
        </is>
      </c>
      <c r="L839" s="20" t="inlineStr">
        <is>
          <t>Developer of an online video sharing and shopping platform. The company develops mobile applications that enable users to share videos of shopping experiences with other shoppers when shopping a range of products from the company's online shopping store. It also offers home delivery service to online shoppers.</t>
        </is>
      </c>
      <c r="M839" s="21" t="inlineStr">
        <is>
          <t>Charles Yong, Kevin Mahaffey, Softlandings Uruguay, Sumon Sadhu</t>
        </is>
      </c>
      <c r="N839" s="22" t="inlineStr">
        <is>
          <t>Accelerator/Incubator Backed</t>
        </is>
      </c>
      <c r="O839" s="23" t="inlineStr">
        <is>
          <t>Privately Held (backing)</t>
        </is>
      </c>
      <c r="P839" s="24" t="inlineStr">
        <is>
          <t>La Jolla, CA</t>
        </is>
      </c>
      <c r="Q839" s="25" t="inlineStr">
        <is>
          <t>www.tellmarket.com</t>
        </is>
      </c>
      <c r="R839" s="113">
        <f>HYPERLINK("https://my.pitchbook.com?c=125635-42", "View company online")</f>
      </c>
    </row>
    <row r="840">
      <c r="A840" s="27" t="inlineStr">
        <is>
          <t>124231-33</t>
        </is>
      </c>
      <c r="B840" s="28" t="inlineStr">
        <is>
          <t>TeleTravel</t>
        </is>
      </c>
      <c r="C840" s="29" t="n">
        <v>-0.01389600249633422</v>
      </c>
      <c r="D840" s="30" t="n">
        <v>0.6750440776601425</v>
      </c>
      <c r="E840" s="31" t="inlineStr">
        <is>
          <t/>
        </is>
      </c>
      <c r="F840" s="32" t="n">
        <v>21.0</v>
      </c>
      <c r="G840" s="33" t="n">
        <v>1089.0</v>
      </c>
      <c r="H840" s="34" t="n">
        <v>56.0</v>
      </c>
      <c r="I840" s="35" t="inlineStr">
        <is>
          <t/>
        </is>
      </c>
      <c r="J840" s="36" t="n">
        <v>0.05</v>
      </c>
      <c r="K840" s="37" t="inlineStr">
        <is>
          <t>Legal Services (B2C)</t>
        </is>
      </c>
      <c r="L840" s="38" t="inlineStr">
        <is>
          <t>Provider of a medical assistance service in Mexico. The company provides medical services as well as legal and roadside assistance for people traveling to Mexico.</t>
        </is>
      </c>
      <c r="M840" s="39" t="inlineStr">
        <is>
          <t/>
        </is>
      </c>
      <c r="N840" s="40" t="inlineStr">
        <is>
          <t>Angel-Backed</t>
        </is>
      </c>
      <c r="O840" s="41" t="inlineStr">
        <is>
          <t>Privately Held (backing)</t>
        </is>
      </c>
      <c r="P840" s="42" t="inlineStr">
        <is>
          <t>Los Angeles, CA</t>
        </is>
      </c>
      <c r="Q840" s="43" t="inlineStr">
        <is>
          <t>www.travelcaremexico.com</t>
        </is>
      </c>
      <c r="R840" s="114">
        <f>HYPERLINK("https://my.pitchbook.com?c=124231-33", "View company online")</f>
      </c>
    </row>
    <row r="841">
      <c r="A841" s="9" t="inlineStr">
        <is>
          <t>94199-86</t>
        </is>
      </c>
      <c r="B841" s="10" t="inlineStr">
        <is>
          <t>TeleStax</t>
        </is>
      </c>
      <c r="C841" s="11" t="n">
        <v>0.45629403907850535</v>
      </c>
      <c r="D841" s="12" t="n">
        <v>18.089004010853685</v>
      </c>
      <c r="E841" s="13" t="inlineStr">
        <is>
          <t/>
        </is>
      </c>
      <c r="F841" s="14" t="n">
        <v>203.0</v>
      </c>
      <c r="G841" s="15" t="n">
        <v>232.0</v>
      </c>
      <c r="H841" s="16" t="n">
        <v>21520.0</v>
      </c>
      <c r="I841" s="17" t="n">
        <v>20.0</v>
      </c>
      <c r="J841" s="18" t="n">
        <v>0.9</v>
      </c>
      <c r="K841" s="19" t="inlineStr">
        <is>
          <t>Other Business Products and Services</t>
        </is>
      </c>
      <c r="L841" s="20" t="inlineStr">
        <is>
          <t>Provider of open source communications software and services. The company develops a open source communication software that enables telecommunication service providers and enterprises to create scalable communication applications based on open source and open standards.</t>
        </is>
      </c>
      <c r="M841" s="21" t="inlineStr">
        <is>
          <t>Capital Factory, Pinnacle Ventures</t>
        </is>
      </c>
      <c r="N841" s="22" t="inlineStr">
        <is>
          <t>Accelerator/Incubator Backed</t>
        </is>
      </c>
      <c r="O841" s="23" t="inlineStr">
        <is>
          <t>Privately Held (backing)</t>
        </is>
      </c>
      <c r="P841" s="24" t="inlineStr">
        <is>
          <t>Palo Alto, CA</t>
        </is>
      </c>
      <c r="Q841" s="25" t="inlineStr">
        <is>
          <t>www.telestax.com</t>
        </is>
      </c>
      <c r="R841" s="113">
        <f>HYPERLINK("https://my.pitchbook.com?c=94199-86", "View company online")</f>
      </c>
    </row>
    <row r="842">
      <c r="A842" s="27" t="inlineStr">
        <is>
          <t>95419-99</t>
        </is>
      </c>
      <c r="B842" s="28" t="inlineStr">
        <is>
          <t>Telesocial</t>
        </is>
      </c>
      <c r="C842" s="29" t="n">
        <v>-0.03097323576825655</v>
      </c>
      <c r="D842" s="30" t="n">
        <v>0.4696546056531318</v>
      </c>
      <c r="E842" s="31" t="inlineStr">
        <is>
          <t/>
        </is>
      </c>
      <c r="F842" s="32" t="n">
        <v>19.0</v>
      </c>
      <c r="G842" s="33" t="n">
        <v>67.0</v>
      </c>
      <c r="H842" s="34" t="n">
        <v>272.0</v>
      </c>
      <c r="I842" s="35" t="n">
        <v>5.0</v>
      </c>
      <c r="J842" s="36" t="n">
        <v>1.09</v>
      </c>
      <c r="K842" s="37" t="inlineStr">
        <is>
          <t>Application Software</t>
        </is>
      </c>
      <c r="L842" s="38" t="inlineStr">
        <is>
          <t>Provider of a mobile voice-chatting platform. The company's platform connects calls to various social network enabling users to make calls from their desktop, tablet and smart phone.</t>
        </is>
      </c>
      <c r="M842" s="39" t="inlineStr">
        <is>
          <t>Gordon Tucker</t>
        </is>
      </c>
      <c r="N842" s="40" t="inlineStr">
        <is>
          <t>Angel-Backed</t>
        </is>
      </c>
      <c r="O842" s="41" t="inlineStr">
        <is>
          <t>Privately Held (backing)</t>
        </is>
      </c>
      <c r="P842" s="42" t="inlineStr">
        <is>
          <t>San Francisco, CA</t>
        </is>
      </c>
      <c r="Q842" s="43" t="inlineStr">
        <is>
          <t>www.telesocial.com</t>
        </is>
      </c>
      <c r="R842" s="114">
        <f>HYPERLINK("https://my.pitchbook.com?c=95419-99", "View company online")</f>
      </c>
    </row>
    <row r="843">
      <c r="A843" s="9" t="inlineStr">
        <is>
          <t>172208-71</t>
        </is>
      </c>
      <c r="B843" s="10" t="inlineStr">
        <is>
          <t>Teleporter</t>
        </is>
      </c>
      <c r="C843" s="85">
        <f>HYPERLINK("https://my.pitchbook.com?rrp=172208-71&amp;type=c", "This Company's information is not available to download. Need this Company? Request availability")</f>
      </c>
      <c r="D843" s="12" t="inlineStr">
        <is>
          <t/>
        </is>
      </c>
      <c r="E843" s="13" t="inlineStr">
        <is>
          <t/>
        </is>
      </c>
      <c r="F843" s="14" t="inlineStr">
        <is>
          <t/>
        </is>
      </c>
      <c r="G843" s="15" t="inlineStr">
        <is>
          <t/>
        </is>
      </c>
      <c r="H843" s="16" t="inlineStr">
        <is>
          <t/>
        </is>
      </c>
      <c r="I843" s="17" t="inlineStr">
        <is>
          <t/>
        </is>
      </c>
      <c r="J843" s="18" t="inlineStr">
        <is>
          <t/>
        </is>
      </c>
      <c r="K843" s="19" t="inlineStr">
        <is>
          <t/>
        </is>
      </c>
      <c r="L843" s="20" t="inlineStr">
        <is>
          <t/>
        </is>
      </c>
      <c r="M843" s="21" t="inlineStr">
        <is>
          <t/>
        </is>
      </c>
      <c r="N843" s="22" t="inlineStr">
        <is>
          <t/>
        </is>
      </c>
      <c r="O843" s="23" t="inlineStr">
        <is>
          <t/>
        </is>
      </c>
      <c r="P843" s="24" t="inlineStr">
        <is>
          <t/>
        </is>
      </c>
      <c r="Q843" s="25" t="inlineStr">
        <is>
          <t/>
        </is>
      </c>
      <c r="R843" s="26" t="inlineStr">
        <is>
          <t/>
        </is>
      </c>
    </row>
    <row r="844">
      <c r="A844" s="27" t="inlineStr">
        <is>
          <t>168340-33</t>
        </is>
      </c>
      <c r="B844" s="28" t="inlineStr">
        <is>
          <t>Teleport (App)</t>
        </is>
      </c>
      <c r="C844" s="29" t="n">
        <v>-0.027932349057833993</v>
      </c>
      <c r="D844" s="30" t="n">
        <v>0.2571533845667965</v>
      </c>
      <c r="E844" s="31" t="inlineStr">
        <is>
          <t/>
        </is>
      </c>
      <c r="F844" s="32" t="inlineStr">
        <is>
          <t/>
        </is>
      </c>
      <c r="G844" s="33" t="n">
        <v>223.0</v>
      </c>
      <c r="H844" s="34" t="n">
        <v>83.0</v>
      </c>
      <c r="I844" s="35" t="inlineStr">
        <is>
          <t/>
        </is>
      </c>
      <c r="J844" s="36" t="n">
        <v>0.15</v>
      </c>
      <c r="K844" s="37" t="inlineStr">
        <is>
          <t>Social/Platform Software</t>
        </is>
      </c>
      <c r="L844" s="38" t="inlineStr">
        <is>
          <t>Provider of a social engagement platform. The company designs and develops a location based social intelligence application called Flyme and a social engagement platform called Teleport Application for their users.</t>
        </is>
      </c>
      <c r="M844" s="39" t="inlineStr">
        <is>
          <t>500 Startups</t>
        </is>
      </c>
      <c r="N844" s="40" t="inlineStr">
        <is>
          <t>Accelerator/Incubator Backed</t>
        </is>
      </c>
      <c r="O844" s="41" t="inlineStr">
        <is>
          <t>Privately Held (backing)</t>
        </is>
      </c>
      <c r="P844" s="42" t="inlineStr">
        <is>
          <t>San Francisco, CA</t>
        </is>
      </c>
      <c r="Q844" s="43" t="inlineStr">
        <is>
          <t>www.tlprt.co</t>
        </is>
      </c>
      <c r="R844" s="114">
        <f>HYPERLINK("https://my.pitchbook.com?c=168340-33", "View company online")</f>
      </c>
    </row>
    <row r="845">
      <c r="A845" s="9" t="inlineStr">
        <is>
          <t>160664-32</t>
        </is>
      </c>
      <c r="B845" s="10" t="inlineStr">
        <is>
          <t>Telelytics</t>
        </is>
      </c>
      <c r="C845" s="11" t="n">
        <v>0.0</v>
      </c>
      <c r="D845" s="12" t="n">
        <v>0.031073446327683617</v>
      </c>
      <c r="E845" s="13" t="inlineStr">
        <is>
          <t/>
        </is>
      </c>
      <c r="F845" s="14" t="inlineStr">
        <is>
          <t/>
        </is>
      </c>
      <c r="G845" s="15" t="inlineStr">
        <is>
          <t/>
        </is>
      </c>
      <c r="H845" s="16" t="n">
        <v>10.0</v>
      </c>
      <c r="I845" s="17" t="inlineStr">
        <is>
          <t/>
        </is>
      </c>
      <c r="J845" s="18" t="inlineStr">
        <is>
          <t/>
        </is>
      </c>
      <c r="K845" s="19" t="inlineStr">
        <is>
          <t>Other Healthcare Technology Systems</t>
        </is>
      </c>
      <c r="L845" s="20" t="inlineStr">
        <is>
          <t>Provider of a telemedicine platform. The company's platform uses machine learning for analysis of health records for delivery of video visits by doctors and match reimbursable use-cases with patients.</t>
        </is>
      </c>
      <c r="M845" s="21" t="inlineStr">
        <is>
          <t>Plug and Play Tech Center, Skydeck | Berkeley</t>
        </is>
      </c>
      <c r="N845" s="22" t="inlineStr">
        <is>
          <t>Accelerator/Incubator Backed</t>
        </is>
      </c>
      <c r="O845" s="23" t="inlineStr">
        <is>
          <t>Privately Held (backing)</t>
        </is>
      </c>
      <c r="P845" s="24" t="inlineStr">
        <is>
          <t>Palo Alto, CA</t>
        </is>
      </c>
      <c r="Q845" s="25" t="inlineStr">
        <is>
          <t>www.telelytics.io</t>
        </is>
      </c>
      <c r="R845" s="113">
        <f>HYPERLINK("https://my.pitchbook.com?c=160664-32", "View company online")</f>
      </c>
    </row>
    <row r="846">
      <c r="A846" s="27" t="inlineStr">
        <is>
          <t>88879-15</t>
        </is>
      </c>
      <c r="B846" s="28" t="inlineStr">
        <is>
          <t>Telegraph Hill Software</t>
        </is>
      </c>
      <c r="C846" s="86">
        <f>HYPERLINK("https://my.pitchbook.com?rrp=88879-15&amp;type=c", "This Company's information is not available to download. Need this Company? Request availability")</f>
      </c>
      <c r="D846" s="30" t="inlineStr">
        <is>
          <t/>
        </is>
      </c>
      <c r="E846" s="31" t="inlineStr">
        <is>
          <t/>
        </is>
      </c>
      <c r="F846" s="32" t="inlineStr">
        <is>
          <t/>
        </is>
      </c>
      <c r="G846" s="33" t="inlineStr">
        <is>
          <t/>
        </is>
      </c>
      <c r="H846" s="34" t="inlineStr">
        <is>
          <t/>
        </is>
      </c>
      <c r="I846" s="35" t="inlineStr">
        <is>
          <t/>
        </is>
      </c>
      <c r="J846" s="36" t="inlineStr">
        <is>
          <t/>
        </is>
      </c>
      <c r="K846" s="37" t="inlineStr">
        <is>
          <t/>
        </is>
      </c>
      <c r="L846" s="38" t="inlineStr">
        <is>
          <t/>
        </is>
      </c>
      <c r="M846" s="39" t="inlineStr">
        <is>
          <t/>
        </is>
      </c>
      <c r="N846" s="40" t="inlineStr">
        <is>
          <t/>
        </is>
      </c>
      <c r="O846" s="41" t="inlineStr">
        <is>
          <t/>
        </is>
      </c>
      <c r="P846" s="42" t="inlineStr">
        <is>
          <t/>
        </is>
      </c>
      <c r="Q846" s="43" t="inlineStr">
        <is>
          <t/>
        </is>
      </c>
      <c r="R846" s="44" t="inlineStr">
        <is>
          <t/>
        </is>
      </c>
    </row>
    <row r="847">
      <c r="A847" s="9" t="inlineStr">
        <is>
          <t>172138-87</t>
        </is>
      </c>
      <c r="B847" s="10" t="inlineStr">
        <is>
          <t>Telegnos</t>
        </is>
      </c>
      <c r="C847" s="85">
        <f>HYPERLINK("https://my.pitchbook.com?rrp=172138-87&amp;type=c", "This Company's information is not available to download. Need this Company? Request availability")</f>
      </c>
      <c r="D847" s="12" t="inlineStr">
        <is>
          <t/>
        </is>
      </c>
      <c r="E847" s="13" t="inlineStr">
        <is>
          <t/>
        </is>
      </c>
      <c r="F847" s="14" t="inlineStr">
        <is>
          <t/>
        </is>
      </c>
      <c r="G847" s="15" t="inlineStr">
        <is>
          <t/>
        </is>
      </c>
      <c r="H847" s="16" t="inlineStr">
        <is>
          <t/>
        </is>
      </c>
      <c r="I847" s="17" t="inlineStr">
        <is>
          <t/>
        </is>
      </c>
      <c r="J847" s="18" t="inlineStr">
        <is>
          <t/>
        </is>
      </c>
      <c r="K847" s="19" t="inlineStr">
        <is>
          <t/>
        </is>
      </c>
      <c r="L847" s="20" t="inlineStr">
        <is>
          <t/>
        </is>
      </c>
      <c r="M847" s="21" t="inlineStr">
        <is>
          <t/>
        </is>
      </c>
      <c r="N847" s="22" t="inlineStr">
        <is>
          <t/>
        </is>
      </c>
      <c r="O847" s="23" t="inlineStr">
        <is>
          <t/>
        </is>
      </c>
      <c r="P847" s="24" t="inlineStr">
        <is>
          <t/>
        </is>
      </c>
      <c r="Q847" s="25" t="inlineStr">
        <is>
          <t/>
        </is>
      </c>
      <c r="R847" s="26" t="inlineStr">
        <is>
          <t/>
        </is>
      </c>
    </row>
    <row r="848">
      <c r="A848" s="27" t="inlineStr">
        <is>
          <t>95418-55</t>
        </is>
      </c>
      <c r="B848" s="28" t="inlineStr">
        <is>
          <t>Tegotech Software</t>
        </is>
      </c>
      <c r="C848" s="29" t="n">
        <v>0.0</v>
      </c>
      <c r="D848" s="30" t="n">
        <v>0.014134631525935875</v>
      </c>
      <c r="E848" s="31" t="inlineStr">
        <is>
          <t/>
        </is>
      </c>
      <c r="F848" s="32" t="n">
        <v>1.0</v>
      </c>
      <c r="G848" s="33" t="n">
        <v>1.0</v>
      </c>
      <c r="H848" s="34" t="inlineStr">
        <is>
          <t/>
        </is>
      </c>
      <c r="I848" s="35" t="n">
        <v>11.0</v>
      </c>
      <c r="J848" s="36" t="n">
        <v>2.39</v>
      </c>
      <c r="K848" s="37" t="inlineStr">
        <is>
          <t>Automation/Workflow Software</t>
        </is>
      </c>
      <c r="L848" s="38" t="inlineStr">
        <is>
          <t>Developer of automated technology to package applications for the digital marketplace. The company provides technology and services to package and protect digital applications for publishers, distributors and e-commerce platform providers.</t>
        </is>
      </c>
      <c r="M848" s="39" t="inlineStr">
        <is>
          <t/>
        </is>
      </c>
      <c r="N848" s="40" t="inlineStr">
        <is>
          <t>Angel-Backed</t>
        </is>
      </c>
      <c r="O848" s="41" t="inlineStr">
        <is>
          <t>Privately Held (backing)</t>
        </is>
      </c>
      <c r="P848" s="42" t="inlineStr">
        <is>
          <t>San Luis Obispo, CA</t>
        </is>
      </c>
      <c r="Q848" s="43" t="inlineStr">
        <is>
          <t>www.tegotech.com</t>
        </is>
      </c>
      <c r="R848" s="114">
        <f>HYPERLINK("https://my.pitchbook.com?c=95418-55", "View company online")</f>
      </c>
    </row>
    <row r="849">
      <c r="A849" s="9" t="inlineStr">
        <is>
          <t>148922-47</t>
        </is>
      </c>
      <c r="B849" s="10" t="inlineStr">
        <is>
          <t>Tecnos Research of America</t>
        </is>
      </c>
      <c r="C849" s="11" t="inlineStr">
        <is>
          <t/>
        </is>
      </c>
      <c r="D849" s="12" t="inlineStr">
        <is>
          <t/>
        </is>
      </c>
      <c r="E849" s="13" t="inlineStr">
        <is>
          <t/>
        </is>
      </c>
      <c r="F849" s="14" t="inlineStr">
        <is>
          <t/>
        </is>
      </c>
      <c r="G849" s="15" t="inlineStr">
        <is>
          <t/>
        </is>
      </c>
      <c r="H849" s="16" t="inlineStr">
        <is>
          <t/>
        </is>
      </c>
      <c r="I849" s="17" t="inlineStr">
        <is>
          <t/>
        </is>
      </c>
      <c r="J849" s="18" t="n">
        <v>0.2</v>
      </c>
      <c r="K849" s="19" t="inlineStr">
        <is>
          <t>Other Business Products and Services</t>
        </is>
      </c>
      <c r="L849" s="20" t="inlineStr">
        <is>
          <t>The company is currently operating in Stealth mode.</t>
        </is>
      </c>
      <c r="M849" s="21" t="inlineStr">
        <is>
          <t/>
        </is>
      </c>
      <c r="N849" s="22" t="inlineStr">
        <is>
          <t>Angel-Backed</t>
        </is>
      </c>
      <c r="O849" s="23" t="inlineStr">
        <is>
          <t>Privately Held (backing)</t>
        </is>
      </c>
      <c r="P849" s="24" t="inlineStr">
        <is>
          <t>San Mateo, CA</t>
        </is>
      </c>
      <c r="Q849" s="25" t="inlineStr">
        <is>
          <t/>
        </is>
      </c>
      <c r="R849" s="113">
        <f>HYPERLINK("https://my.pitchbook.com?c=148922-47", "View company online")</f>
      </c>
    </row>
    <row r="850">
      <c r="A850" s="27" t="inlineStr">
        <is>
          <t>59198-77</t>
        </is>
      </c>
      <c r="B850" s="28" t="inlineStr">
        <is>
          <t>TechShop</t>
        </is>
      </c>
      <c r="C850" s="29" t="n">
        <v>0.4358565223701052</v>
      </c>
      <c r="D850" s="30" t="n">
        <v>54.13016474470049</v>
      </c>
      <c r="E850" s="31" t="inlineStr">
        <is>
          <t/>
        </is>
      </c>
      <c r="F850" s="32" t="n">
        <v>3133.0</v>
      </c>
      <c r="G850" s="33" t="n">
        <v>14178.0</v>
      </c>
      <c r="H850" s="34" t="n">
        <v>9979.0</v>
      </c>
      <c r="I850" s="35" t="n">
        <v>227.0</v>
      </c>
      <c r="J850" s="36" t="n">
        <v>11.64</v>
      </c>
      <c r="K850" s="37" t="inlineStr">
        <is>
          <t>Other Consumer Products and Services</t>
        </is>
      </c>
      <c r="L850" s="38" t="inlineStr">
        <is>
          <t>Operator of a membership-based workshop and fabrication studio. The company operates a membership-based workshop and fabrication studio that provides access to the tools, equipment, education, and other resources needed for users to develop their ideas and turn them into reality.</t>
        </is>
      </c>
      <c r="M850" s="39" t="inlineStr">
        <is>
          <t>Bre Pettis, Individual Investor, Mani Kulasooriya</t>
        </is>
      </c>
      <c r="N850" s="40" t="inlineStr">
        <is>
          <t>Angel-Backed</t>
        </is>
      </c>
      <c r="O850" s="41" t="inlineStr">
        <is>
          <t>Privately Held (backing)</t>
        </is>
      </c>
      <c r="P850" s="42" t="inlineStr">
        <is>
          <t>San Jose, CA</t>
        </is>
      </c>
      <c r="Q850" s="43" t="inlineStr">
        <is>
          <t>www.techshop.ws</t>
        </is>
      </c>
      <c r="R850" s="114">
        <f>HYPERLINK("https://my.pitchbook.com?c=59198-77", "View company online")</f>
      </c>
    </row>
    <row r="851">
      <c r="A851" s="9" t="inlineStr">
        <is>
          <t>102971-08</t>
        </is>
      </c>
      <c r="B851" s="10" t="inlineStr">
        <is>
          <t>Techertainment</t>
        </is>
      </c>
      <c r="C851" s="11" t="n">
        <v>-0.02095980931549809</v>
      </c>
      <c r="D851" s="12" t="n">
        <v>1.1502950286848592</v>
      </c>
      <c r="E851" s="13" t="inlineStr">
        <is>
          <t/>
        </is>
      </c>
      <c r="F851" s="14" t="n">
        <v>31.0</v>
      </c>
      <c r="G851" s="15" t="n">
        <v>529.0</v>
      </c>
      <c r="H851" s="16" t="n">
        <v>802.0</v>
      </c>
      <c r="I851" s="17" t="n">
        <v>2.0</v>
      </c>
      <c r="J851" s="18" t="n">
        <v>0.45</v>
      </c>
      <c r="K851" s="19" t="inlineStr">
        <is>
          <t>Social/Platform Software</t>
        </is>
      </c>
      <c r="L851" s="20" t="inlineStr">
        <is>
          <t>Operator of a digital branding platform. The company provides a web-based platform that enables brands, influencers and fans to connect, create and crowdfund co-branded products for charity</t>
        </is>
      </c>
      <c r="M851" s="21" t="inlineStr">
        <is>
          <t>Luis Gallardo</t>
        </is>
      </c>
      <c r="N851" s="22" t="inlineStr">
        <is>
          <t>Angel-Backed</t>
        </is>
      </c>
      <c r="O851" s="23" t="inlineStr">
        <is>
          <t>Privately Held (backing)</t>
        </is>
      </c>
      <c r="P851" s="24" t="inlineStr">
        <is>
          <t>Los Angeles, CA</t>
        </is>
      </c>
      <c r="Q851" s="25" t="inlineStr">
        <is>
          <t>www.webrand.com</t>
        </is>
      </c>
      <c r="R851" s="113">
        <f>HYPERLINK("https://my.pitchbook.com?c=102971-08", "View company online")</f>
      </c>
    </row>
    <row r="852">
      <c r="A852" s="27" t="inlineStr">
        <is>
          <t>95545-54</t>
        </is>
      </c>
      <c r="B852" s="28" t="inlineStr">
        <is>
          <t>TechDevils</t>
        </is>
      </c>
      <c r="C852" s="29" t="n">
        <v>0.0</v>
      </c>
      <c r="D852" s="30" t="n">
        <v>0.02702702702702703</v>
      </c>
      <c r="E852" s="31" t="inlineStr">
        <is>
          <t/>
        </is>
      </c>
      <c r="F852" s="32" t="n">
        <v>1.0</v>
      </c>
      <c r="G852" s="33" t="inlineStr">
        <is>
          <t/>
        </is>
      </c>
      <c r="H852" s="34" t="inlineStr">
        <is>
          <t/>
        </is>
      </c>
      <c r="I852" s="35" t="n">
        <v>3.0</v>
      </c>
      <c r="J852" s="36" t="n">
        <v>0.04</v>
      </c>
      <c r="K852" s="37" t="inlineStr">
        <is>
          <t>IT Consulting and Outsourcing</t>
        </is>
      </c>
      <c r="L852" s="38" t="inlineStr">
        <is>
          <t>Owner and operator of a game software development and IT consulting company. The company develops video game software for different platforms and also provides IT consulting to businesses.</t>
        </is>
      </c>
      <c r="M852" s="39" t="inlineStr">
        <is>
          <t/>
        </is>
      </c>
      <c r="N852" s="40" t="inlineStr">
        <is>
          <t>Angel-Backed</t>
        </is>
      </c>
      <c r="O852" s="41" t="inlineStr">
        <is>
          <t>Privately Held (backing)</t>
        </is>
      </c>
      <c r="P852" s="42" t="inlineStr">
        <is>
          <t>San Rafael, CA</t>
        </is>
      </c>
      <c r="Q852" s="43" t="inlineStr">
        <is>
          <t>www.techdevils.us</t>
        </is>
      </c>
      <c r="R852" s="114">
        <f>HYPERLINK("https://my.pitchbook.com?c=95545-54", "View company online")</f>
      </c>
    </row>
    <row r="853">
      <c r="A853" s="9" t="inlineStr">
        <is>
          <t>89923-15</t>
        </is>
      </c>
      <c r="B853" s="10" t="inlineStr">
        <is>
          <t>Tech urSelf</t>
        </is>
      </c>
      <c r="C853" s="11" t="n">
        <v>0.01902652257549361</v>
      </c>
      <c r="D853" s="12" t="n">
        <v>0.2325676292146447</v>
      </c>
      <c r="E853" s="13" t="inlineStr">
        <is>
          <t/>
        </is>
      </c>
      <c r="F853" s="14" t="n">
        <v>13.0</v>
      </c>
      <c r="G853" s="15" t="n">
        <v>165.0</v>
      </c>
      <c r="H853" s="16" t="n">
        <v>8.0</v>
      </c>
      <c r="I853" s="17" t="inlineStr">
        <is>
          <t/>
        </is>
      </c>
      <c r="J853" s="18" t="n">
        <v>0.06</v>
      </c>
      <c r="K853" s="19" t="inlineStr">
        <is>
          <t>Application Software</t>
        </is>
      </c>
      <c r="L853" s="20" t="inlineStr">
        <is>
          <t>Developer of technological applications for self development. The company develops technological tools to help people understand themselves better and improve their lives which are developed from the latest in scientific theory, research, and methodology.</t>
        </is>
      </c>
      <c r="M853" s="21" t="inlineStr">
        <is>
          <t>Start-Up Chile</t>
        </is>
      </c>
      <c r="N853" s="22" t="inlineStr">
        <is>
          <t>Accelerator/Incubator Backed</t>
        </is>
      </c>
      <c r="O853" s="23" t="inlineStr">
        <is>
          <t>Privately Held (backing)</t>
        </is>
      </c>
      <c r="P853" s="24" t="inlineStr">
        <is>
          <t>Oakland, CA</t>
        </is>
      </c>
      <c r="Q853" s="25" t="inlineStr">
        <is>
          <t>www.techurself.com</t>
        </is>
      </c>
      <c r="R853" s="113">
        <f>HYPERLINK("https://my.pitchbook.com?c=89923-15", "View company online")</f>
      </c>
    </row>
    <row r="854">
      <c r="A854" s="27" t="inlineStr">
        <is>
          <t>173773-81</t>
        </is>
      </c>
      <c r="B854" s="28" t="inlineStr">
        <is>
          <t>Teamvibe</t>
        </is>
      </c>
      <c r="C854" s="86">
        <f>HYPERLINK("https://my.pitchbook.com?rrp=173773-81&amp;type=c", "This Company's information is not available to download. Need this Company? Request availability")</f>
      </c>
      <c r="D854" s="30" t="inlineStr">
        <is>
          <t/>
        </is>
      </c>
      <c r="E854" s="31" t="inlineStr">
        <is>
          <t/>
        </is>
      </c>
      <c r="F854" s="32" t="inlineStr">
        <is>
          <t/>
        </is>
      </c>
      <c r="G854" s="33" t="inlineStr">
        <is>
          <t/>
        </is>
      </c>
      <c r="H854" s="34" t="inlineStr">
        <is>
          <t/>
        </is>
      </c>
      <c r="I854" s="35" t="inlineStr">
        <is>
          <t/>
        </is>
      </c>
      <c r="J854" s="36" t="inlineStr">
        <is>
          <t/>
        </is>
      </c>
      <c r="K854" s="37" t="inlineStr">
        <is>
          <t/>
        </is>
      </c>
      <c r="L854" s="38" t="inlineStr">
        <is>
          <t/>
        </is>
      </c>
      <c r="M854" s="39" t="inlineStr">
        <is>
          <t/>
        </is>
      </c>
      <c r="N854" s="40" t="inlineStr">
        <is>
          <t/>
        </is>
      </c>
      <c r="O854" s="41" t="inlineStr">
        <is>
          <t/>
        </is>
      </c>
      <c r="P854" s="42" t="inlineStr">
        <is>
          <t/>
        </is>
      </c>
      <c r="Q854" s="43" t="inlineStr">
        <is>
          <t/>
        </is>
      </c>
      <c r="R854" s="44" t="inlineStr">
        <is>
          <t/>
        </is>
      </c>
    </row>
    <row r="855">
      <c r="A855" s="9" t="inlineStr">
        <is>
          <t>167062-96</t>
        </is>
      </c>
      <c r="B855" s="10" t="inlineStr">
        <is>
          <t>TeamPlus</t>
        </is>
      </c>
      <c r="C855" s="11" t="n">
        <v>0.10513760935076276</v>
      </c>
      <c r="D855" s="12" t="n">
        <v>0.6776304096495696</v>
      </c>
      <c r="E855" s="13" t="inlineStr">
        <is>
          <t/>
        </is>
      </c>
      <c r="F855" s="14" t="n">
        <v>3.0</v>
      </c>
      <c r="G855" s="15" t="n">
        <v>163.0</v>
      </c>
      <c r="H855" s="16" t="n">
        <v>831.0</v>
      </c>
      <c r="I855" s="17" t="inlineStr">
        <is>
          <t/>
        </is>
      </c>
      <c r="J855" s="18" t="inlineStr">
        <is>
          <t/>
        </is>
      </c>
      <c r="K855" s="19" t="inlineStr">
        <is>
          <t>Application Software</t>
        </is>
      </c>
      <c r="L855" s="20" t="inlineStr">
        <is>
          <t>Provider of an online recruitment platform. The company provides an application-based online recruitment platform that helps employers to find and recruit candidates based on their skills that match with workplace requirements.</t>
        </is>
      </c>
      <c r="M855" s="21" t="inlineStr">
        <is>
          <t>Expert DOJO</t>
        </is>
      </c>
      <c r="N855" s="22" t="inlineStr">
        <is>
          <t>Accelerator/Incubator Backed</t>
        </is>
      </c>
      <c r="O855" s="23" t="inlineStr">
        <is>
          <t>Privately Held (backing)</t>
        </is>
      </c>
      <c r="P855" s="24" t="inlineStr">
        <is>
          <t>Santa Monica, CA</t>
        </is>
      </c>
      <c r="Q855" s="25" t="inlineStr">
        <is>
          <t>www.teamplus.co</t>
        </is>
      </c>
      <c r="R855" s="113">
        <f>HYPERLINK("https://my.pitchbook.com?c=167062-96", "View company online")</f>
      </c>
    </row>
    <row r="856">
      <c r="A856" s="27" t="inlineStr">
        <is>
          <t>174491-29</t>
        </is>
      </c>
      <c r="B856" s="28" t="inlineStr">
        <is>
          <t>TeamNow</t>
        </is>
      </c>
      <c r="C856" s="86">
        <f>HYPERLINK("https://my.pitchbook.com?rrp=174491-29&amp;type=c", "This Company's information is not available to download. Need this Company? Request availability")</f>
      </c>
      <c r="D856" s="30" t="inlineStr">
        <is>
          <t/>
        </is>
      </c>
      <c r="E856" s="31" t="inlineStr">
        <is>
          <t/>
        </is>
      </c>
      <c r="F856" s="32" t="inlineStr">
        <is>
          <t/>
        </is>
      </c>
      <c r="G856" s="33" t="inlineStr">
        <is>
          <t/>
        </is>
      </c>
      <c r="H856" s="34" t="inlineStr">
        <is>
          <t/>
        </is>
      </c>
      <c r="I856" s="35" t="inlineStr">
        <is>
          <t/>
        </is>
      </c>
      <c r="J856" s="36" t="inlineStr">
        <is>
          <t/>
        </is>
      </c>
      <c r="K856" s="37" t="inlineStr">
        <is>
          <t/>
        </is>
      </c>
      <c r="L856" s="38" t="inlineStr">
        <is>
          <t/>
        </is>
      </c>
      <c r="M856" s="39" t="inlineStr">
        <is>
          <t/>
        </is>
      </c>
      <c r="N856" s="40" t="inlineStr">
        <is>
          <t/>
        </is>
      </c>
      <c r="O856" s="41" t="inlineStr">
        <is>
          <t/>
        </is>
      </c>
      <c r="P856" s="42" t="inlineStr">
        <is>
          <t/>
        </is>
      </c>
      <c r="Q856" s="43" t="inlineStr">
        <is>
          <t/>
        </is>
      </c>
      <c r="R856" s="44" t="inlineStr">
        <is>
          <t/>
        </is>
      </c>
    </row>
    <row r="857">
      <c r="A857" s="9" t="inlineStr">
        <is>
          <t>94192-30</t>
        </is>
      </c>
      <c r="B857" s="10" t="inlineStr">
        <is>
          <t>Teaman &amp; Company</t>
        </is>
      </c>
      <c r="C857" s="11" t="n">
        <v>0.0</v>
      </c>
      <c r="D857" s="12" t="n">
        <v>0.40540540540540543</v>
      </c>
      <c r="E857" s="13" t="inlineStr">
        <is>
          <t/>
        </is>
      </c>
      <c r="F857" s="14" t="n">
        <v>15.0</v>
      </c>
      <c r="G857" s="15" t="inlineStr">
        <is>
          <t/>
        </is>
      </c>
      <c r="H857" s="16" t="inlineStr">
        <is>
          <t/>
        </is>
      </c>
      <c r="I857" s="17" t="n">
        <v>5.0</v>
      </c>
      <c r="J857" s="18" t="n">
        <v>0.13</v>
      </c>
      <c r="K857" s="19" t="inlineStr">
        <is>
          <t>Accessories</t>
        </is>
      </c>
      <c r="L857" s="20" t="inlineStr">
        <is>
          <t>Provider of colored gemstone, engagement rings and jewelry. The company specializes in providing engagement rings and custom jewelries with precious gems like Sapphire, Tourmaline, Alexandrite, Opal, Ruby, Emerald and others.</t>
        </is>
      </c>
      <c r="M857" s="21" t="inlineStr">
        <is>
          <t>500 Startups, CITRIS Foundry, Individual Investor, Skydeck | Berkeley, The Foundry</t>
        </is>
      </c>
      <c r="N857" s="22" t="inlineStr">
        <is>
          <t>Accelerator/Incubator Backed</t>
        </is>
      </c>
      <c r="O857" s="23" t="inlineStr">
        <is>
          <t>Privately Held (backing)</t>
        </is>
      </c>
      <c r="P857" s="24" t="inlineStr">
        <is>
          <t>Berkeley, CA</t>
        </is>
      </c>
      <c r="Q857" s="25" t="inlineStr">
        <is>
          <t>www.teamanco.com</t>
        </is>
      </c>
      <c r="R857" s="113">
        <f>HYPERLINK("https://my.pitchbook.com?c=94192-30", "View company online")</f>
      </c>
    </row>
    <row r="858">
      <c r="A858" s="27" t="inlineStr">
        <is>
          <t>108026-29</t>
        </is>
      </c>
      <c r="B858" s="28" t="inlineStr">
        <is>
          <t>Team(You)</t>
        </is>
      </c>
      <c r="C858" s="29" t="n">
        <v>-0.014771172612891877</v>
      </c>
      <c r="D858" s="30" t="n">
        <v>1.30040843559635</v>
      </c>
      <c r="E858" s="31" t="inlineStr">
        <is>
          <t/>
        </is>
      </c>
      <c r="F858" s="32" t="n">
        <v>39.0</v>
      </c>
      <c r="G858" s="33" t="n">
        <v>48.0</v>
      </c>
      <c r="H858" s="34" t="n">
        <v>1071.0</v>
      </c>
      <c r="I858" s="35" t="n">
        <v>6.0</v>
      </c>
      <c r="J858" s="36" t="n">
        <v>0.98</v>
      </c>
      <c r="K858" s="37" t="inlineStr">
        <is>
          <t>Educational Software</t>
        </is>
      </c>
      <c r="L858" s="38" t="inlineStr">
        <is>
          <t>Provider of an incentive program designed to increase student participation and advanced learning. The company provides schools with software to reinforce students positive behavior and allow teachers to integrate incentives.</t>
        </is>
      </c>
      <c r="M858" s="39" t="inlineStr">
        <is>
          <t/>
        </is>
      </c>
      <c r="N858" s="40" t="inlineStr">
        <is>
          <t>Angel-Backed</t>
        </is>
      </c>
      <c r="O858" s="41" t="inlineStr">
        <is>
          <t>Privately Held (backing)</t>
        </is>
      </c>
      <c r="P858" s="42" t="inlineStr">
        <is>
          <t>Los Angeles, CA</t>
        </is>
      </c>
      <c r="Q858" s="43" t="inlineStr">
        <is>
          <t>www.teamyou.co</t>
        </is>
      </c>
      <c r="R858" s="114">
        <f>HYPERLINK("https://my.pitchbook.com?c=108026-29", "View company online")</f>
      </c>
    </row>
    <row r="859">
      <c r="A859" s="9" t="inlineStr">
        <is>
          <t>102392-38</t>
        </is>
      </c>
      <c r="B859" s="10" t="inlineStr">
        <is>
          <t>Team Rubicon</t>
        </is>
      </c>
      <c r="C859" s="85">
        <f>HYPERLINK("https://my.pitchbook.com?rrp=102392-38&amp;type=c", "This Company's information is not available to download. Need this Company? Request availability")</f>
      </c>
      <c r="D859" s="12" t="inlineStr">
        <is>
          <t/>
        </is>
      </c>
      <c r="E859" s="13" t="inlineStr">
        <is>
          <t/>
        </is>
      </c>
      <c r="F859" s="14" t="inlineStr">
        <is>
          <t/>
        </is>
      </c>
      <c r="G859" s="15" t="inlineStr">
        <is>
          <t/>
        </is>
      </c>
      <c r="H859" s="16" t="inlineStr">
        <is>
          <t/>
        </is>
      </c>
      <c r="I859" s="17" t="inlineStr">
        <is>
          <t/>
        </is>
      </c>
      <c r="J859" s="18" t="inlineStr">
        <is>
          <t/>
        </is>
      </c>
      <c r="K859" s="19" t="inlineStr">
        <is>
          <t/>
        </is>
      </c>
      <c r="L859" s="20" t="inlineStr">
        <is>
          <t/>
        </is>
      </c>
      <c r="M859" s="21" t="inlineStr">
        <is>
          <t/>
        </is>
      </c>
      <c r="N859" s="22" t="inlineStr">
        <is>
          <t/>
        </is>
      </c>
      <c r="O859" s="23" t="inlineStr">
        <is>
          <t/>
        </is>
      </c>
      <c r="P859" s="24" t="inlineStr">
        <is>
          <t/>
        </is>
      </c>
      <c r="Q859" s="25" t="inlineStr">
        <is>
          <t/>
        </is>
      </c>
      <c r="R859" s="26" t="inlineStr">
        <is>
          <t/>
        </is>
      </c>
    </row>
    <row r="860">
      <c r="A860" s="27" t="inlineStr">
        <is>
          <t>89922-07</t>
        </is>
      </c>
      <c r="B860" s="28" t="inlineStr">
        <is>
          <t>Team Robot</t>
        </is>
      </c>
      <c r="C860" s="29" t="n">
        <v>-0.2976513704623274</v>
      </c>
      <c r="D860" s="30" t="n">
        <v>37.16999688919364</v>
      </c>
      <c r="E860" s="31" t="inlineStr">
        <is>
          <t/>
        </is>
      </c>
      <c r="F860" s="32" t="n">
        <v>1493.0</v>
      </c>
      <c r="G860" s="33" t="n">
        <v>12161.0</v>
      </c>
      <c r="H860" s="34" t="n">
        <v>18792.0</v>
      </c>
      <c r="I860" s="35" t="inlineStr">
        <is>
          <t/>
        </is>
      </c>
      <c r="J860" s="36" t="n">
        <v>0.03</v>
      </c>
      <c r="K860" s="37" t="inlineStr">
        <is>
          <t>Entertainment Software</t>
        </is>
      </c>
      <c r="L860" s="38" t="inlineStr">
        <is>
          <t>Developer and provider of optimization tools for online games. The company offers contextual strategies for gaming applications that can be played online, in mobiles and in tablets.</t>
        </is>
      </c>
      <c r="M860" s="39" t="inlineStr">
        <is>
          <t/>
        </is>
      </c>
      <c r="N860" s="40" t="inlineStr">
        <is>
          <t>Angel-Backed</t>
        </is>
      </c>
      <c r="O860" s="41" t="inlineStr">
        <is>
          <t>Privately Held (backing)</t>
        </is>
      </c>
      <c r="P860" s="42" t="inlineStr">
        <is>
          <t>San Francisco, CA</t>
        </is>
      </c>
      <c r="Q860" s="43" t="inlineStr">
        <is>
          <t>www.askmrrobot.com</t>
        </is>
      </c>
      <c r="R860" s="114">
        <f>HYPERLINK("https://my.pitchbook.com?c=89922-07", "View company online")</f>
      </c>
    </row>
    <row r="861">
      <c r="A861" s="9" t="inlineStr">
        <is>
          <t>172769-86</t>
        </is>
      </c>
      <c r="B861" s="10" t="inlineStr">
        <is>
          <t>Team Elemental</t>
        </is>
      </c>
      <c r="C861" s="85">
        <f>HYPERLINK("https://my.pitchbook.com?rrp=172769-86&amp;type=c", "This Company's information is not available to download. Need this Company? Request availability")</f>
      </c>
      <c r="D861" s="12" t="inlineStr">
        <is>
          <t/>
        </is>
      </c>
      <c r="E861" s="13" t="inlineStr">
        <is>
          <t/>
        </is>
      </c>
      <c r="F861" s="14" t="inlineStr">
        <is>
          <t/>
        </is>
      </c>
      <c r="G861" s="15" t="inlineStr">
        <is>
          <t/>
        </is>
      </c>
      <c r="H861" s="16" t="inlineStr">
        <is>
          <t/>
        </is>
      </c>
      <c r="I861" s="17" t="inlineStr">
        <is>
          <t/>
        </is>
      </c>
      <c r="J861" s="18" t="inlineStr">
        <is>
          <t/>
        </is>
      </c>
      <c r="K861" s="19" t="inlineStr">
        <is>
          <t/>
        </is>
      </c>
      <c r="L861" s="20" t="inlineStr">
        <is>
          <t/>
        </is>
      </c>
      <c r="M861" s="21" t="inlineStr">
        <is>
          <t/>
        </is>
      </c>
      <c r="N861" s="22" t="inlineStr">
        <is>
          <t/>
        </is>
      </c>
      <c r="O861" s="23" t="inlineStr">
        <is>
          <t/>
        </is>
      </c>
      <c r="P861" s="24" t="inlineStr">
        <is>
          <t/>
        </is>
      </c>
      <c r="Q861" s="25" t="inlineStr">
        <is>
          <t/>
        </is>
      </c>
      <c r="R861" s="26" t="inlineStr">
        <is>
          <t/>
        </is>
      </c>
    </row>
    <row r="862">
      <c r="A862" s="27" t="inlineStr">
        <is>
          <t>170716-24</t>
        </is>
      </c>
      <c r="B862" s="28" t="inlineStr">
        <is>
          <t>TeachU</t>
        </is>
      </c>
      <c r="C862" s="29" t="inlineStr">
        <is>
          <t/>
        </is>
      </c>
      <c r="D862" s="30" t="inlineStr">
        <is>
          <t/>
        </is>
      </c>
      <c r="E862" s="31" t="inlineStr">
        <is>
          <t/>
        </is>
      </c>
      <c r="F862" s="32" t="inlineStr">
        <is>
          <t/>
        </is>
      </c>
      <c r="G862" s="33" t="inlineStr">
        <is>
          <t/>
        </is>
      </c>
      <c r="H862" s="34" t="inlineStr">
        <is>
          <t/>
        </is>
      </c>
      <c r="I862" s="35" t="inlineStr">
        <is>
          <t/>
        </is>
      </c>
      <c r="J862" s="36" t="n">
        <v>0.33</v>
      </c>
      <c r="K862" s="37" t="inlineStr">
        <is>
          <t>Other Business Products and Services</t>
        </is>
      </c>
      <c r="L862" s="38" t="inlineStr">
        <is>
          <t>The company is currently operating in Stealth mode.</t>
        </is>
      </c>
      <c r="M862" s="39" t="inlineStr">
        <is>
          <t/>
        </is>
      </c>
      <c r="N862" s="40" t="inlineStr">
        <is>
          <t>Angel-Backed</t>
        </is>
      </c>
      <c r="O862" s="41" t="inlineStr">
        <is>
          <t>Privately Held (backing)</t>
        </is>
      </c>
      <c r="P862" s="42" t="inlineStr">
        <is>
          <t>Hawthorne, CA</t>
        </is>
      </c>
      <c r="Q862" s="43" t="inlineStr">
        <is>
          <t/>
        </is>
      </c>
      <c r="R862" s="114">
        <f>HYPERLINK("https://my.pitchbook.com?c=170716-24", "View company online")</f>
      </c>
    </row>
    <row r="863">
      <c r="A863" s="9" t="inlineStr">
        <is>
          <t>92614-42</t>
        </is>
      </c>
      <c r="B863" s="10" t="inlineStr">
        <is>
          <t>Teachmeo</t>
        </is>
      </c>
      <c r="C863" s="11" t="n">
        <v>0.024191987939489713</v>
      </c>
      <c r="D863" s="12" t="n">
        <v>0.45577078288942696</v>
      </c>
      <c r="E863" s="13" t="inlineStr">
        <is>
          <t/>
        </is>
      </c>
      <c r="F863" s="14" t="inlineStr">
        <is>
          <t/>
        </is>
      </c>
      <c r="G863" s="15" t="n">
        <v>138.0</v>
      </c>
      <c r="H863" s="16" t="n">
        <v>262.0</v>
      </c>
      <c r="I863" s="17" t="n">
        <v>4.0</v>
      </c>
      <c r="J863" s="18" t="n">
        <v>0.02</v>
      </c>
      <c r="K863" s="19" t="inlineStr">
        <is>
          <t>Educational Software</t>
        </is>
      </c>
      <c r="L863" s="20" t="inlineStr">
        <is>
          <t>Developer and provider of an online marketplace for users to learn any skills. The company provides an online education platform to learn and teach any skills via webcam.</t>
        </is>
      </c>
      <c r="M863" s="21" t="inlineStr">
        <is>
          <t>StartEngine powered by Accenture (Fund)</t>
        </is>
      </c>
      <c r="N863" s="22" t="inlineStr">
        <is>
          <t>Accelerator/Incubator Backed</t>
        </is>
      </c>
      <c r="O863" s="23" t="inlineStr">
        <is>
          <t>Privately Held (backing)</t>
        </is>
      </c>
      <c r="P863" s="24" t="inlineStr">
        <is>
          <t>Los Angeles, CA</t>
        </is>
      </c>
      <c r="Q863" s="25" t="inlineStr">
        <is>
          <t>signup.teachmeo.com</t>
        </is>
      </c>
      <c r="R863" s="113">
        <f>HYPERLINK("https://my.pitchbook.com?c=92614-42", "View company online")</f>
      </c>
    </row>
    <row r="864">
      <c r="A864" s="27" t="inlineStr">
        <is>
          <t>112779-91</t>
        </is>
      </c>
      <c r="B864" s="28" t="inlineStr">
        <is>
          <t>TeachMe</t>
        </is>
      </c>
      <c r="C864" s="29" t="n">
        <v>0.0</v>
      </c>
      <c r="D864" s="30" t="n">
        <v>0.23236371965185526</v>
      </c>
      <c r="E864" s="31" t="inlineStr">
        <is>
          <t/>
        </is>
      </c>
      <c r="F864" s="32" t="n">
        <v>15.0</v>
      </c>
      <c r="G864" s="33" t="inlineStr">
        <is>
          <t/>
        </is>
      </c>
      <c r="H864" s="34" t="n">
        <v>21.0</v>
      </c>
      <c r="I864" s="35" t="n">
        <v>4.0</v>
      </c>
      <c r="J864" s="36" t="n">
        <v>0.02</v>
      </c>
      <c r="K864" s="37" t="inlineStr">
        <is>
          <t>Educational Software</t>
        </is>
      </c>
      <c r="L864" s="38" t="inlineStr">
        <is>
          <t>Developer of educational games and applications. The company develops mathematical games and applications which blends practice and play in order to offer an engaging learning experience to students.</t>
        </is>
      </c>
      <c r="M864" s="39" t="inlineStr">
        <is>
          <t>Imagine K12</t>
        </is>
      </c>
      <c r="N864" s="40" t="inlineStr">
        <is>
          <t>Accelerator/Incubator Backed</t>
        </is>
      </c>
      <c r="O864" s="41" t="inlineStr">
        <is>
          <t>Privately Held (backing)</t>
        </is>
      </c>
      <c r="P864" s="42" t="inlineStr">
        <is>
          <t>Los Angeles, CA</t>
        </is>
      </c>
      <c r="Q864" s="43" t="inlineStr">
        <is>
          <t>www.teachme.com</t>
        </is>
      </c>
      <c r="R864" s="114">
        <f>HYPERLINK("https://my.pitchbook.com?c=112779-91", "View company online")</f>
      </c>
    </row>
    <row r="865">
      <c r="A865" s="9" t="inlineStr">
        <is>
          <t>122352-58</t>
        </is>
      </c>
      <c r="B865" s="10" t="inlineStr">
        <is>
          <t>Teachly</t>
        </is>
      </c>
      <c r="C865" s="11" t="n">
        <v>0.0</v>
      </c>
      <c r="D865" s="12" t="n">
        <v>0.02945623010103482</v>
      </c>
      <c r="E865" s="13" t="inlineStr">
        <is>
          <t/>
        </is>
      </c>
      <c r="F865" s="14" t="n">
        <v>2.0</v>
      </c>
      <c r="G865" s="15" t="n">
        <v>1.0</v>
      </c>
      <c r="H865" s="16" t="n">
        <v>3.0</v>
      </c>
      <c r="I865" s="17" t="n">
        <v>2.0</v>
      </c>
      <c r="J865" s="18" t="inlineStr">
        <is>
          <t/>
        </is>
      </c>
      <c r="K865" s="19" t="inlineStr">
        <is>
          <t>Other Software</t>
        </is>
      </c>
      <c r="L865" s="20" t="inlineStr">
        <is>
          <t>Provider of education management services application. The company develops a learning management system to help educators reduce the amount of time spent in grading and increasing student performance.</t>
        </is>
      </c>
      <c r="M865" s="21" t="inlineStr">
        <is>
          <t>Founder Institute</t>
        </is>
      </c>
      <c r="N865" s="22" t="inlineStr">
        <is>
          <t>Accelerator/Incubator Backed</t>
        </is>
      </c>
      <c r="O865" s="23" t="inlineStr">
        <is>
          <t>Privately Held (backing)</t>
        </is>
      </c>
      <c r="P865" s="24" t="inlineStr">
        <is>
          <t>Los Angeles, CA</t>
        </is>
      </c>
      <c r="Q865" s="25" t="inlineStr">
        <is>
          <t>www.teachly.org</t>
        </is>
      </c>
      <c r="R865" s="113">
        <f>HYPERLINK("https://my.pitchbook.com?c=122352-58", "View company online")</f>
      </c>
    </row>
    <row r="866">
      <c r="A866" s="27" t="inlineStr">
        <is>
          <t>95538-52</t>
        </is>
      </c>
      <c r="B866" s="28" t="inlineStr">
        <is>
          <t>Teachlr</t>
        </is>
      </c>
      <c r="C866" s="29" t="n">
        <v>-0.03255359654921558</v>
      </c>
      <c r="D866" s="30" t="n">
        <v>20.304502844775506</v>
      </c>
      <c r="E866" s="31" t="inlineStr">
        <is>
          <t/>
        </is>
      </c>
      <c r="F866" s="32" t="n">
        <v>43.0</v>
      </c>
      <c r="G866" s="33" t="n">
        <v>20418.0</v>
      </c>
      <c r="H866" s="34" t="n">
        <v>18954.0</v>
      </c>
      <c r="I866" s="35" t="n">
        <v>13.0</v>
      </c>
      <c r="J866" s="36" t="inlineStr">
        <is>
          <t/>
        </is>
      </c>
      <c r="K866" s="37" t="inlineStr">
        <is>
          <t>Educational Software</t>
        </is>
      </c>
      <c r="L866" s="38" t="inlineStr">
        <is>
          <t>Provider of an online educational platform. The company's platform allows users to learn, teach and connect with other people. It also offers online courses, video lectures, interactive content and a community of peers.</t>
        </is>
      </c>
      <c r="M866" s="39" t="inlineStr">
        <is>
          <t/>
        </is>
      </c>
      <c r="N866" s="40" t="inlineStr">
        <is>
          <t>Angel-Backed</t>
        </is>
      </c>
      <c r="O866" s="41" t="inlineStr">
        <is>
          <t>Privately Held (backing)</t>
        </is>
      </c>
      <c r="P866" s="42" t="inlineStr">
        <is>
          <t>Caracas, Venezuela</t>
        </is>
      </c>
      <c r="Q866" s="43" t="inlineStr">
        <is>
          <t>www.teachlr.com</t>
        </is>
      </c>
      <c r="R866" s="114">
        <f>HYPERLINK("https://my.pitchbook.com?c=95538-52", "View company online")</f>
      </c>
    </row>
    <row r="867">
      <c r="A867" s="9" t="inlineStr">
        <is>
          <t>92613-70</t>
        </is>
      </c>
      <c r="B867" s="10" t="inlineStr">
        <is>
          <t>TCZ Holdings</t>
        </is>
      </c>
      <c r="C867" s="11" t="inlineStr">
        <is>
          <t/>
        </is>
      </c>
      <c r="D867" s="12" t="inlineStr">
        <is>
          <t/>
        </is>
      </c>
      <c r="E867" s="13" t="inlineStr">
        <is>
          <t/>
        </is>
      </c>
      <c r="F867" s="14" t="inlineStr">
        <is>
          <t/>
        </is>
      </c>
      <c r="G867" s="15" t="inlineStr">
        <is>
          <t/>
        </is>
      </c>
      <c r="H867" s="16" t="inlineStr">
        <is>
          <t/>
        </is>
      </c>
      <c r="I867" s="17" t="inlineStr">
        <is>
          <t/>
        </is>
      </c>
      <c r="J867" s="18" t="n">
        <v>3.0</v>
      </c>
      <c r="K867" s="19" t="inlineStr">
        <is>
          <t>Other Information Technology</t>
        </is>
      </c>
      <c r="L867" s="20" t="inlineStr">
        <is>
          <t>Operator in the technology sector.</t>
        </is>
      </c>
      <c r="M867" s="21" t="inlineStr">
        <is>
          <t/>
        </is>
      </c>
      <c r="N867" s="22" t="inlineStr">
        <is>
          <t>Angel-Backed</t>
        </is>
      </c>
      <c r="O867" s="23" t="inlineStr">
        <is>
          <t>Privately Held (backing)</t>
        </is>
      </c>
      <c r="P867" s="24" t="inlineStr">
        <is>
          <t>Mountain View, CA</t>
        </is>
      </c>
      <c r="Q867" s="25" t="inlineStr">
        <is>
          <t/>
        </is>
      </c>
      <c r="R867" s="113">
        <f>HYPERLINK("https://my.pitchbook.com?c=92613-70", "View company online")</f>
      </c>
    </row>
    <row r="868">
      <c r="A868" s="27" t="inlineStr">
        <is>
          <t>113628-43</t>
        </is>
      </c>
      <c r="B868" s="28" t="inlineStr">
        <is>
          <t>TaxGirls</t>
        </is>
      </c>
      <c r="C868" s="86">
        <f>HYPERLINK("https://my.pitchbook.com?rrp=113628-43&amp;type=c", "This Company's information is not available to download. Need this Company? Request availability")</f>
      </c>
      <c r="D868" s="30" t="inlineStr">
        <is>
          <t/>
        </is>
      </c>
      <c r="E868" s="31" t="inlineStr">
        <is>
          <t/>
        </is>
      </c>
      <c r="F868" s="32" t="inlineStr">
        <is>
          <t/>
        </is>
      </c>
      <c r="G868" s="33" t="inlineStr">
        <is>
          <t/>
        </is>
      </c>
      <c r="H868" s="34" t="inlineStr">
        <is>
          <t/>
        </is>
      </c>
      <c r="I868" s="35" t="inlineStr">
        <is>
          <t/>
        </is>
      </c>
      <c r="J868" s="36" t="inlineStr">
        <is>
          <t/>
        </is>
      </c>
      <c r="K868" s="37" t="inlineStr">
        <is>
          <t/>
        </is>
      </c>
      <c r="L868" s="38" t="inlineStr">
        <is>
          <t/>
        </is>
      </c>
      <c r="M868" s="39" t="inlineStr">
        <is>
          <t/>
        </is>
      </c>
      <c r="N868" s="40" t="inlineStr">
        <is>
          <t/>
        </is>
      </c>
      <c r="O868" s="41" t="inlineStr">
        <is>
          <t/>
        </is>
      </c>
      <c r="P868" s="42" t="inlineStr">
        <is>
          <t/>
        </is>
      </c>
      <c r="Q868" s="43" t="inlineStr">
        <is>
          <t/>
        </is>
      </c>
      <c r="R868" s="44" t="inlineStr">
        <is>
          <t/>
        </is>
      </c>
    </row>
    <row r="869">
      <c r="A869" s="9" t="inlineStr">
        <is>
          <t>117760-96</t>
        </is>
      </c>
      <c r="B869" s="10" t="inlineStr">
        <is>
          <t>TaxBestimates</t>
        </is>
      </c>
      <c r="C869" s="11" t="n">
        <v>0.0</v>
      </c>
      <c r="D869" s="12" t="n">
        <v>0.02702702702702703</v>
      </c>
      <c r="E869" s="13" t="inlineStr">
        <is>
          <t/>
        </is>
      </c>
      <c r="F869" s="14" t="n">
        <v>1.0</v>
      </c>
      <c r="G869" s="15" t="inlineStr">
        <is>
          <t/>
        </is>
      </c>
      <c r="H869" s="16" t="inlineStr">
        <is>
          <t/>
        </is>
      </c>
      <c r="I869" s="17" t="inlineStr">
        <is>
          <t/>
        </is>
      </c>
      <c r="J869" s="18" t="inlineStr">
        <is>
          <t/>
        </is>
      </c>
      <c r="K869" s="19" t="inlineStr">
        <is>
          <t>Application Software</t>
        </is>
      </c>
      <c r="L869" s="20" t="inlineStr">
        <is>
          <t>Developer of a web application that provides tax optimization services. The company is focused on helping individual taxpayers optimize their tax position and increase their take home pay with each paycheck and it's application has built in tax management and tax filing tools to help manage and file taxes.</t>
        </is>
      </c>
      <c r="M869" s="21" t="inlineStr">
        <is>
          <t/>
        </is>
      </c>
      <c r="N869" s="22" t="inlineStr">
        <is>
          <t>Angel-Backed</t>
        </is>
      </c>
      <c r="O869" s="23" t="inlineStr">
        <is>
          <t>Privately Held (backing)</t>
        </is>
      </c>
      <c r="P869" s="24" t="inlineStr">
        <is>
          <t>Tracy, CA</t>
        </is>
      </c>
      <c r="Q869" s="25" t="inlineStr">
        <is>
          <t>www.taxzestimates.com</t>
        </is>
      </c>
      <c r="R869" s="113">
        <f>HYPERLINK("https://my.pitchbook.com?c=117760-96", "View company online")</f>
      </c>
    </row>
    <row r="870">
      <c r="A870" s="27" t="inlineStr">
        <is>
          <t>104185-81</t>
        </is>
      </c>
      <c r="B870" s="28" t="inlineStr">
        <is>
          <t>Tatmaps</t>
        </is>
      </c>
      <c r="C870" s="29" t="n">
        <v>0.010350177488490766</v>
      </c>
      <c r="D870" s="30" t="n">
        <v>12.545678492472893</v>
      </c>
      <c r="E870" s="31" t="inlineStr">
        <is>
          <t/>
        </is>
      </c>
      <c r="F870" s="32" t="inlineStr">
        <is>
          <t/>
        </is>
      </c>
      <c r="G870" s="33" t="n">
        <v>18112.0</v>
      </c>
      <c r="H870" s="34" t="n">
        <v>918.0</v>
      </c>
      <c r="I870" s="35" t="inlineStr">
        <is>
          <t/>
        </is>
      </c>
      <c r="J870" s="36" t="inlineStr">
        <is>
          <t/>
        </is>
      </c>
      <c r="K870" s="37" t="inlineStr">
        <is>
          <t>Social/Platform Software</t>
        </is>
      </c>
      <c r="L870" s="38" t="inlineStr">
        <is>
          <t>Provider of an online tattoo community platform. The company offers a web-based tattoo community allowing users to review local tattoo parlors, artists, discuss tattoo trends and arrange conventions or events.</t>
        </is>
      </c>
      <c r="M870" s="39" t="inlineStr">
        <is>
          <t/>
        </is>
      </c>
      <c r="N870" s="40" t="inlineStr">
        <is>
          <t>Angel-Backed</t>
        </is>
      </c>
      <c r="O870" s="41" t="inlineStr">
        <is>
          <t>Privately Held (backing)</t>
        </is>
      </c>
      <c r="P870" s="42" t="inlineStr">
        <is>
          <t>Los Angeles, CA</t>
        </is>
      </c>
      <c r="Q870" s="43" t="inlineStr">
        <is>
          <t>www.tatmaps.com</t>
        </is>
      </c>
      <c r="R870" s="114">
        <f>HYPERLINK("https://my.pitchbook.com?c=104185-81", "View company online")</f>
      </c>
    </row>
    <row r="871">
      <c r="A871" s="9" t="inlineStr">
        <is>
          <t>174412-18</t>
        </is>
      </c>
      <c r="B871" s="10" t="inlineStr">
        <is>
          <t>Tasty Development</t>
        </is>
      </c>
      <c r="C871" s="85">
        <f>HYPERLINK("https://my.pitchbook.com?rrp=174412-18&amp;type=c", "This Company's information is not available to download. Need this Company? Request availability")</f>
      </c>
      <c r="D871" s="12" t="inlineStr">
        <is>
          <t/>
        </is>
      </c>
      <c r="E871" s="13" t="inlineStr">
        <is>
          <t/>
        </is>
      </c>
      <c r="F871" s="14" t="inlineStr">
        <is>
          <t/>
        </is>
      </c>
      <c r="G871" s="15" t="inlineStr">
        <is>
          <t/>
        </is>
      </c>
      <c r="H871" s="16" t="inlineStr">
        <is>
          <t/>
        </is>
      </c>
      <c r="I871" s="17" t="inlineStr">
        <is>
          <t/>
        </is>
      </c>
      <c r="J871" s="18" t="inlineStr">
        <is>
          <t/>
        </is>
      </c>
      <c r="K871" s="19" t="inlineStr">
        <is>
          <t/>
        </is>
      </c>
      <c r="L871" s="20" t="inlineStr">
        <is>
          <t/>
        </is>
      </c>
      <c r="M871" s="21" t="inlineStr">
        <is>
          <t/>
        </is>
      </c>
      <c r="N871" s="22" t="inlineStr">
        <is>
          <t/>
        </is>
      </c>
      <c r="O871" s="23" t="inlineStr">
        <is>
          <t/>
        </is>
      </c>
      <c r="P871" s="24" t="inlineStr">
        <is>
          <t/>
        </is>
      </c>
      <c r="Q871" s="25" t="inlineStr">
        <is>
          <t/>
        </is>
      </c>
      <c r="R871" s="26" t="inlineStr">
        <is>
          <t/>
        </is>
      </c>
    </row>
    <row r="872">
      <c r="A872" s="27" t="inlineStr">
        <is>
          <t>95094-55</t>
        </is>
      </c>
      <c r="B872" s="28" t="inlineStr">
        <is>
          <t>TasteKid</t>
        </is>
      </c>
      <c r="C872" s="29" t="n">
        <v>-0.7843955154175901</v>
      </c>
      <c r="D872" s="30" t="n">
        <v>45.98863732929688</v>
      </c>
      <c r="E872" s="31" t="inlineStr">
        <is>
          <t/>
        </is>
      </c>
      <c r="F872" s="32" t="n">
        <v>2121.0</v>
      </c>
      <c r="G872" s="33" t="n">
        <v>20950.0</v>
      </c>
      <c r="H872" s="34" t="n">
        <v>15459.0</v>
      </c>
      <c r="I872" s="35" t="n">
        <v>1.0</v>
      </c>
      <c r="J872" s="36" t="inlineStr">
        <is>
          <t/>
        </is>
      </c>
      <c r="K872" s="37" t="inlineStr">
        <is>
          <t>Entertainment Software</t>
        </is>
      </c>
      <c r="L872" s="38" t="inlineStr">
        <is>
          <t>Developer of a recommendation platform. The company's software enables users to discover and share interests in music, movies, TV shows, books, authors and games.</t>
        </is>
      </c>
      <c r="M872" s="39" t="inlineStr">
        <is>
          <t>Ramesh Haridas, Vikas Taneja</t>
        </is>
      </c>
      <c r="N872" s="40" t="inlineStr">
        <is>
          <t>Angel-Backed</t>
        </is>
      </c>
      <c r="O872" s="41" t="inlineStr">
        <is>
          <t>Privately Held (backing)</t>
        </is>
      </c>
      <c r="P872" s="42" t="inlineStr">
        <is>
          <t>Lucerne Valley, CA</t>
        </is>
      </c>
      <c r="Q872" s="43" t="inlineStr">
        <is>
          <t>www.tastekid.com</t>
        </is>
      </c>
      <c r="R872" s="114">
        <f>HYPERLINK("https://my.pitchbook.com?c=95094-55", "View company online")</f>
      </c>
    </row>
    <row r="873">
      <c r="A873" s="9" t="inlineStr">
        <is>
          <t>95094-28</t>
        </is>
      </c>
      <c r="B873" s="10" t="inlineStr">
        <is>
          <t>Taste of Blue</t>
        </is>
      </c>
      <c r="C873" s="11" t="n">
        <v>0.2506851053493792</v>
      </c>
      <c r="D873" s="12" t="n">
        <v>1.3688646220702227</v>
      </c>
      <c r="E873" s="13" t="inlineStr">
        <is>
          <t/>
        </is>
      </c>
      <c r="F873" s="14" t="n">
        <v>12.0</v>
      </c>
      <c r="G873" s="15" t="n">
        <v>2537.0</v>
      </c>
      <c r="H873" s="16" t="n">
        <v>522.0</v>
      </c>
      <c r="I873" s="17" t="inlineStr">
        <is>
          <t/>
        </is>
      </c>
      <c r="J873" s="18" t="inlineStr">
        <is>
          <t/>
        </is>
      </c>
      <c r="K873" s="19" t="inlineStr">
        <is>
          <t>Social/Platform Software</t>
        </is>
      </c>
      <c r="L873" s="20" t="inlineStr">
        <is>
          <t>Provider of an online purchasing platform. The company lifestyle management software, accessible only by its members, that offers its clients with access to travel itineraries, deals on travels and various other deals.</t>
        </is>
      </c>
      <c r="M873" s="21" t="inlineStr">
        <is>
          <t>Be Great Partners</t>
        </is>
      </c>
      <c r="N873" s="22" t="inlineStr">
        <is>
          <t>Accelerator/Incubator Backed</t>
        </is>
      </c>
      <c r="O873" s="23" t="inlineStr">
        <is>
          <t>Privately Held (backing)</t>
        </is>
      </c>
      <c r="P873" s="24" t="inlineStr">
        <is>
          <t>Los Angeles, CA</t>
        </is>
      </c>
      <c r="Q873" s="25" t="inlineStr">
        <is>
          <t>www.tasteofblue.com</t>
        </is>
      </c>
      <c r="R873" s="113">
        <f>HYPERLINK("https://my.pitchbook.com?c=95094-28", "View company online")</f>
      </c>
    </row>
    <row r="874">
      <c r="A874" s="27" t="inlineStr">
        <is>
          <t>103244-77</t>
        </is>
      </c>
      <c r="B874" s="28" t="inlineStr">
        <is>
          <t>TaskIT (Consulting)</t>
        </is>
      </c>
      <c r="C874" s="29" t="n">
        <v>0.0</v>
      </c>
      <c r="D874" s="30" t="n">
        <v>0.11383334329170733</v>
      </c>
      <c r="E874" s="31" t="inlineStr">
        <is>
          <t/>
        </is>
      </c>
      <c r="F874" s="32" t="n">
        <v>3.0</v>
      </c>
      <c r="G874" s="33" t="n">
        <v>70.0</v>
      </c>
      <c r="H874" s="34" t="n">
        <v>73.0</v>
      </c>
      <c r="I874" s="35" t="n">
        <v>9.0</v>
      </c>
      <c r="J874" s="36" t="n">
        <v>0.4</v>
      </c>
      <c r="K874" s="37" t="inlineStr">
        <is>
          <t>Social/Platform Software</t>
        </is>
      </c>
      <c r="L874" s="38" t="inlineStr">
        <is>
          <t>Provider of a crowdsourced marketplace platform for consulting services. The company engages in connecting businesses with an on-demand IT workforce that includes engineers and consultants worldwide.</t>
        </is>
      </c>
      <c r="M874" s="39" t="inlineStr">
        <is>
          <t>Alec Ratliff, Andrew Sakelson, Ben Dimmitt, Jacob Elziq, Justin McGovern, Kowsik Guruswamy, Martina Pavloff, Scott Chiang, Sharon Strong, Steve Zabkar, Tony Edwards</t>
        </is>
      </c>
      <c r="N874" s="40" t="inlineStr">
        <is>
          <t>Angel-Backed</t>
        </is>
      </c>
      <c r="O874" s="41" t="inlineStr">
        <is>
          <t>Privately Held (backing)</t>
        </is>
      </c>
      <c r="P874" s="42" t="inlineStr">
        <is>
          <t>Los Gatos, CA</t>
        </is>
      </c>
      <c r="Q874" s="43" t="inlineStr">
        <is>
          <t>www.taskit.io</t>
        </is>
      </c>
      <c r="R874" s="114">
        <f>HYPERLINK("https://my.pitchbook.com?c=103244-77", "View company online")</f>
      </c>
    </row>
    <row r="875">
      <c r="A875" s="9" t="inlineStr">
        <is>
          <t>176305-78</t>
        </is>
      </c>
      <c r="B875" s="10" t="inlineStr">
        <is>
          <t>Tarzango</t>
        </is>
      </c>
      <c r="C875" s="85">
        <f>HYPERLINK("https://my.pitchbook.com?rrp=176305-78&amp;type=c", "This Company's information is not available to download. Need this Company? Request availability")</f>
      </c>
      <c r="D875" s="12" t="inlineStr">
        <is>
          <t/>
        </is>
      </c>
      <c r="E875" s="13" t="inlineStr">
        <is>
          <t/>
        </is>
      </c>
      <c r="F875" s="14" t="inlineStr">
        <is>
          <t/>
        </is>
      </c>
      <c r="G875" s="15" t="inlineStr">
        <is>
          <t/>
        </is>
      </c>
      <c r="H875" s="16" t="inlineStr">
        <is>
          <t/>
        </is>
      </c>
      <c r="I875" s="17" t="inlineStr">
        <is>
          <t/>
        </is>
      </c>
      <c r="J875" s="18" t="inlineStr">
        <is>
          <t/>
        </is>
      </c>
      <c r="K875" s="19" t="inlineStr">
        <is>
          <t/>
        </is>
      </c>
      <c r="L875" s="20" t="inlineStr">
        <is>
          <t/>
        </is>
      </c>
      <c r="M875" s="21" t="inlineStr">
        <is>
          <t/>
        </is>
      </c>
      <c r="N875" s="22" t="inlineStr">
        <is>
          <t/>
        </is>
      </c>
      <c r="O875" s="23" t="inlineStr">
        <is>
          <t/>
        </is>
      </c>
      <c r="P875" s="24" t="inlineStr">
        <is>
          <t/>
        </is>
      </c>
      <c r="Q875" s="25" t="inlineStr">
        <is>
          <t/>
        </is>
      </c>
      <c r="R875" s="26" t="inlineStr">
        <is>
          <t/>
        </is>
      </c>
    </row>
    <row r="876">
      <c r="A876" s="27" t="inlineStr">
        <is>
          <t>154063-54</t>
        </is>
      </c>
      <c r="B876" s="28" t="inlineStr">
        <is>
          <t>Tartwest</t>
        </is>
      </c>
      <c r="C876" s="29" t="n">
        <v>-0.00952435335000515</v>
      </c>
      <c r="D876" s="30" t="n">
        <v>0.3088124496746457</v>
      </c>
      <c r="E876" s="31" t="inlineStr">
        <is>
          <t/>
        </is>
      </c>
      <c r="F876" s="32" t="n">
        <v>4.0</v>
      </c>
      <c r="G876" s="33" t="n">
        <v>411.0</v>
      </c>
      <c r="H876" s="34" t="n">
        <v>180.0</v>
      </c>
      <c r="I876" s="35" t="inlineStr">
        <is>
          <t/>
        </is>
      </c>
      <c r="J876" s="36" t="n">
        <v>0.01</v>
      </c>
      <c r="K876" s="37" t="inlineStr">
        <is>
          <t>Application Software</t>
        </is>
      </c>
      <c r="L876" s="38" t="inlineStr">
        <is>
          <t>Developer of a application for searching art events. The company develops an application that enables users to search for art events.</t>
        </is>
      </c>
      <c r="M876" s="39" t="inlineStr">
        <is>
          <t>Yaniv Gelnik</t>
        </is>
      </c>
      <c r="N876" s="40" t="inlineStr">
        <is>
          <t>Angel-Backed</t>
        </is>
      </c>
      <c r="O876" s="41" t="inlineStr">
        <is>
          <t>Privately Held (backing)</t>
        </is>
      </c>
      <c r="P876" s="42" t="inlineStr">
        <is>
          <t>Carlsbad, CA</t>
        </is>
      </c>
      <c r="Q876" s="43" t="inlineStr">
        <is>
          <t>www.tartsandiego.com</t>
        </is>
      </c>
      <c r="R876" s="114">
        <f>HYPERLINK("https://my.pitchbook.com?c=154063-54", "View company online")</f>
      </c>
    </row>
    <row r="877">
      <c r="A877" s="9" t="inlineStr">
        <is>
          <t>168783-31</t>
        </is>
      </c>
      <c r="B877" s="10" t="inlineStr">
        <is>
          <t>Taro</t>
        </is>
      </c>
      <c r="C877" s="11" t="n">
        <v>0.13311129147540096</v>
      </c>
      <c r="D877" s="12" t="n">
        <v>4.637084652817888</v>
      </c>
      <c r="E877" s="13" t="inlineStr">
        <is>
          <t/>
        </is>
      </c>
      <c r="F877" s="14" t="n">
        <v>44.0</v>
      </c>
      <c r="G877" s="15" t="n">
        <v>6695.0</v>
      </c>
      <c r="H877" s="16" t="n">
        <v>2740.0</v>
      </c>
      <c r="I877" s="17" t="inlineStr">
        <is>
          <t/>
        </is>
      </c>
      <c r="J877" s="18" t="n">
        <v>2.79</v>
      </c>
      <c r="K877" s="19" t="inlineStr">
        <is>
          <t>Application Software</t>
        </is>
      </c>
      <c r="L877" s="20" t="inlineStr">
        <is>
          <t>Developer of a meals ordering application. The company's food delivery application allows users to find and connect with local independent chefs and order home-made meals online.</t>
        </is>
      </c>
      <c r="M877" s="21" t="inlineStr">
        <is>
          <t/>
        </is>
      </c>
      <c r="N877" s="22" t="inlineStr">
        <is>
          <t>Angel-Backed</t>
        </is>
      </c>
      <c r="O877" s="23" t="inlineStr">
        <is>
          <t>Privately Held (backing)</t>
        </is>
      </c>
      <c r="P877" s="24" t="inlineStr">
        <is>
          <t>Palo Alto, CA</t>
        </is>
      </c>
      <c r="Q877" s="25" t="inlineStr">
        <is>
          <t>www.tarobites.com</t>
        </is>
      </c>
      <c r="R877" s="113">
        <f>HYPERLINK("https://my.pitchbook.com?c=168783-31", "View company online")</f>
      </c>
    </row>
    <row r="878">
      <c r="A878" s="27" t="inlineStr">
        <is>
          <t>103144-87</t>
        </is>
      </c>
      <c r="B878" s="28" t="inlineStr">
        <is>
          <t>Tarefa</t>
        </is>
      </c>
      <c r="C878" s="29" t="n">
        <v>-5.398708494237098E-4</v>
      </c>
      <c r="D878" s="30" t="n">
        <v>2.336586710407639</v>
      </c>
      <c r="E878" s="31" t="inlineStr">
        <is>
          <t/>
        </is>
      </c>
      <c r="F878" s="32" t="n">
        <v>58.0</v>
      </c>
      <c r="G878" s="33" t="n">
        <v>2700.0</v>
      </c>
      <c r="H878" s="34" t="n">
        <v>1011.0</v>
      </c>
      <c r="I878" s="35" t="inlineStr">
        <is>
          <t/>
        </is>
      </c>
      <c r="J878" s="36" t="n">
        <v>9.68</v>
      </c>
      <c r="K878" s="37" t="inlineStr">
        <is>
          <t>Educational Software</t>
        </is>
      </c>
      <c r="L878" s="38" t="inlineStr">
        <is>
          <t>Developer of a mathematics and science problem solving application. The company's platform, on a subscription basis, enables students to post unsolved math questions and hence get connected to teachers who will solve them.</t>
        </is>
      </c>
      <c r="M878" s="39" t="inlineStr">
        <is>
          <t>500 Startups, Estarte.Me, Seedstars World, Start-Up Chile, WOW Aceleradora</t>
        </is>
      </c>
      <c r="N878" s="40" t="inlineStr">
        <is>
          <t>Accelerator/Incubator Backed</t>
        </is>
      </c>
      <c r="O878" s="41" t="inlineStr">
        <is>
          <t>Privately Held (backing)</t>
        </is>
      </c>
      <c r="P878" s="42" t="inlineStr">
        <is>
          <t>San Francisco, CA</t>
        </is>
      </c>
      <c r="Q878" s="43" t="inlineStr">
        <is>
          <t>www.tarefa.co</t>
        </is>
      </c>
      <c r="R878" s="114">
        <f>HYPERLINK("https://my.pitchbook.com?c=103144-87", "View company online")</f>
      </c>
    </row>
    <row r="879">
      <c r="A879" s="9" t="inlineStr">
        <is>
          <t>104185-45</t>
        </is>
      </c>
      <c r="B879" s="10" t="inlineStr">
        <is>
          <t>Taptivate</t>
        </is>
      </c>
      <c r="C879" s="11" t="n">
        <v>-0.020512255600160262</v>
      </c>
      <c r="D879" s="12" t="n">
        <v>4.335861029468251</v>
      </c>
      <c r="E879" s="13" t="inlineStr">
        <is>
          <t/>
        </is>
      </c>
      <c r="F879" s="14" t="n">
        <v>8.0</v>
      </c>
      <c r="G879" s="15" t="n">
        <v>1859.0</v>
      </c>
      <c r="H879" s="16" t="n">
        <v>5171.0</v>
      </c>
      <c r="I879" s="17" t="inlineStr">
        <is>
          <t/>
        </is>
      </c>
      <c r="J879" s="18" t="inlineStr">
        <is>
          <t/>
        </is>
      </c>
      <c r="K879" s="19" t="inlineStr">
        <is>
          <t>Other IT Services</t>
        </is>
      </c>
      <c r="L879" s="20" t="inlineStr">
        <is>
          <t>Developer of mobile applications. The company develops mobile applications for iPhones and for the iOS platform.</t>
        </is>
      </c>
      <c r="M879" s="21" t="inlineStr">
        <is>
          <t>Kicklabs</t>
        </is>
      </c>
      <c r="N879" s="22" t="inlineStr">
        <is>
          <t>Accelerator/Incubator Backed</t>
        </is>
      </c>
      <c r="O879" s="23" t="inlineStr">
        <is>
          <t>Privately Held (backing)</t>
        </is>
      </c>
      <c r="P879" s="24" t="inlineStr">
        <is>
          <t>San Francisco, CA</t>
        </is>
      </c>
      <c r="Q879" s="25" t="inlineStr">
        <is>
          <t>www.taptivate.com</t>
        </is>
      </c>
      <c r="R879" s="113">
        <f>HYPERLINK("https://my.pitchbook.com?c=104185-45", "View company online")</f>
      </c>
    </row>
    <row r="880">
      <c r="A880" s="27" t="inlineStr">
        <is>
          <t>60722-20</t>
        </is>
      </c>
      <c r="B880" s="28" t="inlineStr">
        <is>
          <t>TapThere</t>
        </is>
      </c>
      <c r="C880" s="29" t="n">
        <v>-0.020943012200731165</v>
      </c>
      <c r="D880" s="30" t="n">
        <v>6.045154682000666</v>
      </c>
      <c r="E880" s="31" t="inlineStr">
        <is>
          <t/>
        </is>
      </c>
      <c r="F880" s="32" t="n">
        <v>5.0</v>
      </c>
      <c r="G880" s="33" t="n">
        <v>15532.0</v>
      </c>
      <c r="H880" s="34" t="n">
        <v>1638.0</v>
      </c>
      <c r="I880" s="35" t="n">
        <v>6.0</v>
      </c>
      <c r="J880" s="36" t="n">
        <v>0.53</v>
      </c>
      <c r="K880" s="37" t="inlineStr">
        <is>
          <t>Social/Platform Software</t>
        </is>
      </c>
      <c r="L880" s="38" t="inlineStr">
        <is>
          <t>Developer and operator of a social media platform. The company empowers people to share their experiences in real time with family, friends, and anyone else around the globe.</t>
        </is>
      </c>
      <c r="M880" s="39" t="inlineStr">
        <is>
          <t/>
        </is>
      </c>
      <c r="N880" s="40" t="inlineStr">
        <is>
          <t>Angel-Backed</t>
        </is>
      </c>
      <c r="O880" s="41" t="inlineStr">
        <is>
          <t>Privately Held (backing)</t>
        </is>
      </c>
      <c r="P880" s="42" t="inlineStr">
        <is>
          <t>Newport Beach, CA</t>
        </is>
      </c>
      <c r="Q880" s="43" t="inlineStr">
        <is>
          <t/>
        </is>
      </c>
      <c r="R880" s="114">
        <f>HYPERLINK("https://my.pitchbook.com?c=60722-20", "View company online")</f>
      </c>
    </row>
    <row r="881">
      <c r="A881" s="9" t="inlineStr">
        <is>
          <t>95407-66</t>
        </is>
      </c>
      <c r="B881" s="10" t="inlineStr">
        <is>
          <t>TapRush</t>
        </is>
      </c>
      <c r="C881" s="11" t="n">
        <v>0.0</v>
      </c>
      <c r="D881" s="12" t="n">
        <v>0.029050236677355325</v>
      </c>
      <c r="E881" s="13" t="inlineStr">
        <is>
          <t/>
        </is>
      </c>
      <c r="F881" s="14" t="n">
        <v>1.0</v>
      </c>
      <c r="G881" s="15" t="inlineStr">
        <is>
          <t/>
        </is>
      </c>
      <c r="H881" s="16" t="n">
        <v>11.0</v>
      </c>
      <c r="I881" s="17" t="n">
        <v>1.0</v>
      </c>
      <c r="J881" s="18" t="n">
        <v>1.2</v>
      </c>
      <c r="K881" s="19" t="inlineStr">
        <is>
          <t>Business/Productivity Software</t>
        </is>
      </c>
      <c r="L881" s="20" t="inlineStr">
        <is>
          <t>Operator of a mobile marketing agency. The company provides Pay-Per-Install ad network for mobile apps in the industry.</t>
        </is>
      </c>
      <c r="M881" s="21" t="inlineStr">
        <is>
          <t/>
        </is>
      </c>
      <c r="N881" s="22" t="inlineStr">
        <is>
          <t>Angel-Backed</t>
        </is>
      </c>
      <c r="O881" s="23" t="inlineStr">
        <is>
          <t>Privately Held (backing)</t>
        </is>
      </c>
      <c r="P881" s="24" t="inlineStr">
        <is>
          <t>San Francisco, CA</t>
        </is>
      </c>
      <c r="Q881" s="25" t="inlineStr">
        <is>
          <t>www.taprush.com</t>
        </is>
      </c>
      <c r="R881" s="113">
        <f>HYPERLINK("https://my.pitchbook.com?c=95407-66", "View company online")</f>
      </c>
    </row>
    <row r="882">
      <c r="A882" s="27" t="inlineStr">
        <is>
          <t>94187-53</t>
        </is>
      </c>
      <c r="B882" s="28" t="inlineStr">
        <is>
          <t>TapResearch</t>
        </is>
      </c>
      <c r="C882" s="29" t="n">
        <v>0.23497602400844197</v>
      </c>
      <c r="D882" s="30" t="n">
        <v>2.270118096831435</v>
      </c>
      <c r="E882" s="31" t="inlineStr">
        <is>
          <t/>
        </is>
      </c>
      <c r="F882" s="32" t="n">
        <v>36.0</v>
      </c>
      <c r="G882" s="33" t="n">
        <v>5373.0</v>
      </c>
      <c r="H882" s="34" t="n">
        <v>156.0</v>
      </c>
      <c r="I882" s="35" t="n">
        <v>4.0</v>
      </c>
      <c r="J882" s="36" t="n">
        <v>2.0</v>
      </c>
      <c r="K882" s="37" t="inlineStr">
        <is>
          <t>Social/Platform Software</t>
        </is>
      </c>
      <c r="L882" s="38" t="inlineStr">
        <is>
          <t>Developer of a mobile market research platform. The company develops a platform that connects mobile, tablet and desktop users interested in completing surveys with market researchers who need their opinions.</t>
        </is>
      </c>
      <c r="M882" s="39" t="inlineStr">
        <is>
          <t/>
        </is>
      </c>
      <c r="N882" s="40" t="inlineStr">
        <is>
          <t>Angel-Backed</t>
        </is>
      </c>
      <c r="O882" s="41" t="inlineStr">
        <is>
          <t>Privately Held (backing)</t>
        </is>
      </c>
      <c r="P882" s="42" t="inlineStr">
        <is>
          <t>Mountain View, CA</t>
        </is>
      </c>
      <c r="Q882" s="43" t="inlineStr">
        <is>
          <t>www.tapresearch.com</t>
        </is>
      </c>
      <c r="R882" s="114">
        <f>HYPERLINK("https://my.pitchbook.com?c=94187-53", "View company online")</f>
      </c>
    </row>
    <row r="883">
      <c r="A883" s="9" t="inlineStr">
        <is>
          <t>99281-98</t>
        </is>
      </c>
      <c r="B883" s="10" t="inlineStr">
        <is>
          <t>Tappur</t>
        </is>
      </c>
      <c r="C883" s="11" t="n">
        <v>0.23402315436653384</v>
      </c>
      <c r="D883" s="12" t="n">
        <v>4.400056169971424</v>
      </c>
      <c r="E883" s="13" t="inlineStr">
        <is>
          <t/>
        </is>
      </c>
      <c r="F883" s="14" t="n">
        <v>318.0</v>
      </c>
      <c r="G883" s="15" t="n">
        <v>273.0</v>
      </c>
      <c r="H883" s="16" t="n">
        <v>5.0</v>
      </c>
      <c r="I883" s="17" t="n">
        <v>3.0</v>
      </c>
      <c r="J883" s="18" t="n">
        <v>0.08</v>
      </c>
      <c r="K883" s="19" t="inlineStr">
        <is>
          <t>Electronics (B2C)</t>
        </is>
      </c>
      <c r="L883" s="20" t="inlineStr">
        <is>
          <t>Developer of a wearable controller application. The company develops a wearable controller for music creation and performance that provides a natural and tactile playing experience.</t>
        </is>
      </c>
      <c r="M883" s="21" t="inlineStr">
        <is>
          <t>500 Startups, Sean Percival, Wearable IoT World</t>
        </is>
      </c>
      <c r="N883" s="22" t="inlineStr">
        <is>
          <t>Accelerator/Incubator Backed</t>
        </is>
      </c>
      <c r="O883" s="23" t="inlineStr">
        <is>
          <t>Privately Held (backing)</t>
        </is>
      </c>
      <c r="P883" s="24" t="inlineStr">
        <is>
          <t>San Francisco, CA</t>
        </is>
      </c>
      <c r="Q883" s="25" t="inlineStr">
        <is>
          <t>www.drumpants.com</t>
        </is>
      </c>
      <c r="R883" s="113">
        <f>HYPERLINK("https://my.pitchbook.com?c=99281-98", "View company online")</f>
      </c>
    </row>
    <row r="884">
      <c r="A884" s="27" t="inlineStr">
        <is>
          <t>113967-73</t>
        </is>
      </c>
      <c r="B884" s="28" t="inlineStr">
        <is>
          <t>TapNSell</t>
        </is>
      </c>
      <c r="C884" s="29" t="n">
        <v>0.0</v>
      </c>
      <c r="D884" s="30" t="n">
        <v>0.07087988873176787</v>
      </c>
      <c r="E884" s="31" t="inlineStr">
        <is>
          <t/>
        </is>
      </c>
      <c r="F884" s="32" t="n">
        <v>2.0</v>
      </c>
      <c r="G884" s="33" t="n">
        <v>98.0</v>
      </c>
      <c r="H884" s="34" t="n">
        <v>19.0</v>
      </c>
      <c r="I884" s="35" t="n">
        <v>14.0</v>
      </c>
      <c r="J884" s="36" t="n">
        <v>1.82</v>
      </c>
      <c r="K884" s="37" t="inlineStr">
        <is>
          <t>Application Software</t>
        </is>
      </c>
      <c r="L884" s="38" t="inlineStr">
        <is>
          <t>Developer of an e-commerce application for buying and selling unwanted items. The company develops an application that enables users to buy and sell used products using mobile devices.</t>
        </is>
      </c>
      <c r="M884" s="39" t="inlineStr">
        <is>
          <t>Founders Space, Keiretsu Forum</t>
        </is>
      </c>
      <c r="N884" s="40" t="inlineStr">
        <is>
          <t>Angel-Backed</t>
        </is>
      </c>
      <c r="O884" s="41" t="inlineStr">
        <is>
          <t>Privately Held (backing)</t>
        </is>
      </c>
      <c r="P884" s="42" t="inlineStr">
        <is>
          <t>San Francisco, CA</t>
        </is>
      </c>
      <c r="Q884" s="43" t="inlineStr">
        <is>
          <t>www.tapnsell.com</t>
        </is>
      </c>
      <c r="R884" s="114">
        <f>HYPERLINK("https://my.pitchbook.com?c=113967-73", "View company online")</f>
      </c>
    </row>
    <row r="885">
      <c r="A885" s="9" t="inlineStr">
        <is>
          <t>90561-70</t>
        </is>
      </c>
      <c r="B885" s="10" t="inlineStr">
        <is>
          <t>Taplet</t>
        </is>
      </c>
      <c r="C885" s="11" t="n">
        <v>-0.016030784783870405</v>
      </c>
      <c r="D885" s="12" t="n">
        <v>0.6930669800235018</v>
      </c>
      <c r="E885" s="13" t="inlineStr">
        <is>
          <t/>
        </is>
      </c>
      <c r="F885" s="14" t="n">
        <v>13.0</v>
      </c>
      <c r="G885" s="15" t="n">
        <v>832.0</v>
      </c>
      <c r="H885" s="16" t="inlineStr">
        <is>
          <t/>
        </is>
      </c>
      <c r="I885" s="17" t="n">
        <v>6.0</v>
      </c>
      <c r="J885" s="18" t="n">
        <v>1.2</v>
      </c>
      <c r="K885" s="19" t="inlineStr">
        <is>
          <t>Application Software</t>
        </is>
      </c>
      <c r="L885" s="20" t="inlineStr">
        <is>
          <t>Provider of a photography application for mobile phones. The company offers an application which allows users to select photos from video and improve them with imaging technology for sharing on social media.</t>
        </is>
      </c>
      <c r="M885" s="21" t="inlineStr">
        <is>
          <t>Kia Illulian, Michael Levine, Michael Rubin, Russell Simmons</t>
        </is>
      </c>
      <c r="N885" s="22" t="inlineStr">
        <is>
          <t>Angel-Backed</t>
        </is>
      </c>
      <c r="O885" s="23" t="inlineStr">
        <is>
          <t>Privately Held (backing)</t>
        </is>
      </c>
      <c r="P885" s="24" t="inlineStr">
        <is>
          <t>Los Angeles, CA</t>
        </is>
      </c>
      <c r="Q885" s="25" t="inlineStr">
        <is>
          <t>www.gotaplet.com</t>
        </is>
      </c>
      <c r="R885" s="113">
        <f>HYPERLINK("https://my.pitchbook.com?c=90561-70", "View company online")</f>
      </c>
    </row>
    <row r="886">
      <c r="A886" s="27" t="inlineStr">
        <is>
          <t>99048-61</t>
        </is>
      </c>
      <c r="B886" s="28" t="inlineStr">
        <is>
          <t>TapHunter</t>
        </is>
      </c>
      <c r="C886" s="29" t="n">
        <v>0.3275701242666623</v>
      </c>
      <c r="D886" s="30" t="n">
        <v>24.45759636623675</v>
      </c>
      <c r="E886" s="31" t="inlineStr">
        <is>
          <t/>
        </is>
      </c>
      <c r="F886" s="32" t="n">
        <v>579.0</v>
      </c>
      <c r="G886" s="33" t="n">
        <v>16369.0</v>
      </c>
      <c r="H886" s="34" t="n">
        <v>16277.0</v>
      </c>
      <c r="I886" s="35" t="n">
        <v>19.0</v>
      </c>
      <c r="J886" s="36" t="n">
        <v>1.21</v>
      </c>
      <c r="K886" s="37" t="inlineStr">
        <is>
          <t>Application Software</t>
        </is>
      </c>
      <c r="L886" s="38" t="inlineStr">
        <is>
          <t>Developer of a craft beer location application. The company develops a mobile application that enables consumers to locate their favorite beer, spiirits and cocktails in market across the United States.</t>
        </is>
      </c>
      <c r="M886" s="39" t="inlineStr">
        <is>
          <t>Analytics Ventures, Doug Hecht, EvoNexus, Jeff Berg, La Costa Investment Group, Navid Alipour, Right Side Capital Management, Startup Leadership, Steve Hart</t>
        </is>
      </c>
      <c r="N886" s="40" t="inlineStr">
        <is>
          <t>Accelerator/Incubator Backed</t>
        </is>
      </c>
      <c r="O886" s="41" t="inlineStr">
        <is>
          <t>Privately Held (backing)</t>
        </is>
      </c>
      <c r="P886" s="42" t="inlineStr">
        <is>
          <t>San Diego, CA</t>
        </is>
      </c>
      <c r="Q886" s="43" t="inlineStr">
        <is>
          <t>www.taphunter.com</t>
        </is>
      </c>
      <c r="R886" s="114">
        <f>HYPERLINK("https://my.pitchbook.com?c=99048-61", "View company online")</f>
      </c>
    </row>
    <row r="887">
      <c r="A887" s="9" t="inlineStr">
        <is>
          <t>97357-69</t>
        </is>
      </c>
      <c r="B887" s="10" t="inlineStr">
        <is>
          <t>TapHeaven</t>
        </is>
      </c>
      <c r="C887" s="11" t="n">
        <v>0.0</v>
      </c>
      <c r="D887" s="12" t="n">
        <v>0.1891891891891892</v>
      </c>
      <c r="E887" s="13" t="inlineStr">
        <is>
          <t/>
        </is>
      </c>
      <c r="F887" s="14" t="n">
        <v>7.0</v>
      </c>
      <c r="G887" s="15" t="inlineStr">
        <is>
          <t/>
        </is>
      </c>
      <c r="H887" s="16" t="inlineStr">
        <is>
          <t/>
        </is>
      </c>
      <c r="I887" s="17" t="inlineStr">
        <is>
          <t/>
        </is>
      </c>
      <c r="J887" s="18" t="inlineStr">
        <is>
          <t/>
        </is>
      </c>
      <c r="K887" s="19" t="inlineStr">
        <is>
          <t>Business/Productivity Software</t>
        </is>
      </c>
      <c r="L887" s="20" t="inlineStr">
        <is>
          <t>Provider of real-time-buying platform for mobile ads, powered by machine learning and deep analytic. The company integrates proprietary machine learning and real-time analytics to assist, automate and optimize ad buys.</t>
        </is>
      </c>
      <c r="M887" s="21" t="inlineStr">
        <is>
          <t>VentureLab Growth Partners</t>
        </is>
      </c>
      <c r="N887" s="22" t="inlineStr">
        <is>
          <t>Accelerator/Incubator Backed</t>
        </is>
      </c>
      <c r="O887" s="23" t="inlineStr">
        <is>
          <t>Privately Held (backing)</t>
        </is>
      </c>
      <c r="P887" s="24" t="inlineStr">
        <is>
          <t>San Francisco, CA</t>
        </is>
      </c>
      <c r="Q887" s="25" t="inlineStr">
        <is>
          <t>www.tapheaven.com</t>
        </is>
      </c>
      <c r="R887" s="113">
        <f>HYPERLINK("https://my.pitchbook.com?c=97357-69", "View company online")</f>
      </c>
    </row>
    <row r="888">
      <c r="A888" s="27" t="inlineStr">
        <is>
          <t>55614-70</t>
        </is>
      </c>
      <c r="B888" s="28" t="inlineStr">
        <is>
          <t>Tapestry</t>
        </is>
      </c>
      <c r="C888" s="29" t="n">
        <v>-0.020076680742545153</v>
      </c>
      <c r="D888" s="30" t="n">
        <v>3.8262383949377314</v>
      </c>
      <c r="E888" s="31" t="inlineStr">
        <is>
          <t/>
        </is>
      </c>
      <c r="F888" s="32" t="n">
        <v>158.0</v>
      </c>
      <c r="G888" s="33" t="n">
        <v>374.0</v>
      </c>
      <c r="H888" s="34" t="n">
        <v>2211.0</v>
      </c>
      <c r="I888" s="35" t="n">
        <v>7.0</v>
      </c>
      <c r="J888" s="36" t="n">
        <v>0.6</v>
      </c>
      <c r="K888" s="37" t="inlineStr">
        <is>
          <t>Social Content</t>
        </is>
      </c>
      <c r="L888" s="38" t="inlineStr">
        <is>
          <t>Provider of social network site and application for senior citizens. The company provides a platform that allows users to stay connected with their families, friends and communities online via the Web, iPads, iPhones and android devices.</t>
        </is>
      </c>
      <c r="M888" s="39" t="inlineStr">
        <is>
          <t>Brand Hoff, David Greatorex, Su-Ming Wong, Sydney Angels, Will Bunker</t>
        </is>
      </c>
      <c r="N888" s="40" t="inlineStr">
        <is>
          <t>Angel-Backed</t>
        </is>
      </c>
      <c r="O888" s="41" t="inlineStr">
        <is>
          <t>Privately Held (backing)</t>
        </is>
      </c>
      <c r="P888" s="42" t="inlineStr">
        <is>
          <t>Ultimo, Australia</t>
        </is>
      </c>
      <c r="Q888" s="43" t="inlineStr">
        <is>
          <t>www.tapestry.net</t>
        </is>
      </c>
      <c r="R888" s="114">
        <f>HYPERLINK("https://my.pitchbook.com?c=55614-70", "View company online")</f>
      </c>
    </row>
    <row r="889">
      <c r="A889" s="9" t="inlineStr">
        <is>
          <t>55820-17</t>
        </is>
      </c>
      <c r="B889" s="10" t="inlineStr">
        <is>
          <t>TapClicks</t>
        </is>
      </c>
      <c r="C889" s="11" t="n">
        <v>6.007684064178909</v>
      </c>
      <c r="D889" s="12" t="n">
        <v>5.805991597977596</v>
      </c>
      <c r="E889" s="13" t="inlineStr">
        <is>
          <t/>
        </is>
      </c>
      <c r="F889" s="14" t="n">
        <v>344.0</v>
      </c>
      <c r="G889" s="15" t="n">
        <v>347.0</v>
      </c>
      <c r="H889" s="16" t="n">
        <v>873.0</v>
      </c>
      <c r="I889" s="17" t="n">
        <v>20.0</v>
      </c>
      <c r="J889" s="18" t="n">
        <v>10.0</v>
      </c>
      <c r="K889" s="19" t="inlineStr">
        <is>
          <t>Automation/Workflow Software</t>
        </is>
      </c>
      <c r="L889" s="20" t="inlineStr">
        <is>
          <t>Provider of marketing reporting dashboard and operations platform designed to deliver marketing analytics and reports. The company's cloud-based digital-marketing analytics infrastructure TapAnalytics, helps digital agents to track real-time performance banner ads, online video, SEO, SEM, reputation management, email and SMS push marketing, social media, mobile campaigns and post-click website analysis, enabling them save time and effort and provide sophisticated analytics which helps in optimizing campaigns.</t>
        </is>
      </c>
      <c r="M889" s="21" t="inlineStr">
        <is>
          <t/>
        </is>
      </c>
      <c r="N889" s="22" t="inlineStr">
        <is>
          <t>Angel-Backed</t>
        </is>
      </c>
      <c r="O889" s="23" t="inlineStr">
        <is>
          <t>Privately Held (backing)</t>
        </is>
      </c>
      <c r="P889" s="24" t="inlineStr">
        <is>
          <t>San Jose, CA</t>
        </is>
      </c>
      <c r="Q889" s="25" t="inlineStr">
        <is>
          <t>www.tapclicks.com</t>
        </is>
      </c>
      <c r="R889" s="113">
        <f>HYPERLINK("https://my.pitchbook.com?c=55820-17", "View company online")</f>
      </c>
    </row>
    <row r="890">
      <c r="A890" s="27" t="inlineStr">
        <is>
          <t>99048-52</t>
        </is>
      </c>
      <c r="B890" s="28" t="inlineStr">
        <is>
          <t>TapChow</t>
        </is>
      </c>
      <c r="C890" s="29" t="n">
        <v>0.004868818709439566</v>
      </c>
      <c r="D890" s="30" t="n">
        <v>0.44714123535052047</v>
      </c>
      <c r="E890" s="31" t="inlineStr">
        <is>
          <t/>
        </is>
      </c>
      <c r="F890" s="32" t="n">
        <v>3.0</v>
      </c>
      <c r="G890" s="33" t="n">
        <v>54.0</v>
      </c>
      <c r="H890" s="34" t="n">
        <v>552.0</v>
      </c>
      <c r="I890" s="35" t="inlineStr">
        <is>
          <t/>
        </is>
      </c>
      <c r="J890" s="36" t="inlineStr">
        <is>
          <t/>
        </is>
      </c>
      <c r="K890" s="37" t="inlineStr">
        <is>
          <t>Database Software</t>
        </is>
      </c>
      <c r="L890" s="38" t="inlineStr">
        <is>
          <t>Developer of an online platform for information of restaurant chains. The company develops an online platform for information regarding mid-market restaurant chains which helps restaurants to know their customers.</t>
        </is>
      </c>
      <c r="M890" s="39" t="inlineStr">
        <is>
          <t>EvoNexus</t>
        </is>
      </c>
      <c r="N890" s="40" t="inlineStr">
        <is>
          <t>Accelerator/Incubator Backed</t>
        </is>
      </c>
      <c r="O890" s="41" t="inlineStr">
        <is>
          <t>Privately Held (backing)</t>
        </is>
      </c>
      <c r="P890" s="42" t="inlineStr">
        <is>
          <t>San Diego, CA</t>
        </is>
      </c>
      <c r="Q890" s="43" t="inlineStr">
        <is>
          <t>www.tapchow.com</t>
        </is>
      </c>
      <c r="R890" s="114">
        <f>HYPERLINK("https://my.pitchbook.com?c=99048-52", "View company online")</f>
      </c>
    </row>
    <row r="891">
      <c r="A891" s="9" t="inlineStr">
        <is>
          <t>158837-95</t>
        </is>
      </c>
      <c r="B891" s="10" t="inlineStr">
        <is>
          <t>Tap Systems</t>
        </is>
      </c>
      <c r="C891" s="11" t="n">
        <v>-0.309450982477791</v>
      </c>
      <c r="D891" s="12" t="n">
        <v>7.1198322440769015</v>
      </c>
      <c r="E891" s="13" t="inlineStr">
        <is>
          <t/>
        </is>
      </c>
      <c r="F891" s="14" t="n">
        <v>436.0</v>
      </c>
      <c r="G891" s="15" t="n">
        <v>3179.0</v>
      </c>
      <c r="H891" s="16" t="n">
        <v>395.0</v>
      </c>
      <c r="I891" s="17" t="inlineStr">
        <is>
          <t/>
        </is>
      </c>
      <c r="J891" s="18" t="n">
        <v>1.73</v>
      </c>
      <c r="K891" s="19" t="inlineStr">
        <is>
          <t>Other Consumer Durables</t>
        </is>
      </c>
      <c r="L891" s="20" t="inlineStr">
        <is>
          <t>Developer of as wearable Bluetooth keyboard. The company specializes in designing and developing a Bluetooth keyboard that turns anything the users can touch into a typing surface.</t>
        </is>
      </c>
      <c r="M891" s="21" t="inlineStr">
        <is>
          <t/>
        </is>
      </c>
      <c r="N891" s="22" t="inlineStr">
        <is>
          <t>Angel-Backed</t>
        </is>
      </c>
      <c r="O891" s="23" t="inlineStr">
        <is>
          <t>Privately Held (backing)</t>
        </is>
      </c>
      <c r="P891" s="24" t="inlineStr">
        <is>
          <t>Los Angeles, CA</t>
        </is>
      </c>
      <c r="Q891" s="25" t="inlineStr">
        <is>
          <t>www.tapwithus.com</t>
        </is>
      </c>
      <c r="R891" s="113">
        <f>HYPERLINK("https://my.pitchbook.com?c=158837-95", "View company online")</f>
      </c>
    </row>
    <row r="892">
      <c r="A892" s="27" t="inlineStr">
        <is>
          <t>153620-02</t>
        </is>
      </c>
      <c r="B892" s="28" t="inlineStr">
        <is>
          <t>TaoLa</t>
        </is>
      </c>
      <c r="C892" s="29" t="n">
        <v>0.0</v>
      </c>
      <c r="D892" s="30" t="n">
        <v>1.3243243243243243</v>
      </c>
      <c r="E892" s="31" t="inlineStr">
        <is>
          <t/>
        </is>
      </c>
      <c r="F892" s="32" t="n">
        <v>48.0</v>
      </c>
      <c r="G892" s="33" t="inlineStr">
        <is>
          <t/>
        </is>
      </c>
      <c r="H892" s="34" t="inlineStr">
        <is>
          <t/>
        </is>
      </c>
      <c r="I892" s="35" t="inlineStr">
        <is>
          <t/>
        </is>
      </c>
      <c r="J892" s="36" t="inlineStr">
        <is>
          <t/>
        </is>
      </c>
      <c r="K892" s="37" t="inlineStr">
        <is>
          <t>Information Services (B2C)</t>
        </is>
      </c>
      <c r="L892" s="38" t="inlineStr">
        <is>
          <t>Developer and provider of an online Chinese news portal. The company offers a platform to provide global information on entertainment, lifestyle, culture, science and technology for overseas Chinese users.</t>
        </is>
      </c>
      <c r="M892" s="39" t="inlineStr">
        <is>
          <t>Wei Guo</t>
        </is>
      </c>
      <c r="N892" s="40" t="inlineStr">
        <is>
          <t>Angel-Backed</t>
        </is>
      </c>
      <c r="O892" s="41" t="inlineStr">
        <is>
          <t>Privately Held (backing)</t>
        </is>
      </c>
      <c r="P892" s="42" t="inlineStr">
        <is>
          <t>San Jose, CA</t>
        </is>
      </c>
      <c r="Q892" s="43" t="inlineStr">
        <is>
          <t>www.haiwaitoutiao.com</t>
        </is>
      </c>
      <c r="R892" s="114">
        <f>HYPERLINK("https://my.pitchbook.com?c=153620-02", "View company online")</f>
      </c>
    </row>
    <row r="893">
      <c r="A893" s="9" t="inlineStr">
        <is>
          <t>166102-93</t>
        </is>
      </c>
      <c r="B893" s="10" t="inlineStr">
        <is>
          <t>TAO Network (Content Distribution Platform)</t>
        </is>
      </c>
      <c r="C893" s="11" t="n">
        <v>0.7804006593865656</v>
      </c>
      <c r="D893" s="12" t="n">
        <v>2.0706214689265536</v>
      </c>
      <c r="E893" s="13" t="inlineStr">
        <is>
          <t/>
        </is>
      </c>
      <c r="F893" s="14" t="inlineStr">
        <is>
          <t/>
        </is>
      </c>
      <c r="G893" s="15" t="inlineStr">
        <is>
          <t/>
        </is>
      </c>
      <c r="H893" s="16" t="n">
        <v>730.0</v>
      </c>
      <c r="I893" s="17" t="inlineStr">
        <is>
          <t/>
        </is>
      </c>
      <c r="J893" s="18" t="n">
        <v>0.11</v>
      </c>
      <c r="K893" s="19" t="inlineStr">
        <is>
          <t>Entertainment Software</t>
        </is>
      </c>
      <c r="L893" s="20" t="inlineStr">
        <is>
          <t>Provider of a block-chain based content distribution platform for the music industry. The company specializes in integrating technologies form different cryptocurrency networks to store, connect and trade the data on an open market.</t>
        </is>
      </c>
      <c r="M893" s="21" t="inlineStr">
        <is>
          <t/>
        </is>
      </c>
      <c r="N893" s="22" t="inlineStr">
        <is>
          <t>Angel-Backed</t>
        </is>
      </c>
      <c r="O893" s="23" t="inlineStr">
        <is>
          <t>Privately Held (backing)</t>
        </is>
      </c>
      <c r="P893" s="24" t="inlineStr">
        <is>
          <t>Los Angeles, CA</t>
        </is>
      </c>
      <c r="Q893" s="25" t="inlineStr">
        <is>
          <t/>
        </is>
      </c>
      <c r="R893" s="113">
        <f>HYPERLINK("https://my.pitchbook.com?c=166102-93", "View company online")</f>
      </c>
    </row>
    <row r="894">
      <c r="A894" s="27" t="inlineStr">
        <is>
          <t>172628-83</t>
        </is>
      </c>
      <c r="B894" s="28" t="inlineStr">
        <is>
          <t>Tantiv4</t>
        </is>
      </c>
      <c r="C894" s="29" t="n">
        <v>2.538893619366525</v>
      </c>
      <c r="D894" s="30" t="n">
        <v>2.206779044546178</v>
      </c>
      <c r="E894" s="31" t="inlineStr">
        <is>
          <t/>
        </is>
      </c>
      <c r="F894" s="32" t="n">
        <v>30.0</v>
      </c>
      <c r="G894" s="33" t="n">
        <v>1409.0</v>
      </c>
      <c r="H894" s="34" t="n">
        <v>1922.0</v>
      </c>
      <c r="I894" s="35" t="inlineStr">
        <is>
          <t/>
        </is>
      </c>
      <c r="J894" s="36" t="inlineStr">
        <is>
          <t/>
        </is>
      </c>
      <c r="K894" s="37" t="inlineStr">
        <is>
          <t>Electronics (B2C)</t>
        </is>
      </c>
      <c r="L894" s="38" t="inlineStr">
        <is>
          <t>Developer of a smart home automation device designed to control smart devices. The company's device can order up to 12 grocery items when user presses the button next to the item on the device, enabling users to manage daily needs and also remembers them.</t>
        </is>
      </c>
      <c r="M894" s="39" t="inlineStr">
        <is>
          <t>eCubed Ventures</t>
        </is>
      </c>
      <c r="N894" s="40" t="inlineStr">
        <is>
          <t>Accelerator/Incubator Backed</t>
        </is>
      </c>
      <c r="O894" s="41" t="inlineStr">
        <is>
          <t>Privately Held (backing)</t>
        </is>
      </c>
      <c r="P894" s="42" t="inlineStr">
        <is>
          <t>Sunnyvale, CA</t>
        </is>
      </c>
      <c r="Q894" s="43" t="inlineStr">
        <is>
          <t>www.tantiv4.com</t>
        </is>
      </c>
      <c r="R894" s="114">
        <f>HYPERLINK("https://my.pitchbook.com?c=172628-83", "View company online")</f>
      </c>
    </row>
    <row r="895">
      <c r="A895" s="9" t="inlineStr">
        <is>
          <t>92696-68</t>
        </is>
      </c>
      <c r="B895" s="10" t="inlineStr">
        <is>
          <t>Tango Tech</t>
        </is>
      </c>
      <c r="C895" s="85">
        <f>HYPERLINK("https://my.pitchbook.com?rrp=92696-68&amp;type=c", "This Company's information is not available to download. Need this Company? Request availability")</f>
      </c>
      <c r="D895" s="12" t="inlineStr">
        <is>
          <t/>
        </is>
      </c>
      <c r="E895" s="13" t="inlineStr">
        <is>
          <t/>
        </is>
      </c>
      <c r="F895" s="14" t="inlineStr">
        <is>
          <t/>
        </is>
      </c>
      <c r="G895" s="15" t="inlineStr">
        <is>
          <t/>
        </is>
      </c>
      <c r="H895" s="16" t="inlineStr">
        <is>
          <t/>
        </is>
      </c>
      <c r="I895" s="17" t="inlineStr">
        <is>
          <t/>
        </is>
      </c>
      <c r="J895" s="18" t="inlineStr">
        <is>
          <t/>
        </is>
      </c>
      <c r="K895" s="19" t="inlineStr">
        <is>
          <t/>
        </is>
      </c>
      <c r="L895" s="20" t="inlineStr">
        <is>
          <t/>
        </is>
      </c>
      <c r="M895" s="21" t="inlineStr">
        <is>
          <t/>
        </is>
      </c>
      <c r="N895" s="22" t="inlineStr">
        <is>
          <t/>
        </is>
      </c>
      <c r="O895" s="23" t="inlineStr">
        <is>
          <t/>
        </is>
      </c>
      <c r="P895" s="24" t="inlineStr">
        <is>
          <t/>
        </is>
      </c>
      <c r="Q895" s="25" t="inlineStr">
        <is>
          <t/>
        </is>
      </c>
      <c r="R895" s="26" t="inlineStr">
        <is>
          <t/>
        </is>
      </c>
    </row>
    <row r="896">
      <c r="A896" s="27" t="inlineStr">
        <is>
          <t>94186-36</t>
        </is>
      </c>
      <c r="B896" s="28" t="inlineStr">
        <is>
          <t>Tangled Web Communications</t>
        </is>
      </c>
      <c r="C896" s="29" t="n">
        <v>0.0</v>
      </c>
      <c r="D896" s="30" t="n">
        <v>0.14567498333157877</v>
      </c>
      <c r="E896" s="31" t="inlineStr">
        <is>
          <t/>
        </is>
      </c>
      <c r="F896" s="32" t="inlineStr">
        <is>
          <t/>
        </is>
      </c>
      <c r="G896" s="33" t="n">
        <v>89.0</v>
      </c>
      <c r="H896" s="34" t="n">
        <v>63.0</v>
      </c>
      <c r="I896" s="35" t="n">
        <v>7.0</v>
      </c>
      <c r="J896" s="36" t="n">
        <v>0.03</v>
      </c>
      <c r="K896" s="37" t="inlineStr">
        <is>
          <t>Business/Productivity Software</t>
        </is>
      </c>
      <c r="L896" s="38" t="inlineStr">
        <is>
          <t>Provider of a customer relationship management platform that connects producers and consumers in niche markets. The company incubate, design and build applications for professionals to engage customers in real time anywhere.</t>
        </is>
      </c>
      <c r="M896" s="39" t="inlineStr">
        <is>
          <t/>
        </is>
      </c>
      <c r="N896" s="40" t="inlineStr">
        <is>
          <t>Angel-Backed</t>
        </is>
      </c>
      <c r="O896" s="41" t="inlineStr">
        <is>
          <t>Privately Held (backing)</t>
        </is>
      </c>
      <c r="P896" s="42" t="inlineStr">
        <is>
          <t>Los Angeles, CA</t>
        </is>
      </c>
      <c r="Q896" s="43" t="inlineStr">
        <is>
          <t>www.tangledwebcommunications.com</t>
        </is>
      </c>
      <c r="R896" s="114">
        <f>HYPERLINK("https://my.pitchbook.com?c=94186-36", "View company online")</f>
      </c>
    </row>
    <row r="897">
      <c r="A897" s="9" t="inlineStr">
        <is>
          <t>96797-89</t>
        </is>
      </c>
      <c r="B897" s="10" t="inlineStr">
        <is>
          <t>Tangelo</t>
        </is>
      </c>
      <c r="C897" s="11" t="n">
        <v>0.259190530859744</v>
      </c>
      <c r="D897" s="12" t="n">
        <v>0.6053214231180333</v>
      </c>
      <c r="E897" s="13" t="inlineStr">
        <is>
          <t/>
        </is>
      </c>
      <c r="F897" s="14" t="n">
        <v>1.0</v>
      </c>
      <c r="G897" s="15" t="inlineStr">
        <is>
          <t/>
        </is>
      </c>
      <c r="H897" s="16" t="n">
        <v>418.0</v>
      </c>
      <c r="I897" s="17" t="n">
        <v>14.0</v>
      </c>
      <c r="J897" s="18" t="inlineStr">
        <is>
          <t/>
        </is>
      </c>
      <c r="K897" s="19" t="inlineStr">
        <is>
          <t>Other IT Services</t>
        </is>
      </c>
      <c r="L897" s="20" t="inlineStr">
        <is>
          <t>Developer of custom software. The company is a hybrid strategy and technology services firm that helps to design, develop and launch new products by incubating several startups.</t>
        </is>
      </c>
      <c r="M897" s="21" t="inlineStr">
        <is>
          <t>Manos Accelerator</t>
        </is>
      </c>
      <c r="N897" s="22" t="inlineStr">
        <is>
          <t>Accelerator/Incubator Backed</t>
        </is>
      </c>
      <c r="O897" s="23" t="inlineStr">
        <is>
          <t>Privately Held (backing)</t>
        </is>
      </c>
      <c r="P897" s="24" t="inlineStr">
        <is>
          <t>Menlo Park, CA</t>
        </is>
      </c>
      <c r="Q897" s="25" t="inlineStr">
        <is>
          <t>www.tangelo.co</t>
        </is>
      </c>
      <c r="R897" s="113">
        <f>HYPERLINK("https://my.pitchbook.com?c=96797-89", "View company online")</f>
      </c>
    </row>
    <row r="898">
      <c r="A898" s="27" t="inlineStr">
        <is>
          <t>88740-10</t>
        </is>
      </c>
      <c r="B898" s="28" t="inlineStr">
        <is>
          <t>Tame</t>
        </is>
      </c>
      <c r="C898" s="29" t="n">
        <v>0.005734785242500148</v>
      </c>
      <c r="D898" s="30" t="n">
        <v>4.656152994767586</v>
      </c>
      <c r="E898" s="31" t="inlineStr">
        <is>
          <t/>
        </is>
      </c>
      <c r="F898" s="32" t="n">
        <v>56.0</v>
      </c>
      <c r="G898" s="33" t="n">
        <v>765.0</v>
      </c>
      <c r="H898" s="34" t="n">
        <v>5171.0</v>
      </c>
      <c r="I898" s="35" t="inlineStr">
        <is>
          <t/>
        </is>
      </c>
      <c r="J898" s="36" t="n">
        <v>0.32</v>
      </c>
      <c r="K898" s="37" t="inlineStr">
        <is>
          <t>Social/Platform Software</t>
        </is>
      </c>
      <c r="L898" s="38" t="inlineStr">
        <is>
          <t>Developer of a SaaS based context search engine platform designed to provide information in social networks. The company's context search engine platform provides key information such as tweet count, helps to discover short and long term trends and patterns, user profile preview, a tweet wizard that automatically suggests relevant hashtags and short-cut lyrics enabling users to manage multiple Twitter accounts and analyze the tweets that have entered the timeline in the last 24 hours.</t>
        </is>
      </c>
      <c r="M898" s="39" t="inlineStr">
        <is>
          <t>German Accelerator, Germany's Federal Ministry of Economics and Technology</t>
        </is>
      </c>
      <c r="N898" s="40" t="inlineStr">
        <is>
          <t>Accelerator/Incubator Backed</t>
        </is>
      </c>
      <c r="O898" s="41" t="inlineStr">
        <is>
          <t>Privately Held (backing)</t>
        </is>
      </c>
      <c r="P898" s="42" t="inlineStr">
        <is>
          <t>Berlin, Germany</t>
        </is>
      </c>
      <c r="Q898" s="43" t="inlineStr">
        <is>
          <t>www.tame.it</t>
        </is>
      </c>
      <c r="R898" s="114">
        <f>HYPERLINK("https://my.pitchbook.com?c=88740-10", "View company online")</f>
      </c>
    </row>
    <row r="899">
      <c r="A899" s="9" t="inlineStr">
        <is>
          <t>96797-35</t>
        </is>
      </c>
      <c r="B899" s="10" t="inlineStr">
        <is>
          <t>Taltopia</t>
        </is>
      </c>
      <c r="C899" s="11" t="n">
        <v>-2.7709151089825106</v>
      </c>
      <c r="D899" s="12" t="n">
        <v>15.324324324324325</v>
      </c>
      <c r="E899" s="13" t="inlineStr">
        <is>
          <t/>
        </is>
      </c>
      <c r="F899" s="14" t="n">
        <v>572.0</v>
      </c>
      <c r="G899" s="15" t="n">
        <v>1427.0</v>
      </c>
      <c r="H899" s="16" t="n">
        <v>294.0</v>
      </c>
      <c r="I899" s="17" t="inlineStr">
        <is>
          <t/>
        </is>
      </c>
      <c r="J899" s="18" t="n">
        <v>0.8</v>
      </c>
      <c r="K899" s="19" t="inlineStr">
        <is>
          <t>Social/Platform Software</t>
        </is>
      </c>
      <c r="L899" s="20" t="inlineStr">
        <is>
          <t>Operator of an online artistic community. The company provides a web-based social networking platform for aspiring artists that enables them to share their talent, skills and abilities across the web.</t>
        </is>
      </c>
      <c r="M899" s="21" t="inlineStr">
        <is>
          <t>Go4Funding</t>
        </is>
      </c>
      <c r="N899" s="22" t="inlineStr">
        <is>
          <t>Angel-Backed</t>
        </is>
      </c>
      <c r="O899" s="23" t="inlineStr">
        <is>
          <t>Privately Held (backing)</t>
        </is>
      </c>
      <c r="P899" s="24" t="inlineStr">
        <is>
          <t>Los Angeles, CA</t>
        </is>
      </c>
      <c r="Q899" s="25" t="inlineStr">
        <is>
          <t>www.taltopia.com</t>
        </is>
      </c>
      <c r="R899" s="113">
        <f>HYPERLINK("https://my.pitchbook.com?c=96797-35", "View company online")</f>
      </c>
    </row>
    <row r="900">
      <c r="A900" s="27" t="inlineStr">
        <is>
          <t>93958-21</t>
        </is>
      </c>
      <c r="B900" s="28" t="inlineStr">
        <is>
          <t>Talnts</t>
        </is>
      </c>
      <c r="C900" s="29" t="n">
        <v>-0.008589283174192223</v>
      </c>
      <c r="D900" s="30" t="n">
        <v>200.3018833656269</v>
      </c>
      <c r="E900" s="31" t="inlineStr">
        <is>
          <t/>
        </is>
      </c>
      <c r="F900" s="32" t="n">
        <v>320.0</v>
      </c>
      <c r="G900" s="33" t="n">
        <v>118285.0</v>
      </c>
      <c r="H900" s="34" t="n">
        <v>225532.0</v>
      </c>
      <c r="I900" s="35" t="inlineStr">
        <is>
          <t/>
        </is>
      </c>
      <c r="J900" s="36" t="n">
        <v>1.5</v>
      </c>
      <c r="K900" s="37" t="inlineStr">
        <is>
          <t>Social/Platform Software</t>
        </is>
      </c>
      <c r="L900" s="38" t="inlineStr">
        <is>
          <t>Provider of an online social networking platform. The company helps users, groups and brands to share their best content, gain awareness and make new connections.</t>
        </is>
      </c>
      <c r="M900" s="39" t="inlineStr">
        <is>
          <t/>
        </is>
      </c>
      <c r="N900" s="40" t="inlineStr">
        <is>
          <t>Angel-Backed</t>
        </is>
      </c>
      <c r="O900" s="41" t="inlineStr">
        <is>
          <t>Privately Held (backing)</t>
        </is>
      </c>
      <c r="P900" s="42" t="inlineStr">
        <is>
          <t>Los Angeles, CA</t>
        </is>
      </c>
      <c r="Q900" s="43" t="inlineStr">
        <is>
          <t>www.talnts.com</t>
        </is>
      </c>
      <c r="R900" s="114">
        <f>HYPERLINK("https://my.pitchbook.com?c=93958-21", "View company online")</f>
      </c>
    </row>
    <row r="901">
      <c r="A901" s="9" t="inlineStr">
        <is>
          <t>110516-95</t>
        </is>
      </c>
      <c r="B901" s="10" t="inlineStr">
        <is>
          <t>Tally Holdings</t>
        </is>
      </c>
      <c r="C901" s="11" t="n">
        <v>-0.04454230087778707</v>
      </c>
      <c r="D901" s="12" t="n">
        <v>0.37543017804624285</v>
      </c>
      <c r="E901" s="13" t="inlineStr">
        <is>
          <t/>
        </is>
      </c>
      <c r="F901" s="14" t="n">
        <v>3.0</v>
      </c>
      <c r="G901" s="15" t="n">
        <v>146.0</v>
      </c>
      <c r="H901" s="16" t="n">
        <v>410.0</v>
      </c>
      <c r="I901" s="17" t="n">
        <v>2.0</v>
      </c>
      <c r="J901" s="18" t="inlineStr">
        <is>
          <t/>
        </is>
      </c>
      <c r="K901" s="19" t="inlineStr">
        <is>
          <t>Other Commercial Services</t>
        </is>
      </c>
      <c r="L901" s="20" t="inlineStr">
        <is>
          <t>Provider of an online booking software. The company develops a booking software that allows small businesses to accept online bookings, facilitate payments, and manage their customers.</t>
        </is>
      </c>
      <c r="M901" s="21" t="inlineStr">
        <is>
          <t>Skydeck | Berkeley</t>
        </is>
      </c>
      <c r="N901" s="22" t="inlineStr">
        <is>
          <t>Accelerator/Incubator Backed</t>
        </is>
      </c>
      <c r="O901" s="23" t="inlineStr">
        <is>
          <t>Privately Held (backing)</t>
        </is>
      </c>
      <c r="P901" s="24" t="inlineStr">
        <is>
          <t>Berkeley, CA</t>
        </is>
      </c>
      <c r="Q901" s="25" t="inlineStr">
        <is>
          <t>www.tally24.com</t>
        </is>
      </c>
      <c r="R901" s="113">
        <f>HYPERLINK("https://my.pitchbook.com?c=110516-95", "View company online")</f>
      </c>
    </row>
    <row r="902">
      <c r="A902" s="27" t="inlineStr">
        <is>
          <t>174420-82</t>
        </is>
      </c>
      <c r="B902" s="28" t="inlineStr">
        <is>
          <t>Tallscreen</t>
        </is>
      </c>
      <c r="C902" s="86">
        <f>HYPERLINK("https://my.pitchbook.com?rrp=174420-82&amp;type=c", "This Company's information is not available to download. Need this Company? Request availability")</f>
      </c>
      <c r="D902" s="30" t="inlineStr">
        <is>
          <t/>
        </is>
      </c>
      <c r="E902" s="31" t="inlineStr">
        <is>
          <t/>
        </is>
      </c>
      <c r="F902" s="32" t="inlineStr">
        <is>
          <t/>
        </is>
      </c>
      <c r="G902" s="33" t="inlineStr">
        <is>
          <t/>
        </is>
      </c>
      <c r="H902" s="34" t="inlineStr">
        <is>
          <t/>
        </is>
      </c>
      <c r="I902" s="35" t="inlineStr">
        <is>
          <t/>
        </is>
      </c>
      <c r="J902" s="36" t="inlineStr">
        <is>
          <t/>
        </is>
      </c>
      <c r="K902" s="37" t="inlineStr">
        <is>
          <t/>
        </is>
      </c>
      <c r="L902" s="38" t="inlineStr">
        <is>
          <t/>
        </is>
      </c>
      <c r="M902" s="39" t="inlineStr">
        <is>
          <t/>
        </is>
      </c>
      <c r="N902" s="40" t="inlineStr">
        <is>
          <t/>
        </is>
      </c>
      <c r="O902" s="41" t="inlineStr">
        <is>
          <t/>
        </is>
      </c>
      <c r="P902" s="42" t="inlineStr">
        <is>
          <t/>
        </is>
      </c>
      <c r="Q902" s="43" t="inlineStr">
        <is>
          <t/>
        </is>
      </c>
      <c r="R902" s="44" t="inlineStr">
        <is>
          <t/>
        </is>
      </c>
    </row>
    <row r="903">
      <c r="A903" s="9" t="inlineStr">
        <is>
          <t>124852-42</t>
        </is>
      </c>
      <c r="B903" s="10" t="inlineStr">
        <is>
          <t>Tallac Networks</t>
        </is>
      </c>
      <c r="C903" s="11" t="n">
        <v>0.03647646010020159</v>
      </c>
      <c r="D903" s="12" t="n">
        <v>0.7670334193547164</v>
      </c>
      <c r="E903" s="13" t="inlineStr">
        <is>
          <t/>
        </is>
      </c>
      <c r="F903" s="14" t="n">
        <v>46.0</v>
      </c>
      <c r="G903" s="15" t="n">
        <v>68.0</v>
      </c>
      <c r="H903" s="16" t="n">
        <v>175.0</v>
      </c>
      <c r="I903" s="17" t="n">
        <v>14.0</v>
      </c>
      <c r="J903" s="18" t="inlineStr">
        <is>
          <t/>
        </is>
      </c>
      <c r="K903" s="19" t="inlineStr">
        <is>
          <t>Wireless Service Providers</t>
        </is>
      </c>
      <c r="L903" s="20" t="inlineStr">
        <is>
          <t>Provider of a cloud managed wireless networking services. The company offers a cloud based software defined network that allows wireless service providers to customize vertical applications for their customers.</t>
        </is>
      </c>
      <c r="M903" s="21" t="inlineStr">
        <is>
          <t>Velocity Venture Capital</t>
        </is>
      </c>
      <c r="N903" s="22" t="inlineStr">
        <is>
          <t>Accelerator/Incubator Backed</t>
        </is>
      </c>
      <c r="O903" s="23" t="inlineStr">
        <is>
          <t>Privately Held (backing)</t>
        </is>
      </c>
      <c r="P903" s="24" t="inlineStr">
        <is>
          <t>Rocklin, CA</t>
        </is>
      </c>
      <c r="Q903" s="25" t="inlineStr">
        <is>
          <t>www.tallac.com</t>
        </is>
      </c>
      <c r="R903" s="113">
        <f>HYPERLINK("https://my.pitchbook.com?c=124852-42", "View company online")</f>
      </c>
    </row>
    <row r="904">
      <c r="A904" s="27" t="inlineStr">
        <is>
          <t>103099-78</t>
        </is>
      </c>
      <c r="B904" s="28" t="inlineStr">
        <is>
          <t>TalkToChef</t>
        </is>
      </c>
      <c r="C904" s="86">
        <f>HYPERLINK("https://my.pitchbook.com?rrp=103099-78&amp;type=c", "This Company's information is not available to download. Need this Company? Request availability")</f>
      </c>
      <c r="D904" s="30" t="inlineStr">
        <is>
          <t/>
        </is>
      </c>
      <c r="E904" s="31" t="inlineStr">
        <is>
          <t/>
        </is>
      </c>
      <c r="F904" s="32" t="inlineStr">
        <is>
          <t/>
        </is>
      </c>
      <c r="G904" s="33" t="inlineStr">
        <is>
          <t/>
        </is>
      </c>
      <c r="H904" s="34" t="inlineStr">
        <is>
          <t/>
        </is>
      </c>
      <c r="I904" s="35" t="inlineStr">
        <is>
          <t/>
        </is>
      </c>
      <c r="J904" s="36" t="inlineStr">
        <is>
          <t/>
        </is>
      </c>
      <c r="K904" s="37" t="inlineStr">
        <is>
          <t/>
        </is>
      </c>
      <c r="L904" s="38" t="inlineStr">
        <is>
          <t/>
        </is>
      </c>
      <c r="M904" s="39" t="inlineStr">
        <is>
          <t/>
        </is>
      </c>
      <c r="N904" s="40" t="inlineStr">
        <is>
          <t/>
        </is>
      </c>
      <c r="O904" s="41" t="inlineStr">
        <is>
          <t/>
        </is>
      </c>
      <c r="P904" s="42" t="inlineStr">
        <is>
          <t/>
        </is>
      </c>
      <c r="Q904" s="43" t="inlineStr">
        <is>
          <t/>
        </is>
      </c>
      <c r="R904" s="44" t="inlineStr">
        <is>
          <t/>
        </is>
      </c>
    </row>
    <row r="905">
      <c r="A905" s="9" t="inlineStr">
        <is>
          <t>121183-57</t>
        </is>
      </c>
      <c r="B905" s="10" t="inlineStr">
        <is>
          <t>Talksho</t>
        </is>
      </c>
      <c r="C905" s="11" t="n">
        <v>0.0</v>
      </c>
      <c r="D905" s="12" t="n">
        <v>0.08108108108108109</v>
      </c>
      <c r="E905" s="13" t="inlineStr">
        <is>
          <t/>
        </is>
      </c>
      <c r="F905" s="14" t="n">
        <v>3.0</v>
      </c>
      <c r="G905" s="15" t="inlineStr">
        <is>
          <t/>
        </is>
      </c>
      <c r="H905" s="16" t="inlineStr">
        <is>
          <t/>
        </is>
      </c>
      <c r="I905" s="17" t="n">
        <v>2.0</v>
      </c>
      <c r="J905" s="18" t="n">
        <v>0.21</v>
      </c>
      <c r="K905" s="19" t="inlineStr">
        <is>
          <t>Information Services (B2C)</t>
        </is>
      </c>
      <c r="L905" s="20" t="inlineStr">
        <is>
          <t>Developer of a conversation platform. The company's software is based on the television talk show models.</t>
        </is>
      </c>
      <c r="M905" s="21" t="inlineStr">
        <is>
          <t/>
        </is>
      </c>
      <c r="N905" s="22" t="inlineStr">
        <is>
          <t>Angel-Backed</t>
        </is>
      </c>
      <c r="O905" s="23" t="inlineStr">
        <is>
          <t>Privately Held (backing)</t>
        </is>
      </c>
      <c r="P905" s="24" t="inlineStr">
        <is>
          <t>Ventura, CA</t>
        </is>
      </c>
      <c r="Q905" s="25" t="inlineStr">
        <is>
          <t>www.talksho.com</t>
        </is>
      </c>
      <c r="R905" s="113">
        <f>HYPERLINK("https://my.pitchbook.com?c=121183-57", "View company online")</f>
      </c>
    </row>
    <row r="906">
      <c r="A906" s="27" t="inlineStr">
        <is>
          <t>162198-28</t>
        </is>
      </c>
      <c r="B906" s="28" t="inlineStr">
        <is>
          <t>Talk Therapy Psychology Center</t>
        </is>
      </c>
      <c r="C906" s="29" t="n">
        <v>0.0</v>
      </c>
      <c r="D906" s="30" t="n">
        <v>0.017391304347826087</v>
      </c>
      <c r="E906" s="31" t="inlineStr">
        <is>
          <t/>
        </is>
      </c>
      <c r="F906" s="32" t="inlineStr">
        <is>
          <t/>
        </is>
      </c>
      <c r="G906" s="33" t="n">
        <v>14.0</v>
      </c>
      <c r="H906" s="34" t="inlineStr">
        <is>
          <t/>
        </is>
      </c>
      <c r="I906" s="35" t="inlineStr">
        <is>
          <t/>
        </is>
      </c>
      <c r="J906" s="36" t="n">
        <v>0.01</v>
      </c>
      <c r="K906" s="37" t="inlineStr">
        <is>
          <t>Clinics/Outpatient Services</t>
        </is>
      </c>
      <c r="L906" s="38" t="inlineStr">
        <is>
          <t>Operator of an addiction treatment clinic. The company operates a clinic for offering individual, couple and family therapies to treat addiction and mental illness of people.</t>
        </is>
      </c>
      <c r="M906" s="39" t="inlineStr">
        <is>
          <t/>
        </is>
      </c>
      <c r="N906" s="40" t="inlineStr">
        <is>
          <t>Angel-Backed</t>
        </is>
      </c>
      <c r="O906" s="41" t="inlineStr">
        <is>
          <t>Privately Held (backing)</t>
        </is>
      </c>
      <c r="P906" s="42" t="inlineStr">
        <is>
          <t>San Diego, CA</t>
        </is>
      </c>
      <c r="Q906" s="43" t="inlineStr">
        <is>
          <t>www.talktherapycenter.com</t>
        </is>
      </c>
      <c r="R906" s="114">
        <f>HYPERLINK("https://my.pitchbook.com?c=162198-28", "View company online")</f>
      </c>
    </row>
    <row r="907">
      <c r="A907" s="9" t="inlineStr">
        <is>
          <t>171690-22</t>
        </is>
      </c>
      <c r="B907" s="10" t="inlineStr">
        <is>
          <t>Talespin</t>
        </is>
      </c>
      <c r="C907" s="85">
        <f>HYPERLINK("https://my.pitchbook.com?rrp=171690-22&amp;type=c", "This Company's information is not available to download. Need this Company? Request availability")</f>
      </c>
      <c r="D907" s="12" t="inlineStr">
        <is>
          <t/>
        </is>
      </c>
      <c r="E907" s="13" t="inlineStr">
        <is>
          <t/>
        </is>
      </c>
      <c r="F907" s="14" t="inlineStr">
        <is>
          <t/>
        </is>
      </c>
      <c r="G907" s="15" t="inlineStr">
        <is>
          <t/>
        </is>
      </c>
      <c r="H907" s="16" t="inlineStr">
        <is>
          <t/>
        </is>
      </c>
      <c r="I907" s="17" t="inlineStr">
        <is>
          <t/>
        </is>
      </c>
      <c r="J907" s="18" t="inlineStr">
        <is>
          <t/>
        </is>
      </c>
      <c r="K907" s="19" t="inlineStr">
        <is>
          <t/>
        </is>
      </c>
      <c r="L907" s="20" t="inlineStr">
        <is>
          <t/>
        </is>
      </c>
      <c r="M907" s="21" t="inlineStr">
        <is>
          <t/>
        </is>
      </c>
      <c r="N907" s="22" t="inlineStr">
        <is>
          <t/>
        </is>
      </c>
      <c r="O907" s="23" t="inlineStr">
        <is>
          <t/>
        </is>
      </c>
      <c r="P907" s="24" t="inlineStr">
        <is>
          <t/>
        </is>
      </c>
      <c r="Q907" s="25" t="inlineStr">
        <is>
          <t/>
        </is>
      </c>
      <c r="R907" s="26" t="inlineStr">
        <is>
          <t/>
        </is>
      </c>
    </row>
    <row r="908">
      <c r="A908" s="27" t="inlineStr">
        <is>
          <t>62589-16</t>
        </is>
      </c>
      <c r="B908" s="28" t="inlineStr">
        <is>
          <t>TalentSky</t>
        </is>
      </c>
      <c r="C908" s="29" t="n">
        <v>0.4078611232247783</v>
      </c>
      <c r="D908" s="30" t="n">
        <v>1.9119147914100014</v>
      </c>
      <c r="E908" s="31" t="inlineStr">
        <is>
          <t/>
        </is>
      </c>
      <c r="F908" s="32" t="n">
        <v>102.0</v>
      </c>
      <c r="G908" s="33" t="n">
        <v>74.0</v>
      </c>
      <c r="H908" s="34" t="n">
        <v>588.0</v>
      </c>
      <c r="I908" s="35" t="n">
        <v>17.0</v>
      </c>
      <c r="J908" s="36" t="n">
        <v>13.98</v>
      </c>
      <c r="K908" s="37" t="inlineStr">
        <is>
          <t>Education and Training Services (B2B)</t>
        </is>
      </c>
      <c r="L908" s="38" t="inlineStr">
        <is>
          <t>Developer of an application that helps enterprises to acquire talents. The company develops a talent acquisition system which offers recruitment services, user training, rotation programs, talent watch services, and competitor build services.</t>
        </is>
      </c>
      <c r="M908" s="39" t="inlineStr">
        <is>
          <t>The Angels' Forum</t>
        </is>
      </c>
      <c r="N908" s="40" t="inlineStr">
        <is>
          <t>Angel-Backed</t>
        </is>
      </c>
      <c r="O908" s="41" t="inlineStr">
        <is>
          <t>Privately Held (backing)</t>
        </is>
      </c>
      <c r="P908" s="42" t="inlineStr">
        <is>
          <t>Redwood City, CA</t>
        </is>
      </c>
      <c r="Q908" s="43" t="inlineStr">
        <is>
          <t>www.talentsky.com</t>
        </is>
      </c>
      <c r="R908" s="114">
        <f>HYPERLINK("https://my.pitchbook.com?c=62589-16", "View company online")</f>
      </c>
    </row>
    <row r="909">
      <c r="A909" s="9" t="inlineStr">
        <is>
          <t>121654-90</t>
        </is>
      </c>
      <c r="B909" s="10" t="inlineStr">
        <is>
          <t>TalentSity</t>
        </is>
      </c>
      <c r="C909" s="85">
        <f>HYPERLINK("https://my.pitchbook.com?rrp=121654-90&amp;type=c", "This Company's information is not available to download. Need this Company? Request availability")</f>
      </c>
      <c r="D909" s="12" t="inlineStr">
        <is>
          <t/>
        </is>
      </c>
      <c r="E909" s="13" t="inlineStr">
        <is>
          <t/>
        </is>
      </c>
      <c r="F909" s="14" t="inlineStr">
        <is>
          <t/>
        </is>
      </c>
      <c r="G909" s="15" t="inlineStr">
        <is>
          <t/>
        </is>
      </c>
      <c r="H909" s="16" t="inlineStr">
        <is>
          <t/>
        </is>
      </c>
      <c r="I909" s="17" t="inlineStr">
        <is>
          <t/>
        </is>
      </c>
      <c r="J909" s="18" t="inlineStr">
        <is>
          <t/>
        </is>
      </c>
      <c r="K909" s="19" t="inlineStr">
        <is>
          <t/>
        </is>
      </c>
      <c r="L909" s="20" t="inlineStr">
        <is>
          <t/>
        </is>
      </c>
      <c r="M909" s="21" t="inlineStr">
        <is>
          <t/>
        </is>
      </c>
      <c r="N909" s="22" t="inlineStr">
        <is>
          <t/>
        </is>
      </c>
      <c r="O909" s="23" t="inlineStr">
        <is>
          <t/>
        </is>
      </c>
      <c r="P909" s="24" t="inlineStr">
        <is>
          <t/>
        </is>
      </c>
      <c r="Q909" s="25" t="inlineStr">
        <is>
          <t/>
        </is>
      </c>
      <c r="R909" s="26" t="inlineStr">
        <is>
          <t/>
        </is>
      </c>
    </row>
    <row r="910">
      <c r="A910" s="27" t="inlineStr">
        <is>
          <t>177276-70</t>
        </is>
      </c>
      <c r="B910" s="28" t="inlineStr">
        <is>
          <t>TalentSeer</t>
        </is>
      </c>
      <c r="C910" s="86">
        <f>HYPERLINK("https://my.pitchbook.com?rrp=177276-70&amp;type=c", "This Company's information is not available to download. Need this Company? Request availability")</f>
      </c>
      <c r="D910" s="30" t="inlineStr">
        <is>
          <t/>
        </is>
      </c>
      <c r="E910" s="31" t="inlineStr">
        <is>
          <t/>
        </is>
      </c>
      <c r="F910" s="32" t="inlineStr">
        <is>
          <t/>
        </is>
      </c>
      <c r="G910" s="33" t="inlineStr">
        <is>
          <t/>
        </is>
      </c>
      <c r="H910" s="34" t="inlineStr">
        <is>
          <t/>
        </is>
      </c>
      <c r="I910" s="35" t="inlineStr">
        <is>
          <t/>
        </is>
      </c>
      <c r="J910" s="36" t="inlineStr">
        <is>
          <t/>
        </is>
      </c>
      <c r="K910" s="37" t="inlineStr">
        <is>
          <t/>
        </is>
      </c>
      <c r="L910" s="38" t="inlineStr">
        <is>
          <t/>
        </is>
      </c>
      <c r="M910" s="39" t="inlineStr">
        <is>
          <t/>
        </is>
      </c>
      <c r="N910" s="40" t="inlineStr">
        <is>
          <t/>
        </is>
      </c>
      <c r="O910" s="41" t="inlineStr">
        <is>
          <t/>
        </is>
      </c>
      <c r="P910" s="42" t="inlineStr">
        <is>
          <t/>
        </is>
      </c>
      <c r="Q910" s="43" t="inlineStr">
        <is>
          <t/>
        </is>
      </c>
      <c r="R910" s="44" t="inlineStr">
        <is>
          <t/>
        </is>
      </c>
    </row>
    <row r="911">
      <c r="A911" s="9" t="inlineStr">
        <is>
          <t>66031-30</t>
        </is>
      </c>
      <c r="B911" s="10" t="inlineStr">
        <is>
          <t>Talentoday</t>
        </is>
      </c>
      <c r="C911" s="11" t="n">
        <v>0.4796508945819152</v>
      </c>
      <c r="D911" s="12" t="n">
        <v>5.525559589487372</v>
      </c>
      <c r="E911" s="13" t="inlineStr">
        <is>
          <t/>
        </is>
      </c>
      <c r="F911" s="14" t="n">
        <v>254.0</v>
      </c>
      <c r="G911" s="15" t="n">
        <v>3489.0</v>
      </c>
      <c r="H911" s="16" t="n">
        <v>1409.0</v>
      </c>
      <c r="I911" s="17" t="n">
        <v>9.0</v>
      </c>
      <c r="J911" s="18" t="n">
        <v>4.92</v>
      </c>
      <c r="K911" s="19" t="inlineStr">
        <is>
          <t>Application Software</t>
        </is>
      </c>
      <c r="L911" s="20" t="inlineStr">
        <is>
          <t>Developer of a social and data-driven career guidance application. The company provides a free assessment for individuals and a cloud-based framework for career and human resource experts optimize job placement.</t>
        </is>
      </c>
      <c r="M911" s="21" t="inlineStr">
        <is>
          <t>Adecco Group, Gerard Brossard, Herve Goguely, Nicolas Draca, Paris Incubateurs</t>
        </is>
      </c>
      <c r="N911" s="22" t="inlineStr">
        <is>
          <t>Angel-Backed</t>
        </is>
      </c>
      <c r="O911" s="23" t="inlineStr">
        <is>
          <t>Privately Held (backing)</t>
        </is>
      </c>
      <c r="P911" s="24" t="inlineStr">
        <is>
          <t>San Francisco, CA</t>
        </is>
      </c>
      <c r="Q911" s="25" t="inlineStr">
        <is>
          <t>www.talentoday.com</t>
        </is>
      </c>
      <c r="R911" s="113">
        <f>HYPERLINK("https://my.pitchbook.com?c=66031-30", "View company online")</f>
      </c>
    </row>
    <row r="912">
      <c r="A912" s="27" t="inlineStr">
        <is>
          <t>94184-56</t>
        </is>
      </c>
      <c r="B912" s="28" t="inlineStr">
        <is>
          <t>TalentEarth</t>
        </is>
      </c>
      <c r="C912" s="29" t="n">
        <v>-0.010543184885290269</v>
      </c>
      <c r="D912" s="30" t="n">
        <v>0.2716662920421211</v>
      </c>
      <c r="E912" s="31" t="inlineStr">
        <is>
          <t/>
        </is>
      </c>
      <c r="F912" s="32" t="n">
        <v>14.0</v>
      </c>
      <c r="G912" s="33" t="n">
        <v>211.0</v>
      </c>
      <c r="H912" s="34" t="n">
        <v>24.0</v>
      </c>
      <c r="I912" s="35" t="n">
        <v>11.0</v>
      </c>
      <c r="J912" s="36" t="n">
        <v>0.75</v>
      </c>
      <c r="K912" s="37" t="inlineStr">
        <is>
          <t>Human Capital Services</t>
        </is>
      </c>
      <c r="L912" s="38" t="inlineStr">
        <is>
          <t>Provider and developer of an online employment networking platform. The comapny provides a platform to create resume and helps individuals to connect with businesses thus providing individuals to get connected with work opportunities in their communities.</t>
        </is>
      </c>
      <c r="M912" s="39" t="inlineStr">
        <is>
          <t/>
        </is>
      </c>
      <c r="N912" s="40" t="inlineStr">
        <is>
          <t>Angel-Backed</t>
        </is>
      </c>
      <c r="O912" s="41" t="inlineStr">
        <is>
          <t>Privately Held (backing)</t>
        </is>
      </c>
      <c r="P912" s="42" t="inlineStr">
        <is>
          <t>Folsom, CA</t>
        </is>
      </c>
      <c r="Q912" s="43" t="inlineStr">
        <is>
          <t>www.talentearth.com</t>
        </is>
      </c>
      <c r="R912" s="114">
        <f>HYPERLINK("https://my.pitchbook.com?c=94184-56", "View company online")</f>
      </c>
    </row>
    <row r="913">
      <c r="A913" s="9" t="inlineStr">
        <is>
          <t>176416-57</t>
        </is>
      </c>
      <c r="B913" s="10" t="inlineStr">
        <is>
          <t>Talent Writers</t>
        </is>
      </c>
      <c r="C913" s="85">
        <f>HYPERLINK("https://my.pitchbook.com?rrp=176416-57&amp;type=c", "This Company's information is not available to download. Need this Company? Request availability")</f>
      </c>
      <c r="D913" s="12" t="inlineStr">
        <is>
          <t/>
        </is>
      </c>
      <c r="E913" s="13" t="inlineStr">
        <is>
          <t/>
        </is>
      </c>
      <c r="F913" s="14" t="inlineStr">
        <is>
          <t/>
        </is>
      </c>
      <c r="G913" s="15" t="inlineStr">
        <is>
          <t/>
        </is>
      </c>
      <c r="H913" s="16" t="inlineStr">
        <is>
          <t/>
        </is>
      </c>
      <c r="I913" s="17" t="inlineStr">
        <is>
          <t/>
        </is>
      </c>
      <c r="J913" s="18" t="inlineStr">
        <is>
          <t/>
        </is>
      </c>
      <c r="K913" s="19" t="inlineStr">
        <is>
          <t/>
        </is>
      </c>
      <c r="L913" s="20" t="inlineStr">
        <is>
          <t/>
        </is>
      </c>
      <c r="M913" s="21" t="inlineStr">
        <is>
          <t/>
        </is>
      </c>
      <c r="N913" s="22" t="inlineStr">
        <is>
          <t/>
        </is>
      </c>
      <c r="O913" s="23" t="inlineStr">
        <is>
          <t/>
        </is>
      </c>
      <c r="P913" s="24" t="inlineStr">
        <is>
          <t/>
        </is>
      </c>
      <c r="Q913" s="25" t="inlineStr">
        <is>
          <t/>
        </is>
      </c>
      <c r="R913" s="26" t="inlineStr">
        <is>
          <t/>
        </is>
      </c>
    </row>
    <row r="914">
      <c r="A914" s="27" t="inlineStr">
        <is>
          <t>151281-01</t>
        </is>
      </c>
      <c r="B914" s="28" t="inlineStr">
        <is>
          <t>Talent Rover</t>
        </is>
      </c>
      <c r="C914" s="29" t="n">
        <v>0.5901677619902512</v>
      </c>
      <c r="D914" s="30" t="n">
        <v>6.665653781479131</v>
      </c>
      <c r="E914" s="31" t="inlineStr">
        <is>
          <t/>
        </is>
      </c>
      <c r="F914" s="32" t="n">
        <v>108.0</v>
      </c>
      <c r="G914" s="33" t="n">
        <v>13863.0</v>
      </c>
      <c r="H914" s="34" t="n">
        <v>1262.0</v>
      </c>
      <c r="I914" s="35" t="inlineStr">
        <is>
          <t/>
        </is>
      </c>
      <c r="J914" s="36" t="n">
        <v>12.5</v>
      </c>
      <c r="K914" s="37" t="inlineStr">
        <is>
          <t>Social/Platform Software</t>
        </is>
      </c>
      <c r="L914" s="38" t="inlineStr">
        <is>
          <t>Provider of a platform for staffing and recruitment industry. The company's platform offers a mobile, cloud-based software that integrates social media and combines a robust applicant tracking system, human resource &amp; benefits administration and online time sheets.</t>
        </is>
      </c>
      <c r="M914" s="39" t="inlineStr">
        <is>
          <t/>
        </is>
      </c>
      <c r="N914" s="40" t="inlineStr">
        <is>
          <t>Angel-Backed</t>
        </is>
      </c>
      <c r="O914" s="41" t="inlineStr">
        <is>
          <t>Privately Held (backing)</t>
        </is>
      </c>
      <c r="P914" s="42" t="inlineStr">
        <is>
          <t>San Francisco, CA</t>
        </is>
      </c>
      <c r="Q914" s="43" t="inlineStr">
        <is>
          <t>www.talentrover.com</t>
        </is>
      </c>
      <c r="R914" s="114">
        <f>HYPERLINK("https://my.pitchbook.com?c=151281-01", "View company online")</f>
      </c>
    </row>
    <row r="915">
      <c r="A915" s="9" t="inlineStr">
        <is>
          <t>56341-54</t>
        </is>
      </c>
      <c r="B915" s="10" t="inlineStr">
        <is>
          <t>Talei</t>
        </is>
      </c>
      <c r="C915" s="11" t="n">
        <v>0.0</v>
      </c>
      <c r="D915" s="12" t="n">
        <v>0.5945945945945946</v>
      </c>
      <c r="E915" s="13" t="inlineStr">
        <is>
          <t/>
        </is>
      </c>
      <c r="F915" s="14" t="n">
        <v>22.0</v>
      </c>
      <c r="G915" s="15" t="inlineStr">
        <is>
          <t/>
        </is>
      </c>
      <c r="H915" s="16" t="inlineStr">
        <is>
          <t/>
        </is>
      </c>
      <c r="I915" s="17" t="inlineStr">
        <is>
          <t/>
        </is>
      </c>
      <c r="J915" s="18" t="n">
        <v>0.3</v>
      </c>
      <c r="K915" s="19" t="inlineStr">
        <is>
          <t>Other Services (B2C Non-Financial)</t>
        </is>
      </c>
      <c r="L915" s="20" t="inlineStr">
        <is>
          <t>Provider of online job portal for school &amp; college students. The company allows individuals and businesses to hire high school and college students for freelance work.</t>
        </is>
      </c>
      <c r="M915" s="21" t="inlineStr">
        <is>
          <t>Individual Investor</t>
        </is>
      </c>
      <c r="N915" s="22" t="inlineStr">
        <is>
          <t>Angel-Backed</t>
        </is>
      </c>
      <c r="O915" s="23" t="inlineStr">
        <is>
          <t>Privately Held (backing)</t>
        </is>
      </c>
      <c r="P915" s="24" t="inlineStr">
        <is>
          <t>Los Angeles, CA</t>
        </is>
      </c>
      <c r="Q915" s="25" t="inlineStr">
        <is>
          <t>www.studentfreelance.com</t>
        </is>
      </c>
      <c r="R915" s="113">
        <f>HYPERLINK("https://my.pitchbook.com?c=56341-54", "View company online")</f>
      </c>
    </row>
    <row r="916">
      <c r="A916" s="27" t="inlineStr">
        <is>
          <t>166933-09</t>
        </is>
      </c>
      <c r="B916" s="28" t="inlineStr">
        <is>
          <t>Tala Security</t>
        </is>
      </c>
      <c r="C916" s="29" t="inlineStr">
        <is>
          <t/>
        </is>
      </c>
      <c r="D916" s="30" t="inlineStr">
        <is>
          <t/>
        </is>
      </c>
      <c r="E916" s="31" t="inlineStr">
        <is>
          <t/>
        </is>
      </c>
      <c r="F916" s="32" t="inlineStr">
        <is>
          <t/>
        </is>
      </c>
      <c r="G916" s="33" t="inlineStr">
        <is>
          <t/>
        </is>
      </c>
      <c r="H916" s="34" t="inlineStr">
        <is>
          <t/>
        </is>
      </c>
      <c r="I916" s="35" t="inlineStr">
        <is>
          <t/>
        </is>
      </c>
      <c r="J916" s="36" t="inlineStr">
        <is>
          <t/>
        </is>
      </c>
      <c r="K916" s="37" t="inlineStr">
        <is>
          <t>Other Business Products and Services</t>
        </is>
      </c>
      <c r="L916" s="38" t="inlineStr">
        <is>
          <t>The company is currently operating in Stealth mode.</t>
        </is>
      </c>
      <c r="M916" s="39" t="inlineStr">
        <is>
          <t/>
        </is>
      </c>
      <c r="N916" s="40" t="inlineStr">
        <is>
          <t>Angel-Backed</t>
        </is>
      </c>
      <c r="O916" s="41" t="inlineStr">
        <is>
          <t>Privately Held (backing)</t>
        </is>
      </c>
      <c r="P916" s="42" t="inlineStr">
        <is>
          <t>Fremont, CA</t>
        </is>
      </c>
      <c r="Q916" s="43" t="inlineStr">
        <is>
          <t>www.talasecurity.com</t>
        </is>
      </c>
      <c r="R916" s="114">
        <f>HYPERLINK("https://my.pitchbook.com?c=166933-09", "View company online")</f>
      </c>
    </row>
    <row r="917">
      <c r="A917" s="9" t="inlineStr">
        <is>
          <t>88737-85</t>
        </is>
      </c>
      <c r="B917" s="10" t="inlineStr">
        <is>
          <t>Tailored Games</t>
        </is>
      </c>
      <c r="C917" s="11" t="n">
        <v>0.0</v>
      </c>
      <c r="D917" s="12" t="n">
        <v>0.08657013682805872</v>
      </c>
      <c r="E917" s="13" t="inlineStr">
        <is>
          <t/>
        </is>
      </c>
      <c r="F917" s="14" t="n">
        <v>2.0</v>
      </c>
      <c r="G917" s="15" t="n">
        <v>28.0</v>
      </c>
      <c r="H917" s="16" t="n">
        <v>72.0</v>
      </c>
      <c r="I917" s="17" t="inlineStr">
        <is>
          <t/>
        </is>
      </c>
      <c r="J917" s="18" t="n">
        <v>0.25</v>
      </c>
      <c r="K917" s="19" t="inlineStr">
        <is>
          <t>Entertainment Software</t>
        </is>
      </c>
      <c r="L917" s="20" t="inlineStr">
        <is>
          <t>Provider of products and services for developing games. The company's website helps in creating sports games for its users.</t>
        </is>
      </c>
      <c r="M917" s="21" t="inlineStr">
        <is>
          <t/>
        </is>
      </c>
      <c r="N917" s="22" t="inlineStr">
        <is>
          <t>Angel-Backed</t>
        </is>
      </c>
      <c r="O917" s="23" t="inlineStr">
        <is>
          <t>Privately Held (backing)</t>
        </is>
      </c>
      <c r="P917" s="24" t="inlineStr">
        <is>
          <t>Marina del Rey, CA</t>
        </is>
      </c>
      <c r="Q917" s="25" t="inlineStr">
        <is>
          <t>www.tailoredgames.com</t>
        </is>
      </c>
      <c r="R917" s="113">
        <f>HYPERLINK("https://my.pitchbook.com?c=88737-85", "View company online")</f>
      </c>
    </row>
    <row r="918">
      <c r="A918" s="27" t="inlineStr">
        <is>
          <t>87397-03</t>
        </is>
      </c>
      <c r="B918" s="28" t="inlineStr">
        <is>
          <t>Tailio</t>
        </is>
      </c>
      <c r="C918" s="29" t="n">
        <v>-0.007364134543412156</v>
      </c>
      <c r="D918" s="30" t="n">
        <v>1.0307064091146625</v>
      </c>
      <c r="E918" s="31" t="inlineStr">
        <is>
          <t/>
        </is>
      </c>
      <c r="F918" s="32" t="n">
        <v>11.0</v>
      </c>
      <c r="G918" s="33" t="n">
        <v>1635.0</v>
      </c>
      <c r="H918" s="34" t="n">
        <v>531.0</v>
      </c>
      <c r="I918" s="35" t="inlineStr">
        <is>
          <t/>
        </is>
      </c>
      <c r="J918" s="36" t="n">
        <v>0.41</v>
      </c>
      <c r="K918" s="37" t="inlineStr">
        <is>
          <t>Electronics (B2C)</t>
        </is>
      </c>
      <c r="L918" s="38" t="inlineStr">
        <is>
          <t>Provider of a pet health and wellness monitoring platform created to offer insights on animal health and welfare. The company's platform uses pet friendly sensing devices, cloud-based data analytics and a mobile application to offer seamless proactive monitoring and insights enabling pet owners and veterinarians to detect diseases early.</t>
        </is>
      </c>
      <c r="M918" s="39" t="inlineStr">
        <is>
          <t>Bob Kain, EvoNexus, StartR</t>
        </is>
      </c>
      <c r="N918" s="40" t="inlineStr">
        <is>
          <t>Accelerator/Incubator Backed</t>
        </is>
      </c>
      <c r="O918" s="41" t="inlineStr">
        <is>
          <t>Privately Held (backing)</t>
        </is>
      </c>
      <c r="P918" s="42" t="inlineStr">
        <is>
          <t>San Diego, CA</t>
        </is>
      </c>
      <c r="Q918" s="43" t="inlineStr">
        <is>
          <t>www.tailio.com</t>
        </is>
      </c>
      <c r="R918" s="114">
        <f>HYPERLINK("https://my.pitchbook.com?c=87397-03", "View company online")</f>
      </c>
    </row>
    <row r="919">
      <c r="A919" s="9" t="inlineStr">
        <is>
          <t>110739-70</t>
        </is>
      </c>
      <c r="B919" s="10" t="inlineStr">
        <is>
          <t>Tahoe Spirits</t>
        </is>
      </c>
      <c r="C919" s="11" t="n">
        <v>0.0</v>
      </c>
      <c r="D919" s="12" t="n">
        <v>1.3783783783783783</v>
      </c>
      <c r="E919" s="13" t="inlineStr">
        <is>
          <t/>
        </is>
      </c>
      <c r="F919" s="14" t="n">
        <v>51.0</v>
      </c>
      <c r="G919" s="15" t="inlineStr">
        <is>
          <t/>
        </is>
      </c>
      <c r="H919" s="16" t="inlineStr">
        <is>
          <t/>
        </is>
      </c>
      <c r="I919" s="17" t="inlineStr">
        <is>
          <t/>
        </is>
      </c>
      <c r="J919" s="18" t="n">
        <v>1.41</v>
      </c>
      <c r="K919" s="19" t="inlineStr">
        <is>
          <t>Beverages</t>
        </is>
      </c>
      <c r="L919" s="20" t="inlineStr">
        <is>
          <t>Producer and seller of vodka. The company produces and sells vodka named Tahoe Blue Vodka which is made from original blend, 2 parts sugarcane, 1 part grape and 1 part grain and is based in South Lake Tahoe, California.</t>
        </is>
      </c>
      <c r="M919" s="21" t="inlineStr">
        <is>
          <t/>
        </is>
      </c>
      <c r="N919" s="22" t="inlineStr">
        <is>
          <t>Angel-Backed</t>
        </is>
      </c>
      <c r="O919" s="23" t="inlineStr">
        <is>
          <t>Privately Held (backing)</t>
        </is>
      </c>
      <c r="P919" s="24" t="inlineStr">
        <is>
          <t>South Lake Tahoe, CA</t>
        </is>
      </c>
      <c r="Q919" s="25" t="inlineStr">
        <is>
          <t>www.tahoebluevodka.com</t>
        </is>
      </c>
      <c r="R919" s="113">
        <f>HYPERLINK("https://my.pitchbook.com?c=110739-70", "View company online")</f>
      </c>
    </row>
    <row r="920">
      <c r="A920" s="27" t="inlineStr">
        <is>
          <t>89908-30</t>
        </is>
      </c>
      <c r="B920" s="28" t="inlineStr">
        <is>
          <t>Tahlent</t>
        </is>
      </c>
      <c r="C920" s="29" t="n">
        <v>0.036098411950721096</v>
      </c>
      <c r="D920" s="30" t="n">
        <v>4.909390936362197</v>
      </c>
      <c r="E920" s="31" t="inlineStr">
        <is>
          <t/>
        </is>
      </c>
      <c r="F920" s="32" t="n">
        <v>90.0</v>
      </c>
      <c r="G920" s="33" t="n">
        <v>98.0</v>
      </c>
      <c r="H920" s="34" t="n">
        <v>5181.0</v>
      </c>
      <c r="I920" s="35" t="n">
        <v>7.0</v>
      </c>
      <c r="J920" s="36" t="n">
        <v>0.15</v>
      </c>
      <c r="K920" s="37" t="inlineStr">
        <is>
          <t>Business/Productivity Software</t>
        </is>
      </c>
      <c r="L920" s="38" t="inlineStr">
        <is>
          <t>Provider of a subscription based sourcing platform. The company searches a range of social platforms to identify, match and rank candidates for recruiters, and then uses the social networks of employees to connect, reference check and refer these candidates for hiring. It also helps in broadcasting jobs through social networks.</t>
        </is>
      </c>
      <c r="M920" s="39" t="inlineStr">
        <is>
          <t/>
        </is>
      </c>
      <c r="N920" s="40" t="inlineStr">
        <is>
          <t>Angel-Backed</t>
        </is>
      </c>
      <c r="O920" s="41" t="inlineStr">
        <is>
          <t>Privately Held (backing)</t>
        </is>
      </c>
      <c r="P920" s="42" t="inlineStr">
        <is>
          <t>San Francisco, CA</t>
        </is>
      </c>
      <c r="Q920" s="43" t="inlineStr">
        <is>
          <t>www.swooptalent.com</t>
        </is>
      </c>
      <c r="R920" s="114">
        <f>HYPERLINK("https://my.pitchbook.com?c=89908-30", "View company online")</f>
      </c>
    </row>
    <row r="921">
      <c r="A921" s="9" t="inlineStr">
        <is>
          <t>168339-79</t>
        </is>
      </c>
      <c r="B921" s="10" t="inlineStr">
        <is>
          <t>Tagove</t>
        </is>
      </c>
      <c r="C921" s="11" t="n">
        <v>1.482504637234535</v>
      </c>
      <c r="D921" s="12" t="n">
        <v>6.75485544234623</v>
      </c>
      <c r="E921" s="13" t="inlineStr">
        <is>
          <t/>
        </is>
      </c>
      <c r="F921" s="14" t="n">
        <v>416.0</v>
      </c>
      <c r="G921" s="15" t="n">
        <v>366.0</v>
      </c>
      <c r="H921" s="16" t="n">
        <v>1401.0</v>
      </c>
      <c r="I921" s="17" t="inlineStr">
        <is>
          <t/>
        </is>
      </c>
      <c r="J921" s="18" t="n">
        <v>0.15</v>
      </c>
      <c r="K921" s="19" t="inlineStr">
        <is>
          <t>Social/Platform Software</t>
        </is>
      </c>
      <c r="L921" s="20" t="inlineStr">
        <is>
          <t>Provider of an online live communication platform. The company's virtual interaction platform allows marketing managers to communicate face-to-face with customers through live video chats and voice calls.</t>
        </is>
      </c>
      <c r="M921" s="21" t="inlineStr">
        <is>
          <t>500 Startups, NTT Leasing Capital</t>
        </is>
      </c>
      <c r="N921" s="22" t="inlineStr">
        <is>
          <t>Accelerator/Incubator Backed</t>
        </is>
      </c>
      <c r="O921" s="23" t="inlineStr">
        <is>
          <t>Privately Held (backing)</t>
        </is>
      </c>
      <c r="P921" s="24" t="inlineStr">
        <is>
          <t>San Francisco, CA</t>
        </is>
      </c>
      <c r="Q921" s="25" t="inlineStr">
        <is>
          <t>www.tagove.com</t>
        </is>
      </c>
      <c r="R921" s="113">
        <f>HYPERLINK("https://my.pitchbook.com?c=168339-79", "View company online")</f>
      </c>
    </row>
    <row r="922">
      <c r="A922" s="27" t="inlineStr">
        <is>
          <t>115405-66</t>
        </is>
      </c>
      <c r="B922" s="28" t="inlineStr">
        <is>
          <t>Tagnos</t>
        </is>
      </c>
      <c r="C922" s="29" t="n">
        <v>0.0</v>
      </c>
      <c r="D922" s="30" t="n">
        <v>0.5405405405405406</v>
      </c>
      <c r="E922" s="31" t="inlineStr">
        <is>
          <t/>
        </is>
      </c>
      <c r="F922" s="32" t="n">
        <v>19.0</v>
      </c>
      <c r="G922" s="33" t="inlineStr">
        <is>
          <t/>
        </is>
      </c>
      <c r="H922" s="34" t="inlineStr">
        <is>
          <t/>
        </is>
      </c>
      <c r="I922" s="35" t="n">
        <v>11.0</v>
      </c>
      <c r="J922" s="36" t="n">
        <v>1.0</v>
      </c>
      <c r="K922" s="37" t="inlineStr">
        <is>
          <t>Other Healthcare Technology Systems</t>
        </is>
      </c>
      <c r="L922" s="38" t="inlineStr">
        <is>
          <t>Owner and operator of a company providing real-time location systems that track the status of patients, staff, and equipment within a hospital. The company provides services like patient flow system, helps in keeping track of patients through their treatment stages and diagnostic procedures as well as highlight bottlenecks in the process of care.</t>
        </is>
      </c>
      <c r="M922" s="39" t="inlineStr">
        <is>
          <t>Cisco Entrepreneurs in Residence, EvoNexus, Singapore Angel Network</t>
        </is>
      </c>
      <c r="N922" s="40" t="inlineStr">
        <is>
          <t>Accelerator/Incubator Backed</t>
        </is>
      </c>
      <c r="O922" s="41" t="inlineStr">
        <is>
          <t>Privately Held (backing)</t>
        </is>
      </c>
      <c r="P922" s="42" t="inlineStr">
        <is>
          <t>Irvine, CA</t>
        </is>
      </c>
      <c r="Q922" s="43" t="inlineStr">
        <is>
          <t>www.tagnos.com</t>
        </is>
      </c>
      <c r="R922" s="114">
        <f>HYPERLINK("https://my.pitchbook.com?c=115405-66", "View company online")</f>
      </c>
    </row>
    <row r="923">
      <c r="A923" s="9" t="inlineStr">
        <is>
          <t>98474-05</t>
        </is>
      </c>
      <c r="B923" s="10" t="inlineStr">
        <is>
          <t>Taggler</t>
        </is>
      </c>
      <c r="C923" s="11" t="n">
        <v>0.0</v>
      </c>
      <c r="D923" s="12" t="n">
        <v>0.15006107802717972</v>
      </c>
      <c r="E923" s="13" t="inlineStr">
        <is>
          <t/>
        </is>
      </c>
      <c r="F923" s="14" t="n">
        <v>11.0</v>
      </c>
      <c r="G923" s="15" t="inlineStr">
        <is>
          <t/>
        </is>
      </c>
      <c r="H923" s="16" t="n">
        <v>1.0</v>
      </c>
      <c r="I923" s="17" t="n">
        <v>31.0</v>
      </c>
      <c r="J923" s="18" t="n">
        <v>0.52</v>
      </c>
      <c r="K923" s="19" t="inlineStr">
        <is>
          <t>Other Apparel</t>
        </is>
      </c>
      <c r="L923" s="20" t="inlineStr">
        <is>
          <t>Operator of an apparel online platform. The company operates an online platform where customers post apparel printing jobs and local screen printers place competing quotes to win their order.</t>
        </is>
      </c>
      <c r="M923" s="21" t="inlineStr">
        <is>
          <t>Louis Lucido, USC Viterbi Startup Garage</t>
        </is>
      </c>
      <c r="N923" s="22" t="inlineStr">
        <is>
          <t>Accelerator/Incubator Backed</t>
        </is>
      </c>
      <c r="O923" s="23" t="inlineStr">
        <is>
          <t>Privately Held (backing)</t>
        </is>
      </c>
      <c r="P923" s="24" t="inlineStr">
        <is>
          <t>Los Angeles, CA</t>
        </is>
      </c>
      <c r="Q923" s="25" t="inlineStr">
        <is>
          <t>www.taggler.com</t>
        </is>
      </c>
      <c r="R923" s="113">
        <f>HYPERLINK("https://my.pitchbook.com?c=98474-05", "View company online")</f>
      </c>
    </row>
    <row r="924">
      <c r="A924" s="27" t="inlineStr">
        <is>
          <t>179057-08</t>
        </is>
      </c>
      <c r="B924" s="28" t="inlineStr">
        <is>
          <t>TagDat</t>
        </is>
      </c>
      <c r="C924" s="29" t="n">
        <v>0.016113809045519394</v>
      </c>
      <c r="D924" s="30" t="n">
        <v>1.938642664140085</v>
      </c>
      <c r="E924" s="31" t="inlineStr">
        <is>
          <t/>
        </is>
      </c>
      <c r="F924" s="32" t="inlineStr">
        <is>
          <t/>
        </is>
      </c>
      <c r="G924" s="33" t="n">
        <v>2580.0</v>
      </c>
      <c r="H924" s="34" t="n">
        <v>237.0</v>
      </c>
      <c r="I924" s="35" t="inlineStr">
        <is>
          <t/>
        </is>
      </c>
      <c r="J924" s="36" t="n">
        <v>0.28</v>
      </c>
      <c r="K924" s="37" t="inlineStr">
        <is>
          <t>Application Software</t>
        </is>
      </c>
      <c r="L924" s="38" t="inlineStr">
        <is>
          <t>Developer of a restaurant review and search application designed to help small startups to rise up and get noticed. The company's restaurant review and search application uses machine learning, big data and augmented visualization for processing reviews to generate results, enabling users to receive compatible results as per personal needs.</t>
        </is>
      </c>
      <c r="M924" s="39" t="inlineStr">
        <is>
          <t>Shanghai Man Feng Asset Management Company</t>
        </is>
      </c>
      <c r="N924" s="40" t="inlineStr">
        <is>
          <t>Angel-Backed</t>
        </is>
      </c>
      <c r="O924" s="41" t="inlineStr">
        <is>
          <t>Privately Held (backing)</t>
        </is>
      </c>
      <c r="P924" s="42" t="inlineStr">
        <is>
          <t>Palo Alto, CA</t>
        </is>
      </c>
      <c r="Q924" s="43" t="inlineStr">
        <is>
          <t>www.tagdat.io</t>
        </is>
      </c>
      <c r="R924" s="114">
        <f>HYPERLINK("https://my.pitchbook.com?c=179057-08", "View company online")</f>
      </c>
    </row>
    <row r="925">
      <c r="A925" s="9" t="inlineStr">
        <is>
          <t>169573-06</t>
        </is>
      </c>
      <c r="B925" s="10" t="inlineStr">
        <is>
          <t>Tactus Dynamics</t>
        </is>
      </c>
      <c r="C925" s="11" t="inlineStr">
        <is>
          <t/>
        </is>
      </c>
      <c r="D925" s="12" t="inlineStr">
        <is>
          <t/>
        </is>
      </c>
      <c r="E925" s="13" t="inlineStr">
        <is>
          <t/>
        </is>
      </c>
      <c r="F925" s="14" t="inlineStr">
        <is>
          <t/>
        </is>
      </c>
      <c r="G925" s="15" t="inlineStr">
        <is>
          <t/>
        </is>
      </c>
      <c r="H925" s="16" t="inlineStr">
        <is>
          <t/>
        </is>
      </c>
      <c r="I925" s="17" t="inlineStr">
        <is>
          <t/>
        </is>
      </c>
      <c r="J925" s="18" t="inlineStr">
        <is>
          <t/>
        </is>
      </c>
      <c r="K925" s="19" t="inlineStr">
        <is>
          <t>Entertainment Software</t>
        </is>
      </c>
      <c r="L925" s="20" t="inlineStr">
        <is>
          <t>Developer of virtual reality and augmented reality devices. The company designs and develops virtual reality and augmented reality devices for video and online gaming purposes.</t>
        </is>
      </c>
      <c r="M925" s="21" t="inlineStr">
        <is>
          <t>Chicostart</t>
        </is>
      </c>
      <c r="N925" s="22" t="inlineStr">
        <is>
          <t>Accelerator/Incubator Backed</t>
        </is>
      </c>
      <c r="O925" s="23" t="inlineStr">
        <is>
          <t>Privately Held (backing)</t>
        </is>
      </c>
      <c r="P925" s="24" t="inlineStr">
        <is>
          <t>Chico, CA</t>
        </is>
      </c>
      <c r="Q925" s="25" t="inlineStr">
        <is>
          <t/>
        </is>
      </c>
      <c r="R925" s="113">
        <f>HYPERLINK("https://my.pitchbook.com?c=169573-06", "View company online")</f>
      </c>
    </row>
    <row r="926">
      <c r="A926" s="27" t="inlineStr">
        <is>
          <t>172828-18</t>
        </is>
      </c>
      <c r="B926" s="28" t="inlineStr">
        <is>
          <t>Taction Enterprises</t>
        </is>
      </c>
      <c r="C926" s="86">
        <f>HYPERLINK("https://my.pitchbook.com?rrp=172828-18&amp;type=c", "This Company's information is not available to download. Need this Company? Request availability")</f>
      </c>
      <c r="D926" s="30" t="inlineStr">
        <is>
          <t/>
        </is>
      </c>
      <c r="E926" s="31" t="inlineStr">
        <is>
          <t/>
        </is>
      </c>
      <c r="F926" s="32" t="inlineStr">
        <is>
          <t/>
        </is>
      </c>
      <c r="G926" s="33" t="inlineStr">
        <is>
          <t/>
        </is>
      </c>
      <c r="H926" s="34" t="inlineStr">
        <is>
          <t/>
        </is>
      </c>
      <c r="I926" s="35" t="inlineStr">
        <is>
          <t/>
        </is>
      </c>
      <c r="J926" s="36" t="inlineStr">
        <is>
          <t/>
        </is>
      </c>
      <c r="K926" s="37" t="inlineStr">
        <is>
          <t/>
        </is>
      </c>
      <c r="L926" s="38" t="inlineStr">
        <is>
          <t/>
        </is>
      </c>
      <c r="M926" s="39" t="inlineStr">
        <is>
          <t/>
        </is>
      </c>
      <c r="N926" s="40" t="inlineStr">
        <is>
          <t/>
        </is>
      </c>
      <c r="O926" s="41" t="inlineStr">
        <is>
          <t/>
        </is>
      </c>
      <c r="P926" s="42" t="inlineStr">
        <is>
          <t/>
        </is>
      </c>
      <c r="Q926" s="43" t="inlineStr">
        <is>
          <t/>
        </is>
      </c>
      <c r="R926" s="44" t="inlineStr">
        <is>
          <t/>
        </is>
      </c>
    </row>
    <row r="927">
      <c r="A927" s="9" t="inlineStr">
        <is>
          <t>98940-79</t>
        </is>
      </c>
      <c r="B927" s="10" t="inlineStr">
        <is>
          <t>TacSense</t>
        </is>
      </c>
      <c r="C927" s="11" t="inlineStr">
        <is>
          <t/>
        </is>
      </c>
      <c r="D927" s="12" t="inlineStr">
        <is>
          <t/>
        </is>
      </c>
      <c r="E927" s="13" t="inlineStr">
        <is>
          <t/>
        </is>
      </c>
      <c r="F927" s="14" t="inlineStr">
        <is>
          <t/>
        </is>
      </c>
      <c r="G927" s="15" t="inlineStr">
        <is>
          <t/>
        </is>
      </c>
      <c r="H927" s="16" t="inlineStr">
        <is>
          <t/>
        </is>
      </c>
      <c r="I927" s="17" t="n">
        <v>10.0</v>
      </c>
      <c r="J927" s="18" t="inlineStr">
        <is>
          <t/>
        </is>
      </c>
      <c r="K927" s="19" t="inlineStr">
        <is>
          <t>Electronics (B2C)</t>
        </is>
      </c>
      <c r="L927" s="20" t="inlineStr">
        <is>
          <t>Developer of sensitive pressure sensor. The company specializes in developing flexible force and pressure sensors for medical devices, advanced robotics and wearable electronics.</t>
        </is>
      </c>
      <c r="M927" s="21" t="inlineStr">
        <is>
          <t>National Science Foundation</t>
        </is>
      </c>
      <c r="N927" s="22" t="inlineStr">
        <is>
          <t>Accelerator/Incubator Backed</t>
        </is>
      </c>
      <c r="O927" s="23" t="inlineStr">
        <is>
          <t>Privately Held (backing)</t>
        </is>
      </c>
      <c r="P927" s="24" t="inlineStr">
        <is>
          <t>Woodland, CA</t>
        </is>
      </c>
      <c r="Q927" s="25" t="inlineStr">
        <is>
          <t>www.tacsense.com</t>
        </is>
      </c>
      <c r="R927" s="113">
        <f>HYPERLINK("https://my.pitchbook.com?c=98940-79", "View company online")</f>
      </c>
    </row>
    <row r="928">
      <c r="A928" s="27" t="inlineStr">
        <is>
          <t>177413-32</t>
        </is>
      </c>
      <c r="B928" s="28" t="inlineStr">
        <is>
          <t>Tacsat Networks</t>
        </is>
      </c>
      <c r="C928" s="86">
        <f>HYPERLINK("https://my.pitchbook.com?rrp=177413-32&amp;type=c", "This Company's information is not available to download. Need this Company? Request availability")</f>
      </c>
      <c r="D928" s="30" t="inlineStr">
        <is>
          <t/>
        </is>
      </c>
      <c r="E928" s="31" t="inlineStr">
        <is>
          <t/>
        </is>
      </c>
      <c r="F928" s="32" t="inlineStr">
        <is>
          <t/>
        </is>
      </c>
      <c r="G928" s="33" t="inlineStr">
        <is>
          <t/>
        </is>
      </c>
      <c r="H928" s="34" t="inlineStr">
        <is>
          <t/>
        </is>
      </c>
      <c r="I928" s="35" t="inlineStr">
        <is>
          <t/>
        </is>
      </c>
      <c r="J928" s="36" t="inlineStr">
        <is>
          <t/>
        </is>
      </c>
      <c r="K928" s="37" t="inlineStr">
        <is>
          <t/>
        </is>
      </c>
      <c r="L928" s="38" t="inlineStr">
        <is>
          <t/>
        </is>
      </c>
      <c r="M928" s="39" t="inlineStr">
        <is>
          <t/>
        </is>
      </c>
      <c r="N928" s="40" t="inlineStr">
        <is>
          <t/>
        </is>
      </c>
      <c r="O928" s="41" t="inlineStr">
        <is>
          <t/>
        </is>
      </c>
      <c r="P928" s="42" t="inlineStr">
        <is>
          <t/>
        </is>
      </c>
      <c r="Q928" s="43" t="inlineStr">
        <is>
          <t/>
        </is>
      </c>
      <c r="R928" s="44" t="inlineStr">
        <is>
          <t/>
        </is>
      </c>
    </row>
    <row r="929">
      <c r="A929" s="9" t="inlineStr">
        <is>
          <t>104459-77</t>
        </is>
      </c>
      <c r="B929" s="10" t="inlineStr">
        <is>
          <t>Tablomedia</t>
        </is>
      </c>
      <c r="C929" s="11" t="n">
        <v>0.0</v>
      </c>
      <c r="D929" s="12" t="n">
        <v>0.3685295464956482</v>
      </c>
      <c r="E929" s="13" t="inlineStr">
        <is>
          <t/>
        </is>
      </c>
      <c r="F929" s="14" t="n">
        <v>21.0</v>
      </c>
      <c r="G929" s="15" t="inlineStr">
        <is>
          <t/>
        </is>
      </c>
      <c r="H929" s="16" t="n">
        <v>60.0</v>
      </c>
      <c r="I929" s="17" t="inlineStr">
        <is>
          <t/>
        </is>
      </c>
      <c r="J929" s="18" t="n">
        <v>0.28</v>
      </c>
      <c r="K929" s="19" t="inlineStr">
        <is>
          <t>Application Software</t>
        </is>
      </c>
      <c r="L929" s="20" t="inlineStr">
        <is>
          <t>Developer of a mobile application software for presentation discussion. The company develops an application software that transforms linear presentations into engaging and responsive visual discussion by showing clients what they want to see.</t>
        </is>
      </c>
      <c r="M929" s="21" t="inlineStr">
        <is>
          <t>Founder.org, RocketSpace</t>
        </is>
      </c>
      <c r="N929" s="22" t="inlineStr">
        <is>
          <t>Accelerator/Incubator Backed</t>
        </is>
      </c>
      <c r="O929" s="23" t="inlineStr">
        <is>
          <t>Privately Held (backing)</t>
        </is>
      </c>
      <c r="P929" s="24" t="inlineStr">
        <is>
          <t>San Francisco, CA</t>
        </is>
      </c>
      <c r="Q929" s="25" t="inlineStr">
        <is>
          <t>www.vimodi.com</t>
        </is>
      </c>
      <c r="R929" s="113">
        <f>HYPERLINK("https://my.pitchbook.com?c=104459-77", "View company online")</f>
      </c>
    </row>
    <row r="930">
      <c r="A930" s="27" t="inlineStr">
        <is>
          <t>178650-01</t>
        </is>
      </c>
      <c r="B930" s="28" t="inlineStr">
        <is>
          <t>TableTime</t>
        </is>
      </c>
      <c r="C930" s="86">
        <f>HYPERLINK("https://my.pitchbook.com?rrp=178650-01&amp;type=c", "This Company's information is not available to download. Need this Company? Request availability")</f>
      </c>
      <c r="D930" s="30" t="inlineStr">
        <is>
          <t/>
        </is>
      </c>
      <c r="E930" s="31" t="inlineStr">
        <is>
          <t/>
        </is>
      </c>
      <c r="F930" s="32" t="inlineStr">
        <is>
          <t/>
        </is>
      </c>
      <c r="G930" s="33" t="inlineStr">
        <is>
          <t/>
        </is>
      </c>
      <c r="H930" s="34" t="inlineStr">
        <is>
          <t/>
        </is>
      </c>
      <c r="I930" s="35" t="inlineStr">
        <is>
          <t/>
        </is>
      </c>
      <c r="J930" s="36" t="inlineStr">
        <is>
          <t/>
        </is>
      </c>
      <c r="K930" s="37" t="inlineStr">
        <is>
          <t/>
        </is>
      </c>
      <c r="L930" s="38" t="inlineStr">
        <is>
          <t/>
        </is>
      </c>
      <c r="M930" s="39" t="inlineStr">
        <is>
          <t/>
        </is>
      </c>
      <c r="N930" s="40" t="inlineStr">
        <is>
          <t/>
        </is>
      </c>
      <c r="O930" s="41" t="inlineStr">
        <is>
          <t/>
        </is>
      </c>
      <c r="P930" s="42" t="inlineStr">
        <is>
          <t/>
        </is>
      </c>
      <c r="Q930" s="43" t="inlineStr">
        <is>
          <t/>
        </is>
      </c>
      <c r="R930" s="44" t="inlineStr">
        <is>
          <t/>
        </is>
      </c>
    </row>
    <row r="931">
      <c r="A931" s="9" t="inlineStr">
        <is>
          <t>178654-96</t>
        </is>
      </c>
      <c r="B931" s="10" t="inlineStr">
        <is>
          <t>TableFLIX</t>
        </is>
      </c>
      <c r="C931" s="85">
        <f>HYPERLINK("https://my.pitchbook.com?rrp=178654-96&amp;type=c", "This Company's information is not available to download. Need this Company? Request availability")</f>
      </c>
      <c r="D931" s="12" t="inlineStr">
        <is>
          <t/>
        </is>
      </c>
      <c r="E931" s="13" t="inlineStr">
        <is>
          <t/>
        </is>
      </c>
      <c r="F931" s="14" t="inlineStr">
        <is>
          <t/>
        </is>
      </c>
      <c r="G931" s="15" t="inlineStr">
        <is>
          <t/>
        </is>
      </c>
      <c r="H931" s="16" t="inlineStr">
        <is>
          <t/>
        </is>
      </c>
      <c r="I931" s="17" t="inlineStr">
        <is>
          <t/>
        </is>
      </c>
      <c r="J931" s="18" t="inlineStr">
        <is>
          <t/>
        </is>
      </c>
      <c r="K931" s="19" t="inlineStr">
        <is>
          <t/>
        </is>
      </c>
      <c r="L931" s="20" t="inlineStr">
        <is>
          <t/>
        </is>
      </c>
      <c r="M931" s="21" t="inlineStr">
        <is>
          <t/>
        </is>
      </c>
      <c r="N931" s="22" t="inlineStr">
        <is>
          <t/>
        </is>
      </c>
      <c r="O931" s="23" t="inlineStr">
        <is>
          <t/>
        </is>
      </c>
      <c r="P931" s="24" t="inlineStr">
        <is>
          <t/>
        </is>
      </c>
      <c r="Q931" s="25" t="inlineStr">
        <is>
          <t/>
        </is>
      </c>
      <c r="R931" s="26" t="inlineStr">
        <is>
          <t/>
        </is>
      </c>
    </row>
    <row r="932">
      <c r="A932" s="27" t="inlineStr">
        <is>
          <t>175515-67</t>
        </is>
      </c>
      <c r="B932" s="28" t="inlineStr">
        <is>
          <t>Table Topic Ventures</t>
        </is>
      </c>
      <c r="C932" s="86">
        <f>HYPERLINK("https://my.pitchbook.com?rrp=175515-67&amp;type=c", "This Company's information is not available to download. Need this Company? Request availability")</f>
      </c>
      <c r="D932" s="30" t="inlineStr">
        <is>
          <t/>
        </is>
      </c>
      <c r="E932" s="31" t="inlineStr">
        <is>
          <t/>
        </is>
      </c>
      <c r="F932" s="32" t="inlineStr">
        <is>
          <t/>
        </is>
      </c>
      <c r="G932" s="33" t="inlineStr">
        <is>
          <t/>
        </is>
      </c>
      <c r="H932" s="34" t="inlineStr">
        <is>
          <t/>
        </is>
      </c>
      <c r="I932" s="35" t="inlineStr">
        <is>
          <t/>
        </is>
      </c>
      <c r="J932" s="36" t="inlineStr">
        <is>
          <t/>
        </is>
      </c>
      <c r="K932" s="37" t="inlineStr">
        <is>
          <t/>
        </is>
      </c>
      <c r="L932" s="38" t="inlineStr">
        <is>
          <t/>
        </is>
      </c>
      <c r="M932" s="39" t="inlineStr">
        <is>
          <t/>
        </is>
      </c>
      <c r="N932" s="40" t="inlineStr">
        <is>
          <t/>
        </is>
      </c>
      <c r="O932" s="41" t="inlineStr">
        <is>
          <t/>
        </is>
      </c>
      <c r="P932" s="42" t="inlineStr">
        <is>
          <t/>
        </is>
      </c>
      <c r="Q932" s="43" t="inlineStr">
        <is>
          <t/>
        </is>
      </c>
      <c r="R932" s="44" t="inlineStr">
        <is>
          <t/>
        </is>
      </c>
    </row>
    <row r="933">
      <c r="A933" s="9" t="inlineStr">
        <is>
          <t>146298-16</t>
        </is>
      </c>
      <c r="B933" s="10" t="inlineStr">
        <is>
          <t>t4 Spatial</t>
        </is>
      </c>
      <c r="C933" s="11" t="n">
        <v>0.0</v>
      </c>
      <c r="D933" s="12" t="n">
        <v>0.27014500815164044</v>
      </c>
      <c r="E933" s="13" t="inlineStr">
        <is>
          <t/>
        </is>
      </c>
      <c r="F933" s="14" t="n">
        <v>18.0</v>
      </c>
      <c r="G933" s="15" t="n">
        <v>9.0</v>
      </c>
      <c r="H933" s="16" t="n">
        <v>15.0</v>
      </c>
      <c r="I933" s="17" t="inlineStr">
        <is>
          <t/>
        </is>
      </c>
      <c r="J933" s="18" t="n">
        <v>2.0</v>
      </c>
      <c r="K933" s="19" t="inlineStr">
        <is>
          <t>Other Software</t>
        </is>
      </c>
      <c r="L933" s="20" t="inlineStr">
        <is>
          <t>Developer of online infrastructure management software. The company specializes in developing and designing cloud-based software for management of infrastructure asset networks.</t>
        </is>
      </c>
      <c r="M933" s="21" t="inlineStr">
        <is>
          <t/>
        </is>
      </c>
      <c r="N933" s="22" t="inlineStr">
        <is>
          <t>Angel-Backed</t>
        </is>
      </c>
      <c r="O933" s="23" t="inlineStr">
        <is>
          <t>Privately Held (backing)</t>
        </is>
      </c>
      <c r="P933" s="24" t="inlineStr">
        <is>
          <t>Santa Barbara, CA</t>
        </is>
      </c>
      <c r="Q933" s="25" t="inlineStr">
        <is>
          <t>www.t4spatial.com</t>
        </is>
      </c>
      <c r="R933" s="113">
        <f>HYPERLINK("https://my.pitchbook.com?c=146298-16", "View company online")</f>
      </c>
    </row>
    <row r="934">
      <c r="A934" s="27" t="inlineStr">
        <is>
          <t>65250-55</t>
        </is>
      </c>
      <c r="B934" s="28" t="inlineStr">
        <is>
          <t>T Alliance Three - Sunnyvale</t>
        </is>
      </c>
      <c r="C934" s="29" t="inlineStr">
        <is>
          <t/>
        </is>
      </c>
      <c r="D934" s="30" t="inlineStr">
        <is>
          <t/>
        </is>
      </c>
      <c r="E934" s="31" t="inlineStr">
        <is>
          <t/>
        </is>
      </c>
      <c r="F934" s="32" t="inlineStr">
        <is>
          <t/>
        </is>
      </c>
      <c r="G934" s="33" t="inlineStr">
        <is>
          <t/>
        </is>
      </c>
      <c r="H934" s="34" t="inlineStr">
        <is>
          <t/>
        </is>
      </c>
      <c r="I934" s="35" t="inlineStr">
        <is>
          <t/>
        </is>
      </c>
      <c r="J934" s="36" t="n">
        <v>9.0</v>
      </c>
      <c r="K934" s="37" t="inlineStr">
        <is>
          <t>Other Business Products and Services</t>
        </is>
      </c>
      <c r="L934" s="38" t="inlineStr">
        <is>
          <t>The company is currently operating in stealth mode.</t>
        </is>
      </c>
      <c r="M934" s="39" t="inlineStr">
        <is>
          <t/>
        </is>
      </c>
      <c r="N934" s="40" t="inlineStr">
        <is>
          <t>Angel-Backed</t>
        </is>
      </c>
      <c r="O934" s="41" t="inlineStr">
        <is>
          <t>Privately Held (backing)</t>
        </is>
      </c>
      <c r="P934" s="42" t="inlineStr">
        <is>
          <t>Newport Beach, CA</t>
        </is>
      </c>
      <c r="Q934" s="43" t="inlineStr">
        <is>
          <t/>
        </is>
      </c>
      <c r="R934" s="114">
        <f>HYPERLINK("https://my.pitchbook.com?c=65250-55", "View company online")</f>
      </c>
    </row>
    <row r="935">
      <c r="A935" s="9" t="inlineStr">
        <is>
          <t>108879-58</t>
        </is>
      </c>
      <c r="B935" s="10" t="inlineStr">
        <is>
          <t>Sywork</t>
        </is>
      </c>
      <c r="C935" s="11" t="n">
        <v>-0.03723020405363623</v>
      </c>
      <c r="D935" s="12" t="n">
        <v>0.4016476603985816</v>
      </c>
      <c r="E935" s="13" t="inlineStr">
        <is>
          <t/>
        </is>
      </c>
      <c r="F935" s="14" t="n">
        <v>4.0</v>
      </c>
      <c r="G935" s="15" t="n">
        <v>835.0</v>
      </c>
      <c r="H935" s="16" t="n">
        <v>125.0</v>
      </c>
      <c r="I935" s="17" t="n">
        <v>2.0</v>
      </c>
      <c r="J935" s="18" t="n">
        <v>0.12</v>
      </c>
      <c r="K935" s="19" t="inlineStr">
        <is>
          <t>Social/Platform Software</t>
        </is>
      </c>
      <c r="L935" s="20" t="inlineStr">
        <is>
          <t>Operator of a live video platform. The company operates a video platform build for illustrators and digital artists to help them to broadcast their work and make money.</t>
        </is>
      </c>
      <c r="M935" s="21" t="inlineStr">
        <is>
          <t>Y Combinator</t>
        </is>
      </c>
      <c r="N935" s="22" t="inlineStr">
        <is>
          <t>Accelerator/Incubator Backed</t>
        </is>
      </c>
      <c r="O935" s="23" t="inlineStr">
        <is>
          <t>Privately Held (backing)</t>
        </is>
      </c>
      <c r="P935" s="24" t="inlineStr">
        <is>
          <t>Mountain View, CA</t>
        </is>
      </c>
      <c r="Q935" s="25" t="inlineStr">
        <is>
          <t>www.sywork.tv</t>
        </is>
      </c>
      <c r="R935" s="113">
        <f>HYPERLINK("https://my.pitchbook.com?c=108879-58", "View company online")</f>
      </c>
    </row>
    <row r="936">
      <c r="A936" s="27" t="inlineStr">
        <is>
          <t>167264-92</t>
        </is>
      </c>
      <c r="B936" s="28" t="inlineStr">
        <is>
          <t>System AI</t>
        </is>
      </c>
      <c r="C936" s="29" t="inlineStr">
        <is>
          <t/>
        </is>
      </c>
      <c r="D936" s="30" t="inlineStr">
        <is>
          <t/>
        </is>
      </c>
      <c r="E936" s="31" t="inlineStr">
        <is>
          <t/>
        </is>
      </c>
      <c r="F936" s="32" t="inlineStr">
        <is>
          <t/>
        </is>
      </c>
      <c r="G936" s="33" t="inlineStr">
        <is>
          <t/>
        </is>
      </c>
      <c r="H936" s="34" t="inlineStr">
        <is>
          <t/>
        </is>
      </c>
      <c r="I936" s="35" t="inlineStr">
        <is>
          <t/>
        </is>
      </c>
      <c r="J936" s="36" t="inlineStr">
        <is>
          <t/>
        </is>
      </c>
      <c r="K936" s="37" t="inlineStr">
        <is>
          <t>Other IT Services</t>
        </is>
      </c>
      <c r="L936" s="38" t="inlineStr">
        <is>
          <t>Developer of computing infrastructure technologies. The company specializes in developing computing infrastructure technologies that deliver natural language processing, machine learning and computer vision services.</t>
        </is>
      </c>
      <c r="M936" s="39" t="inlineStr">
        <is>
          <t>StartX</t>
        </is>
      </c>
      <c r="N936" s="40" t="inlineStr">
        <is>
          <t>Accelerator/Incubator Backed</t>
        </is>
      </c>
      <c r="O936" s="41" t="inlineStr">
        <is>
          <t>Privately Held (backing)</t>
        </is>
      </c>
      <c r="P936" s="42" t="inlineStr">
        <is>
          <t>Santa Clara, CA</t>
        </is>
      </c>
      <c r="Q936" s="43" t="inlineStr">
        <is>
          <t>www.system.ai</t>
        </is>
      </c>
      <c r="R936" s="114">
        <f>HYPERLINK("https://my.pitchbook.com?c=167264-92", "View company online")</f>
      </c>
    </row>
    <row r="937">
      <c r="A937" s="9" t="inlineStr">
        <is>
          <t>171090-28</t>
        </is>
      </c>
      <c r="B937" s="10" t="inlineStr">
        <is>
          <t>Synvitrobio</t>
        </is>
      </c>
      <c r="C937" s="11" t="n">
        <v>0.0</v>
      </c>
      <c r="D937" s="12" t="n">
        <v>0.16216216216216217</v>
      </c>
      <c r="E937" s="13" t="inlineStr">
        <is>
          <t/>
        </is>
      </c>
      <c r="F937" s="14" t="n">
        <v>6.0</v>
      </c>
      <c r="G937" s="15" t="n">
        <v>4.0</v>
      </c>
      <c r="H937" s="16" t="inlineStr">
        <is>
          <t/>
        </is>
      </c>
      <c r="I937" s="17" t="inlineStr">
        <is>
          <t/>
        </is>
      </c>
      <c r="J937" s="18" t="inlineStr">
        <is>
          <t/>
        </is>
      </c>
      <c r="K937" s="19" t="inlineStr">
        <is>
          <t>Biotechnology</t>
        </is>
      </c>
      <c r="L937" s="20" t="inlineStr">
        <is>
          <t>Provider of a biotechnology platform intended to create a prototyping environment to rapidly speed up design-build-test cycles for bio-based processes. The company's biotechnology platform uses cell-free systems as a prototyping environment to allow the collection of relevant biological data without the restrictions inherent in cellular engineering, enabling bio-researchers to change the way biological engineering is conducted.</t>
        </is>
      </c>
      <c r="M937" s="21" t="inlineStr">
        <is>
          <t>California Institute for Quantitative Biosciences, Cyclotron Road, Defense Advanced Research Projects Agency, National Science Foundation, U.S. Department of Health and Human Services, United States Department of Defense</t>
        </is>
      </c>
      <c r="N937" s="22" t="inlineStr">
        <is>
          <t>Accelerator/Incubator Backed</t>
        </is>
      </c>
      <c r="O937" s="23" t="inlineStr">
        <is>
          <t>Privately Held (backing)</t>
        </is>
      </c>
      <c r="P937" s="24" t="inlineStr">
        <is>
          <t>San Francisco, CA</t>
        </is>
      </c>
      <c r="Q937" s="25" t="inlineStr">
        <is>
          <t>www.synvitrobio.com</t>
        </is>
      </c>
      <c r="R937" s="113">
        <f>HYPERLINK("https://my.pitchbook.com?c=171090-28", "View company online")</f>
      </c>
    </row>
    <row r="938">
      <c r="A938" s="27" t="inlineStr">
        <is>
          <t>113356-81</t>
        </is>
      </c>
      <c r="B938" s="28" t="inlineStr">
        <is>
          <t>SynTouch</t>
        </is>
      </c>
      <c r="C938" s="29" t="n">
        <v>2.2877439121980716</v>
      </c>
      <c r="D938" s="30" t="n">
        <v>2.2949670140716565</v>
      </c>
      <c r="E938" s="31" t="inlineStr">
        <is>
          <t/>
        </is>
      </c>
      <c r="F938" s="32" t="n">
        <v>135.0</v>
      </c>
      <c r="G938" s="33" t="n">
        <v>188.0</v>
      </c>
      <c r="H938" s="34" t="n">
        <v>334.0</v>
      </c>
      <c r="I938" s="35" t="n">
        <v>4.0</v>
      </c>
      <c r="J938" s="36" t="inlineStr">
        <is>
          <t/>
        </is>
      </c>
      <c r="K938" s="37" t="inlineStr">
        <is>
          <t>Other Commercial Products</t>
        </is>
      </c>
      <c r="L938" s="38" t="inlineStr">
        <is>
          <t>Developer of a tactile evaluation system designed to analyze and measure customer's touch perception. The company's tactile evaluation system permits testing of different materials for judging of tactile perception just like humans, enabling companies to increase profitability as well as reduce waste and costs.</t>
        </is>
      </c>
      <c r="M938" s="39" t="inlineStr">
        <is>
          <t>Comet Labs, National Science Foundation, Plug and Play Tech Center, U.S. Department of Commerce, U.S. Department of Health and Human Services, United States Department of Agriculture, United States Department of Defense</t>
        </is>
      </c>
      <c r="N938" s="40" t="inlineStr">
        <is>
          <t>Accelerator/Incubator Backed</t>
        </is>
      </c>
      <c r="O938" s="41" t="inlineStr">
        <is>
          <t>Privately Held (backing)</t>
        </is>
      </c>
      <c r="P938" s="42" t="inlineStr">
        <is>
          <t>Los Angeles, CA</t>
        </is>
      </c>
      <c r="Q938" s="43" t="inlineStr">
        <is>
          <t>www.syntouchinc.com</t>
        </is>
      </c>
      <c r="R938" s="114">
        <f>HYPERLINK("https://my.pitchbook.com?c=113356-81", "View company online")</f>
      </c>
    </row>
    <row r="939">
      <c r="A939" s="9" t="inlineStr">
        <is>
          <t>169825-33</t>
        </is>
      </c>
      <c r="B939" s="10" t="inlineStr">
        <is>
          <t>Synthomics</t>
        </is>
      </c>
      <c r="C939" s="11" t="n">
        <v>0.0</v>
      </c>
      <c r="D939" s="12" t="n">
        <v>0.21621621621621623</v>
      </c>
      <c r="E939" s="13" t="inlineStr">
        <is>
          <t/>
        </is>
      </c>
      <c r="F939" s="14" t="n">
        <v>8.0</v>
      </c>
      <c r="G939" s="15" t="inlineStr">
        <is>
          <t/>
        </is>
      </c>
      <c r="H939" s="16" t="inlineStr">
        <is>
          <t/>
        </is>
      </c>
      <c r="I939" s="17" t="inlineStr">
        <is>
          <t/>
        </is>
      </c>
      <c r="J939" s="18" t="inlineStr">
        <is>
          <t/>
        </is>
      </c>
      <c r="K939" s="19" t="inlineStr">
        <is>
          <t>Biotechnology</t>
        </is>
      </c>
      <c r="L939" s="20" t="inlineStr">
        <is>
          <t>Developer of an oligonucleotide synthesizer designed to improve the economics, speed, customization and quality associated with DNA and RNA synthesis. The company's Green Machine DNA synthesizer synthesizes oligonucleotides on a reaction substrate that is capable of accommodating up to 1,536 unique oligonucleotides rather than the industry standard of 96, enabling bio-technologists to reduce the size of each reaction resulting in low reagent consumption and significant cost saving.</t>
        </is>
      </c>
      <c r="M939" s="21" t="inlineStr">
        <is>
          <t>Tsingyuan Ventures, U.S. Department of Health and Human Services</t>
        </is>
      </c>
      <c r="N939" s="22" t="inlineStr">
        <is>
          <t>Angel-Backed</t>
        </is>
      </c>
      <c r="O939" s="23" t="inlineStr">
        <is>
          <t>Privately Held (backing)</t>
        </is>
      </c>
      <c r="P939" s="24" t="inlineStr">
        <is>
          <t>Menlo Park, CA</t>
        </is>
      </c>
      <c r="Q939" s="25" t="inlineStr">
        <is>
          <t>www.synthomics.com</t>
        </is>
      </c>
      <c r="R939" s="113">
        <f>HYPERLINK("https://my.pitchbook.com?c=169825-33", "View company online")</f>
      </c>
    </row>
    <row r="940">
      <c r="A940" s="27" t="inlineStr">
        <is>
          <t>121970-35</t>
        </is>
      </c>
      <c r="B940" s="28" t="inlineStr">
        <is>
          <t>Synovation Holdings</t>
        </is>
      </c>
      <c r="C940" s="29" t="inlineStr">
        <is>
          <t/>
        </is>
      </c>
      <c r="D940" s="30" t="inlineStr">
        <is>
          <t/>
        </is>
      </c>
      <c r="E940" s="31" t="inlineStr">
        <is>
          <t/>
        </is>
      </c>
      <c r="F940" s="32" t="inlineStr">
        <is>
          <t/>
        </is>
      </c>
      <c r="G940" s="33" t="inlineStr">
        <is>
          <t/>
        </is>
      </c>
      <c r="H940" s="34" t="inlineStr">
        <is>
          <t/>
        </is>
      </c>
      <c r="I940" s="35" t="inlineStr">
        <is>
          <t/>
        </is>
      </c>
      <c r="J940" s="36" t="n">
        <v>0.13</v>
      </c>
      <c r="K940" s="37" t="inlineStr">
        <is>
          <t>Other Business Products and Services</t>
        </is>
      </c>
      <c r="L940" s="38" t="inlineStr">
        <is>
          <t>The company is currently operating in Stealth mode.</t>
        </is>
      </c>
      <c r="M940" s="39" t="inlineStr">
        <is>
          <t/>
        </is>
      </c>
      <c r="N940" s="40" t="inlineStr">
        <is>
          <t>Angel-Backed</t>
        </is>
      </c>
      <c r="O940" s="41" t="inlineStr">
        <is>
          <t>Privately Held (backing)</t>
        </is>
      </c>
      <c r="P940" s="42" t="inlineStr">
        <is>
          <t>Pasadena, CA</t>
        </is>
      </c>
      <c r="Q940" s="43" t="inlineStr">
        <is>
          <t/>
        </is>
      </c>
      <c r="R940" s="114">
        <f>HYPERLINK("https://my.pitchbook.com?c=121970-35", "View company online")</f>
      </c>
    </row>
    <row r="941">
      <c r="A941" s="9" t="inlineStr">
        <is>
          <t>95525-29</t>
        </is>
      </c>
      <c r="B941" s="10" t="inlineStr">
        <is>
          <t>Synosure Games</t>
        </is>
      </c>
      <c r="C941" s="11" t="n">
        <v>-0.01868322698459999</v>
      </c>
      <c r="D941" s="12" t="n">
        <v>0.5320709671667667</v>
      </c>
      <c r="E941" s="13" t="inlineStr">
        <is>
          <t/>
        </is>
      </c>
      <c r="F941" s="14" t="n">
        <v>9.0</v>
      </c>
      <c r="G941" s="15" t="n">
        <v>1142.0</v>
      </c>
      <c r="H941" s="16" t="n">
        <v>78.0</v>
      </c>
      <c r="I941" s="17" t="n">
        <v>10.0</v>
      </c>
      <c r="J941" s="18" t="n">
        <v>0.02</v>
      </c>
      <c r="K941" s="19" t="inlineStr">
        <is>
          <t>Entertainment Software</t>
        </is>
      </c>
      <c r="L941" s="20" t="inlineStr">
        <is>
          <t>Developer of mobile games. The company creates mobile games that gives players quality content, depth, and re-playability.</t>
        </is>
      </c>
      <c r="M941" s="21" t="inlineStr">
        <is>
          <t>Howard Marks, Paul Kessler, StartEngine.com</t>
        </is>
      </c>
      <c r="N941" s="22" t="inlineStr">
        <is>
          <t>Accelerator/Incubator Backed</t>
        </is>
      </c>
      <c r="O941" s="23" t="inlineStr">
        <is>
          <t>Privately Held (backing)</t>
        </is>
      </c>
      <c r="P941" s="24" t="inlineStr">
        <is>
          <t>Los Angeles, CA</t>
        </is>
      </c>
      <c r="Q941" s="25" t="inlineStr">
        <is>
          <t>www.synosuregames.com</t>
        </is>
      </c>
      <c r="R941" s="113">
        <f>HYPERLINK("https://my.pitchbook.com?c=95525-29", "View company online")</f>
      </c>
    </row>
    <row r="942">
      <c r="A942" s="27" t="inlineStr">
        <is>
          <t>166062-97</t>
        </is>
      </c>
      <c r="B942" s="28" t="inlineStr">
        <is>
          <t>Synocate</t>
        </is>
      </c>
      <c r="C942" s="29" t="n">
        <v>1.9001804709517343</v>
      </c>
      <c r="D942" s="30" t="n">
        <v>3.2569995988197906</v>
      </c>
      <c r="E942" s="31" t="inlineStr">
        <is>
          <t/>
        </is>
      </c>
      <c r="F942" s="32" t="n">
        <v>226.0</v>
      </c>
      <c r="G942" s="33" t="n">
        <v>238.0</v>
      </c>
      <c r="H942" s="34" t="n">
        <v>145.0</v>
      </c>
      <c r="I942" s="35" t="inlineStr">
        <is>
          <t/>
        </is>
      </c>
      <c r="J942" s="36" t="n">
        <v>0.05</v>
      </c>
      <c r="K942" s="37" t="inlineStr">
        <is>
          <t>Educational and Training Services (B2C)</t>
        </is>
      </c>
      <c r="L942" s="38" t="inlineStr">
        <is>
          <t>Provider of an online platform to navigate the college admissions process. The company's platform provides recommendations and helps high school students to build an all-round application to increase their chances of admission into top universities.</t>
        </is>
      </c>
      <c r="M942" s="39" t="inlineStr">
        <is>
          <t>Pear Ventures</t>
        </is>
      </c>
      <c r="N942" s="40" t="inlineStr">
        <is>
          <t>Accelerator/Incubator Backed</t>
        </is>
      </c>
      <c r="O942" s="41" t="inlineStr">
        <is>
          <t>Privately Held (backing)</t>
        </is>
      </c>
      <c r="P942" s="42" t="inlineStr">
        <is>
          <t>Palo Alto, CA</t>
        </is>
      </c>
      <c r="Q942" s="43" t="inlineStr">
        <is>
          <t>www.synocate.com</t>
        </is>
      </c>
      <c r="R942" s="114">
        <f>HYPERLINK("https://my.pitchbook.com?c=166062-97", "View company online")</f>
      </c>
    </row>
    <row r="943">
      <c r="A943" s="9" t="inlineStr">
        <is>
          <t>151182-73</t>
        </is>
      </c>
      <c r="B943" s="10" t="inlineStr">
        <is>
          <t>SynGest</t>
        </is>
      </c>
      <c r="C943" s="11" t="n">
        <v>0.0</v>
      </c>
      <c r="D943" s="12" t="n">
        <v>1.7837837837837838</v>
      </c>
      <c r="E943" s="13" t="inlineStr">
        <is>
          <t/>
        </is>
      </c>
      <c r="F943" s="14" t="n">
        <v>66.0</v>
      </c>
      <c r="G943" s="15" t="inlineStr">
        <is>
          <t/>
        </is>
      </c>
      <c r="H943" s="16" t="inlineStr">
        <is>
          <t/>
        </is>
      </c>
      <c r="I943" s="17" t="inlineStr">
        <is>
          <t/>
        </is>
      </c>
      <c r="J943" s="18" t="n">
        <v>3.5</v>
      </c>
      <c r="K943" s="19" t="inlineStr">
        <is>
          <t>Energy Production</t>
        </is>
      </c>
      <c r="L943" s="20" t="inlineStr">
        <is>
          <t>Provider of strategic fuel and fertilizer. The company offers renewable energy from feedstocks and crop wastes.</t>
        </is>
      </c>
      <c r="M943" s="21" t="inlineStr">
        <is>
          <t/>
        </is>
      </c>
      <c r="N943" s="22" t="inlineStr">
        <is>
          <t>Angel-Backed</t>
        </is>
      </c>
      <c r="O943" s="23" t="inlineStr">
        <is>
          <t>Privately Held (backing)</t>
        </is>
      </c>
      <c r="P943" s="24" t="inlineStr">
        <is>
          <t>San Francisco, CA</t>
        </is>
      </c>
      <c r="Q943" s="25" t="inlineStr">
        <is>
          <t>www.syngest.com</t>
        </is>
      </c>
      <c r="R943" s="113">
        <f>HYPERLINK("https://my.pitchbook.com?c=151182-73", "View company online")</f>
      </c>
    </row>
    <row r="944">
      <c r="A944" s="27" t="inlineStr">
        <is>
          <t>66015-01</t>
        </is>
      </c>
      <c r="B944" s="28" t="inlineStr">
        <is>
          <t>Synedgen</t>
        </is>
      </c>
      <c r="C944" s="29" t="n">
        <v>1.0068689778417634</v>
      </c>
      <c r="D944" s="30" t="n">
        <v>0.707772985112705</v>
      </c>
      <c r="E944" s="31" t="inlineStr">
        <is>
          <t/>
        </is>
      </c>
      <c r="F944" s="32" t="n">
        <v>44.0</v>
      </c>
      <c r="G944" s="33" t="n">
        <v>136.0</v>
      </c>
      <c r="H944" s="34" t="n">
        <v>79.0</v>
      </c>
      <c r="I944" s="35" t="n">
        <v>12.0</v>
      </c>
      <c r="J944" s="36" t="n">
        <v>17.09</v>
      </c>
      <c r="K944" s="37" t="inlineStr">
        <is>
          <t>Other Devices and Supplies</t>
        </is>
      </c>
      <c r="L944" s="38" t="inlineStr">
        <is>
          <t>Developer and provider of life saving products and therapy. The company develops life-saving products and therapies that encourage wound healing, reduce complications of tissue damage and inflammation, prevent infection by drug-resistant bacteria and remove the biofilms in which they thrive.</t>
        </is>
      </c>
      <c r="M944" s="39" t="inlineStr">
        <is>
          <t/>
        </is>
      </c>
      <c r="N944" s="40" t="inlineStr">
        <is>
          <t>Angel-Backed</t>
        </is>
      </c>
      <c r="O944" s="41" t="inlineStr">
        <is>
          <t>Privately Held (backing)</t>
        </is>
      </c>
      <c r="P944" s="42" t="inlineStr">
        <is>
          <t>Claremont, CA</t>
        </is>
      </c>
      <c r="Q944" s="43" t="inlineStr">
        <is>
          <t>www.synedgen.com</t>
        </is>
      </c>
      <c r="R944" s="114">
        <f>HYPERLINK("https://my.pitchbook.com?c=66015-01", "View company online")</f>
      </c>
    </row>
    <row r="945">
      <c r="A945" s="9" t="inlineStr">
        <is>
          <t>93904-66</t>
        </is>
      </c>
      <c r="B945" s="10" t="inlineStr">
        <is>
          <t>Synchronicity.co</t>
        </is>
      </c>
      <c r="C945" s="11" t="n">
        <v>-0.07610802362532301</v>
      </c>
      <c r="D945" s="12" t="n">
        <v>0.6076118491372728</v>
      </c>
      <c r="E945" s="13" t="inlineStr">
        <is>
          <t/>
        </is>
      </c>
      <c r="F945" s="14" t="n">
        <v>25.0</v>
      </c>
      <c r="G945" s="15" t="inlineStr">
        <is>
          <t/>
        </is>
      </c>
      <c r="H945" s="16" t="n">
        <v>192.0</v>
      </c>
      <c r="I945" s="17" t="n">
        <v>6.0</v>
      </c>
      <c r="J945" s="18" t="n">
        <v>0.96</v>
      </c>
      <c r="K945" s="19" t="inlineStr">
        <is>
          <t>Media and Information Services (B2B)</t>
        </is>
      </c>
      <c r="L945" s="20" t="inlineStr">
        <is>
          <t>Developer of a distribution platform for the broadcasting industry. The company offers help in different aspects of production and distribution of radio programming and advertising.</t>
        </is>
      </c>
      <c r="M945" s="21" t="inlineStr">
        <is>
          <t>Scott Davison</t>
        </is>
      </c>
      <c r="N945" s="22" t="inlineStr">
        <is>
          <t>Angel-Backed</t>
        </is>
      </c>
      <c r="O945" s="23" t="inlineStr">
        <is>
          <t>Privately Held (backing)</t>
        </is>
      </c>
      <c r="P945" s="24" t="inlineStr">
        <is>
          <t>Los Angeles, CA</t>
        </is>
      </c>
      <c r="Q945" s="25" t="inlineStr">
        <is>
          <t>www.synchronicity.co</t>
        </is>
      </c>
      <c r="R945" s="113">
        <f>HYPERLINK("https://my.pitchbook.com?c=93904-66", "View company online")</f>
      </c>
    </row>
    <row r="946">
      <c r="A946" s="27" t="inlineStr">
        <is>
          <t>143904-34</t>
        </is>
      </c>
      <c r="B946" s="28" t="inlineStr">
        <is>
          <t>Sync Think</t>
        </is>
      </c>
      <c r="C946" s="29" t="n">
        <v>0.0</v>
      </c>
      <c r="D946" s="30" t="n">
        <v>0.39727674036811844</v>
      </c>
      <c r="E946" s="31" t="inlineStr">
        <is>
          <t/>
        </is>
      </c>
      <c r="F946" s="32" t="n">
        <v>24.0</v>
      </c>
      <c r="G946" s="33" t="n">
        <v>78.0</v>
      </c>
      <c r="H946" s="34" t="n">
        <v>69.0</v>
      </c>
      <c r="I946" s="35" t="inlineStr">
        <is>
          <t/>
        </is>
      </c>
      <c r="J946" s="36" t="inlineStr">
        <is>
          <t/>
        </is>
      </c>
      <c r="K946" s="37" t="inlineStr">
        <is>
          <t>Monitoring Equipment</t>
        </is>
      </c>
      <c r="L946" s="38" t="inlineStr">
        <is>
          <t>Developer of eye-tracking metrics and devices. The company specializes in developing eye-tracking metrics and devices that uses virtual reality to assess abnormal eye movement.</t>
        </is>
      </c>
      <c r="M946" s="39" t="inlineStr">
        <is>
          <t>MassChallenge, United States Department of Defense</t>
        </is>
      </c>
      <c r="N946" s="40" t="inlineStr">
        <is>
          <t>Accelerator/Incubator Backed</t>
        </is>
      </c>
      <c r="O946" s="41" t="inlineStr">
        <is>
          <t>Privately Held (backing)</t>
        </is>
      </c>
      <c r="P946" s="42" t="inlineStr">
        <is>
          <t>Boston, MA</t>
        </is>
      </c>
      <c r="Q946" s="43" t="inlineStr">
        <is>
          <t>www.syncthink.com</t>
        </is>
      </c>
      <c r="R946" s="114">
        <f>HYPERLINK("https://my.pitchbook.com?c=143904-34", "View company online")</f>
      </c>
    </row>
    <row r="947">
      <c r="A947" s="9" t="inlineStr">
        <is>
          <t>163080-01</t>
        </is>
      </c>
      <c r="B947" s="10" t="inlineStr">
        <is>
          <t>Synapse AI</t>
        </is>
      </c>
      <c r="C947" s="11" t="n">
        <v>0.0</v>
      </c>
      <c r="D947" s="12" t="n">
        <v>0.02702702702702703</v>
      </c>
      <c r="E947" s="13" t="inlineStr">
        <is>
          <t/>
        </is>
      </c>
      <c r="F947" s="14" t="n">
        <v>1.0</v>
      </c>
      <c r="G947" s="15" t="inlineStr">
        <is>
          <t/>
        </is>
      </c>
      <c r="H947" s="16" t="inlineStr">
        <is>
          <t/>
        </is>
      </c>
      <c r="I947" s="17" t="inlineStr">
        <is>
          <t/>
        </is>
      </c>
      <c r="J947" s="18" t="inlineStr">
        <is>
          <t/>
        </is>
      </c>
      <c r="K947" s="19" t="inlineStr">
        <is>
          <t>Social/Platform Software</t>
        </is>
      </c>
      <c r="L947" s="20" t="inlineStr">
        <is>
          <t>Provider of an enterprise mobility platform. The company offers a platform which uses machine learning and voice recognition to offer voice features to mobile professionals.</t>
        </is>
      </c>
      <c r="M947" s="21" t="inlineStr">
        <is>
          <t>StartX</t>
        </is>
      </c>
      <c r="N947" s="22" t="inlineStr">
        <is>
          <t>Accelerator/Incubator Backed</t>
        </is>
      </c>
      <c r="O947" s="23" t="inlineStr">
        <is>
          <t>Privately Held (backing)</t>
        </is>
      </c>
      <c r="P947" s="24" t="inlineStr">
        <is>
          <t>Palo Alto, CA</t>
        </is>
      </c>
      <c r="Q947" s="25" t="inlineStr">
        <is>
          <t>www.synapse-ai.com</t>
        </is>
      </c>
      <c r="R947" s="113">
        <f>HYPERLINK("https://my.pitchbook.com?c=163080-01", "View company online")</f>
      </c>
    </row>
    <row r="948">
      <c r="A948" s="27" t="inlineStr">
        <is>
          <t>90463-24</t>
        </is>
      </c>
      <c r="B948" s="28" t="inlineStr">
        <is>
          <t>SyMynd</t>
        </is>
      </c>
      <c r="C948" s="29" t="n">
        <v>0.0</v>
      </c>
      <c r="D948" s="30" t="n">
        <v>0.5361227213106358</v>
      </c>
      <c r="E948" s="31" t="inlineStr">
        <is>
          <t/>
        </is>
      </c>
      <c r="F948" s="32" t="n">
        <v>39.0</v>
      </c>
      <c r="G948" s="33" t="n">
        <v>2.0</v>
      </c>
      <c r="H948" s="34" t="n">
        <v>12.0</v>
      </c>
      <c r="I948" s="35" t="n">
        <v>2.0</v>
      </c>
      <c r="J948" s="36" t="inlineStr">
        <is>
          <t/>
        </is>
      </c>
      <c r="K948" s="37" t="inlineStr">
        <is>
          <t>Educational Software</t>
        </is>
      </c>
      <c r="L948" s="38" t="inlineStr">
        <is>
          <t>Provider of an online education platform. The company's platform enables everyone to access higher and professional education from leading universities and publishers.</t>
        </is>
      </c>
      <c r="M948" s="39" t="inlineStr">
        <is>
          <t>Plug and Play Tech Center</t>
        </is>
      </c>
      <c r="N948" s="40" t="inlineStr">
        <is>
          <t>Accelerator/Incubator Backed</t>
        </is>
      </c>
      <c r="O948" s="41" t="inlineStr">
        <is>
          <t>Privately Held (backing)</t>
        </is>
      </c>
      <c r="P948" s="42" t="inlineStr">
        <is>
          <t>Sunnyvale, CA</t>
        </is>
      </c>
      <c r="Q948" s="43" t="inlineStr">
        <is>
          <t>www.symynd.com</t>
        </is>
      </c>
      <c r="R948" s="114">
        <f>HYPERLINK("https://my.pitchbook.com?c=90463-24", "View company online")</f>
      </c>
    </row>
    <row r="949">
      <c r="A949" s="9" t="inlineStr">
        <is>
          <t>155654-47</t>
        </is>
      </c>
      <c r="B949" s="10" t="inlineStr">
        <is>
          <t>Symple Surgical</t>
        </is>
      </c>
      <c r="C949" s="11" t="n">
        <v>0.09830246487852312</v>
      </c>
      <c r="D949" s="12" t="n">
        <v>0.6264696900290121</v>
      </c>
      <c r="E949" s="13" t="inlineStr">
        <is>
          <t/>
        </is>
      </c>
      <c r="F949" s="14" t="n">
        <v>8.0</v>
      </c>
      <c r="G949" s="15" t="inlineStr">
        <is>
          <t/>
        </is>
      </c>
      <c r="H949" s="16" t="n">
        <v>368.0</v>
      </c>
      <c r="I949" s="17" t="inlineStr">
        <is>
          <t/>
        </is>
      </c>
      <c r="J949" s="18" t="n">
        <v>1.9</v>
      </c>
      <c r="K949" s="19" t="inlineStr">
        <is>
          <t>Therapeutic Devices</t>
        </is>
      </c>
      <c r="L949" s="20" t="inlineStr">
        <is>
          <t>Owner and operator of a medical device company. The company designs and develops a therapeutic microwave energy device for renal sympathetic denervation to modulate and monitor hyperactive sympathetic nerve signals.</t>
        </is>
      </c>
      <c r="M949" s="21" t="inlineStr">
        <is>
          <t>Flinn Foundation</t>
        </is>
      </c>
      <c r="N949" s="22" t="inlineStr">
        <is>
          <t>Angel-Backed</t>
        </is>
      </c>
      <c r="O949" s="23" t="inlineStr">
        <is>
          <t>Privately Held (backing)</t>
        </is>
      </c>
      <c r="P949" s="24" t="inlineStr">
        <is>
          <t>Menlo Park, CA</t>
        </is>
      </c>
      <c r="Q949" s="25" t="inlineStr">
        <is>
          <t>www.symplesurgical.com</t>
        </is>
      </c>
      <c r="R949" s="113">
        <f>HYPERLINK("https://my.pitchbook.com?c=155654-47", "View company online")</f>
      </c>
    </row>
    <row r="950">
      <c r="A950" s="27" t="inlineStr">
        <is>
          <t>170349-22</t>
        </is>
      </c>
      <c r="B950" s="28" t="inlineStr">
        <is>
          <t>Symple (payments platform)</t>
        </is>
      </c>
      <c r="C950" s="29" t="n">
        <v>1.6601422586014047</v>
      </c>
      <c r="D950" s="30" t="n">
        <v>3.135135135135135</v>
      </c>
      <c r="E950" s="31" t="inlineStr">
        <is>
          <t/>
        </is>
      </c>
      <c r="F950" s="32" t="n">
        <v>116.0</v>
      </c>
      <c r="G950" s="33" t="inlineStr">
        <is>
          <t/>
        </is>
      </c>
      <c r="H950" s="34" t="inlineStr">
        <is>
          <t/>
        </is>
      </c>
      <c r="I950" s="35" t="inlineStr">
        <is>
          <t/>
        </is>
      </c>
      <c r="J950" s="36" t="n">
        <v>0.12</v>
      </c>
      <c r="K950" s="37" t="inlineStr">
        <is>
          <t>Application Software</t>
        </is>
      </c>
      <c r="L950" s="38" t="inlineStr">
        <is>
          <t>Provider of an online platform designed to track invoices and manage business payments. The company's online platform digitizes all paper invoices, sends and tracks invoices online by capturing a screenshot of online payment records and sending them directly to user's mobile phones whenever a payment is received or made, enabling businesses and retail vendors to keep a track of all invoices, follow up customers and manage secured online payments.</t>
        </is>
      </c>
      <c r="M950" s="39" t="inlineStr">
        <is>
          <t>Y Combinator</t>
        </is>
      </c>
      <c r="N950" s="40" t="inlineStr">
        <is>
          <t>Accelerator/Incubator Backed</t>
        </is>
      </c>
      <c r="O950" s="41" t="inlineStr">
        <is>
          <t>Privately Held (backing)</t>
        </is>
      </c>
      <c r="P950" s="42" t="inlineStr">
        <is>
          <t>San Francisco, CA</t>
        </is>
      </c>
      <c r="Q950" s="43" t="inlineStr">
        <is>
          <t>www.getsymple.com</t>
        </is>
      </c>
      <c r="R950" s="114">
        <f>HYPERLINK("https://my.pitchbook.com?c=170349-22", "View company online")</f>
      </c>
    </row>
    <row r="951">
      <c r="A951" s="9" t="inlineStr">
        <is>
          <t>113457-97</t>
        </is>
      </c>
      <c r="B951" s="10" t="inlineStr">
        <is>
          <t>Symmpl</t>
        </is>
      </c>
      <c r="C951" s="85">
        <f>HYPERLINK("https://my.pitchbook.com?rrp=113457-97&amp;type=c", "This Company's information is not available to download. Need this Company? Request availability")</f>
      </c>
      <c r="D951" s="12" t="inlineStr">
        <is>
          <t/>
        </is>
      </c>
      <c r="E951" s="13" t="inlineStr">
        <is>
          <t/>
        </is>
      </c>
      <c r="F951" s="14" t="inlineStr">
        <is>
          <t/>
        </is>
      </c>
      <c r="G951" s="15" t="inlineStr">
        <is>
          <t/>
        </is>
      </c>
      <c r="H951" s="16" t="inlineStr">
        <is>
          <t/>
        </is>
      </c>
      <c r="I951" s="17" t="inlineStr">
        <is>
          <t/>
        </is>
      </c>
      <c r="J951" s="18" t="inlineStr">
        <is>
          <t/>
        </is>
      </c>
      <c r="K951" s="19" t="inlineStr">
        <is>
          <t/>
        </is>
      </c>
      <c r="L951" s="20" t="inlineStr">
        <is>
          <t/>
        </is>
      </c>
      <c r="M951" s="21" t="inlineStr">
        <is>
          <t/>
        </is>
      </c>
      <c r="N951" s="22" t="inlineStr">
        <is>
          <t/>
        </is>
      </c>
      <c r="O951" s="23" t="inlineStr">
        <is>
          <t/>
        </is>
      </c>
      <c r="P951" s="24" t="inlineStr">
        <is>
          <t/>
        </is>
      </c>
      <c r="Q951" s="25" t="inlineStr">
        <is>
          <t/>
        </is>
      </c>
      <c r="R951" s="26" t="inlineStr">
        <is>
          <t/>
        </is>
      </c>
    </row>
    <row r="952">
      <c r="A952" s="27" t="inlineStr">
        <is>
          <t>99614-71</t>
        </is>
      </c>
      <c r="B952" s="28" t="inlineStr">
        <is>
          <t>SymbiOx</t>
        </is>
      </c>
      <c r="C952" s="29" t="inlineStr">
        <is>
          <t/>
        </is>
      </c>
      <c r="D952" s="30" t="inlineStr">
        <is>
          <t/>
        </is>
      </c>
      <c r="E952" s="31" t="inlineStr">
        <is>
          <t/>
        </is>
      </c>
      <c r="F952" s="32" t="inlineStr">
        <is>
          <t/>
        </is>
      </c>
      <c r="G952" s="33" t="inlineStr">
        <is>
          <t/>
        </is>
      </c>
      <c r="H952" s="34" t="inlineStr">
        <is>
          <t/>
        </is>
      </c>
      <c r="I952" s="35" t="inlineStr">
        <is>
          <t/>
        </is>
      </c>
      <c r="J952" s="36" t="inlineStr">
        <is>
          <t/>
        </is>
      </c>
      <c r="K952" s="37" t="inlineStr">
        <is>
          <t>Biotechnology</t>
        </is>
      </c>
      <c r="L952" s="38" t="inlineStr">
        <is>
          <t>Developer of a photosynthetic scaffold technology. The company develops a photosynthetic scaffold technology called SymbiO-Derm that provides physicians with tools for the treatment, unctional restoration and healing of damaged and diseased tissues.</t>
        </is>
      </c>
      <c r="M952" s="39" t="inlineStr">
        <is>
          <t>Georgia Tech VentureLab, StartR</t>
        </is>
      </c>
      <c r="N952" s="40" t="inlineStr">
        <is>
          <t>Accelerator/Incubator Backed</t>
        </is>
      </c>
      <c r="O952" s="41" t="inlineStr">
        <is>
          <t>Privately Held (backing)</t>
        </is>
      </c>
      <c r="P952" s="42" t="inlineStr">
        <is>
          <t>San Diego, CA</t>
        </is>
      </c>
      <c r="Q952" s="43" t="inlineStr">
        <is>
          <t>weww.symbiox.org</t>
        </is>
      </c>
      <c r="R952" s="114">
        <f>HYPERLINK("https://my.pitchbook.com?c=99614-71", "View company online")</f>
      </c>
    </row>
    <row r="953">
      <c r="A953" s="9" t="inlineStr">
        <is>
          <t>110508-31</t>
        </is>
      </c>
      <c r="B953" s="10" t="inlineStr">
        <is>
          <t>Symbio Robotics</t>
        </is>
      </c>
      <c r="C953" s="11" t="n">
        <v>0.0</v>
      </c>
      <c r="D953" s="12" t="n">
        <v>0.05405405405405406</v>
      </c>
      <c r="E953" s="13" t="inlineStr">
        <is>
          <t/>
        </is>
      </c>
      <c r="F953" s="14" t="n">
        <v>2.0</v>
      </c>
      <c r="G953" s="15" t="inlineStr">
        <is>
          <t/>
        </is>
      </c>
      <c r="H953" s="16" t="inlineStr">
        <is>
          <t/>
        </is>
      </c>
      <c r="I953" s="17" t="inlineStr">
        <is>
          <t/>
        </is>
      </c>
      <c r="J953" s="18" t="inlineStr">
        <is>
          <t/>
        </is>
      </c>
      <c r="K953" s="19" t="inlineStr">
        <is>
          <t>Other Commercial Products</t>
        </is>
      </c>
      <c r="L953" s="20" t="inlineStr">
        <is>
          <t>Provider of a platform for distributed robotic systems. The company creates UAS platforms for immersive and intuitive control applications.</t>
        </is>
      </c>
      <c r="M953" s="21" t="inlineStr">
        <is>
          <t>Founder.org, Skydeck | Berkeley</t>
        </is>
      </c>
      <c r="N953" s="22" t="inlineStr">
        <is>
          <t>Accelerator/Incubator Backed</t>
        </is>
      </c>
      <c r="O953" s="23" t="inlineStr">
        <is>
          <t>Privately Held (backing)</t>
        </is>
      </c>
      <c r="P953" s="24" t="inlineStr">
        <is>
          <t>Los Angeles, CA</t>
        </is>
      </c>
      <c r="Q953" s="25" t="inlineStr">
        <is>
          <t>www.symbiorobotics.com</t>
        </is>
      </c>
      <c r="R953" s="113">
        <f>HYPERLINK("https://my.pitchbook.com?c=110508-31", "View company online")</f>
      </c>
    </row>
    <row r="954">
      <c r="A954" s="27" t="inlineStr">
        <is>
          <t>88730-92</t>
        </is>
      </c>
      <c r="B954" s="28" t="inlineStr">
        <is>
          <t>Sylvan Source</t>
        </is>
      </c>
      <c r="C954" s="29" t="n">
        <v>0.0</v>
      </c>
      <c r="D954" s="30" t="n">
        <v>0.48105189356110506</v>
      </c>
      <c r="E954" s="31" t="inlineStr">
        <is>
          <t/>
        </is>
      </c>
      <c r="F954" s="32" t="n">
        <v>35.0</v>
      </c>
      <c r="G954" s="33" t="n">
        <v>1.0</v>
      </c>
      <c r="H954" s="34" t="n">
        <v>11.0</v>
      </c>
      <c r="I954" s="35" t="n">
        <v>10.0</v>
      </c>
      <c r="J954" s="36" t="n">
        <v>4.5</v>
      </c>
      <c r="K954" s="37" t="inlineStr">
        <is>
          <t>Other Commercial Services</t>
        </is>
      </c>
      <c r="L954" s="38" t="inlineStr">
        <is>
          <t>Provider of water treatment services. The company offers water purification technologies that eliminates chemicals, filters and membranes to assure water quality for residential and industrial use.</t>
        </is>
      </c>
      <c r="M954" s="39" t="inlineStr">
        <is>
          <t>Jim Simmons, Robert Frankenberg</t>
        </is>
      </c>
      <c r="N954" s="40" t="inlineStr">
        <is>
          <t>Angel-Backed</t>
        </is>
      </c>
      <c r="O954" s="41" t="inlineStr">
        <is>
          <t>Privately Held (backing)</t>
        </is>
      </c>
      <c r="P954" s="42" t="inlineStr">
        <is>
          <t>San Carlos, CA</t>
        </is>
      </c>
      <c r="Q954" s="43" t="inlineStr">
        <is>
          <t>www.sylvansource.com</t>
        </is>
      </c>
      <c r="R954" s="114">
        <f>HYPERLINK("https://my.pitchbook.com?c=88730-92", "View company online")</f>
      </c>
    </row>
    <row r="955">
      <c r="A955" s="9" t="inlineStr">
        <is>
          <t>127241-47</t>
        </is>
      </c>
      <c r="B955" s="10" t="inlineStr">
        <is>
          <t>Syllabliss</t>
        </is>
      </c>
      <c r="C955" s="11" t="inlineStr">
        <is>
          <t/>
        </is>
      </c>
      <c r="D955" s="12" t="inlineStr">
        <is>
          <t/>
        </is>
      </c>
      <c r="E955" s="13" t="inlineStr">
        <is>
          <t/>
        </is>
      </c>
      <c r="F955" s="14" t="inlineStr">
        <is>
          <t/>
        </is>
      </c>
      <c r="G955" s="15" t="inlineStr">
        <is>
          <t/>
        </is>
      </c>
      <c r="H955" s="16" t="inlineStr">
        <is>
          <t/>
        </is>
      </c>
      <c r="I955" s="17" t="inlineStr">
        <is>
          <t/>
        </is>
      </c>
      <c r="J955" s="18" t="inlineStr">
        <is>
          <t/>
        </is>
      </c>
      <c r="K955" s="19" t="inlineStr">
        <is>
          <t>Application Software</t>
        </is>
      </c>
      <c r="L955" s="20" t="inlineStr">
        <is>
          <t>Developer of application software for communication. The company's application helps students to create, edit and manage schedules through email communications. It can be accessible from mobile devices, tablet and computers.</t>
        </is>
      </c>
      <c r="M955" s="21" t="inlineStr">
        <is>
          <t>Chicostart</t>
        </is>
      </c>
      <c r="N955" s="22" t="inlineStr">
        <is>
          <t>Accelerator/Incubator Backed</t>
        </is>
      </c>
      <c r="O955" s="23" t="inlineStr">
        <is>
          <t>Privately Held (backing)</t>
        </is>
      </c>
      <c r="P955" s="24" t="inlineStr">
        <is>
          <t>CA</t>
        </is>
      </c>
      <c r="Q955" s="25" t="inlineStr">
        <is>
          <t/>
        </is>
      </c>
      <c r="R955" s="113">
        <f>HYPERLINK("https://my.pitchbook.com?c=127241-47", "View company online")</f>
      </c>
    </row>
    <row r="956">
      <c r="A956" s="27" t="inlineStr">
        <is>
          <t>172622-71</t>
        </is>
      </c>
      <c r="B956" s="28" t="inlineStr">
        <is>
          <t>Syllable</t>
        </is>
      </c>
      <c r="C956" s="86">
        <f>HYPERLINK("https://my.pitchbook.com?rrp=172622-71&amp;type=c", "This Company's information is not available to download. Need this Company? Request availability")</f>
      </c>
      <c r="D956" s="30" t="inlineStr">
        <is>
          <t/>
        </is>
      </c>
      <c r="E956" s="31" t="inlineStr">
        <is>
          <t/>
        </is>
      </c>
      <c r="F956" s="32" t="inlineStr">
        <is>
          <t/>
        </is>
      </c>
      <c r="G956" s="33" t="inlineStr">
        <is>
          <t/>
        </is>
      </c>
      <c r="H956" s="34" t="inlineStr">
        <is>
          <t/>
        </is>
      </c>
      <c r="I956" s="35" t="inlineStr">
        <is>
          <t/>
        </is>
      </c>
      <c r="J956" s="36" t="inlineStr">
        <is>
          <t/>
        </is>
      </c>
      <c r="K956" s="37" t="inlineStr">
        <is>
          <t/>
        </is>
      </c>
      <c r="L956" s="38" t="inlineStr">
        <is>
          <t/>
        </is>
      </c>
      <c r="M956" s="39" t="inlineStr">
        <is>
          <t/>
        </is>
      </c>
      <c r="N956" s="40" t="inlineStr">
        <is>
          <t/>
        </is>
      </c>
      <c r="O956" s="41" t="inlineStr">
        <is>
          <t/>
        </is>
      </c>
      <c r="P956" s="42" t="inlineStr">
        <is>
          <t/>
        </is>
      </c>
      <c r="Q956" s="43" t="inlineStr">
        <is>
          <t/>
        </is>
      </c>
      <c r="R956" s="44" t="inlineStr">
        <is>
          <t/>
        </is>
      </c>
    </row>
    <row r="957">
      <c r="A957" s="9" t="inlineStr">
        <is>
          <t>178893-19</t>
        </is>
      </c>
      <c r="B957" s="10" t="inlineStr">
        <is>
          <t>Sycamore (On-Demand Jobs)</t>
        </is>
      </c>
      <c r="C957" s="11" t="n">
        <v>0.0</v>
      </c>
      <c r="D957" s="12" t="n">
        <v>1.9189189189189189</v>
      </c>
      <c r="E957" s="13" t="inlineStr">
        <is>
          <t/>
        </is>
      </c>
      <c r="F957" s="14" t="n">
        <v>70.0</v>
      </c>
      <c r="G957" s="15" t="inlineStr">
        <is>
          <t/>
        </is>
      </c>
      <c r="H957" s="16" t="inlineStr">
        <is>
          <t/>
        </is>
      </c>
      <c r="I957" s="17" t="inlineStr">
        <is>
          <t/>
        </is>
      </c>
      <c r="J957" s="18" t="n">
        <v>0.12</v>
      </c>
      <c r="K957" s="19" t="inlineStr">
        <is>
          <t>Other Consumer Products and Services</t>
        </is>
      </c>
      <c r="L957" s="20" t="inlineStr">
        <is>
          <t>Provider of an onboarding drivers for on-demand jobs. The company is currently operating in Stealth mode.</t>
        </is>
      </c>
      <c r="M957" s="21" t="inlineStr">
        <is>
          <t>Y Combinator</t>
        </is>
      </c>
      <c r="N957" s="22" t="inlineStr">
        <is>
          <t>Accelerator/Incubator Backed</t>
        </is>
      </c>
      <c r="O957" s="23" t="inlineStr">
        <is>
          <t>Privately Held (backing)</t>
        </is>
      </c>
      <c r="P957" s="24" t="inlineStr">
        <is>
          <t>CA</t>
        </is>
      </c>
      <c r="Q957" s="25" t="inlineStr">
        <is>
          <t>www.mysycamore.com</t>
        </is>
      </c>
      <c r="R957" s="113">
        <f>HYPERLINK("https://my.pitchbook.com?c=178893-19", "View company online")</f>
      </c>
    </row>
    <row r="958">
      <c r="A958" s="27" t="inlineStr">
        <is>
          <t>152042-77</t>
        </is>
      </c>
      <c r="B958" s="28" t="inlineStr">
        <is>
          <t>Sybrillo</t>
        </is>
      </c>
      <c r="C958" s="29" t="n">
        <v>-0.0021345744825040994</v>
      </c>
      <c r="D958" s="30" t="n">
        <v>9.378072324350878</v>
      </c>
      <c r="E958" s="31" t="inlineStr">
        <is>
          <t/>
        </is>
      </c>
      <c r="F958" s="32" t="n">
        <v>31.0</v>
      </c>
      <c r="G958" s="33" t="n">
        <v>4563.0</v>
      </c>
      <c r="H958" s="34" t="n">
        <v>10665.0</v>
      </c>
      <c r="I958" s="35" t="inlineStr">
        <is>
          <t/>
        </is>
      </c>
      <c r="J958" s="36" t="inlineStr">
        <is>
          <t/>
        </is>
      </c>
      <c r="K958" s="37" t="inlineStr">
        <is>
          <t>Electronics (B2C)</t>
        </is>
      </c>
      <c r="L958" s="38" t="inlineStr">
        <is>
          <t>Manufacturer of a camera stabilizer. The company manufactures remote controlled camera stabilizer for stable video recording.</t>
        </is>
      </c>
      <c r="M958" s="39" t="inlineStr">
        <is>
          <t>Baconsult</t>
        </is>
      </c>
      <c r="N958" s="40" t="inlineStr">
        <is>
          <t>Angel-Backed</t>
        </is>
      </c>
      <c r="O958" s="41" t="inlineStr">
        <is>
          <t>Privately Held (backing)</t>
        </is>
      </c>
      <c r="P958" s="42" t="inlineStr">
        <is>
          <t>Redwood City, CA</t>
        </is>
      </c>
      <c r="Q958" s="43" t="inlineStr">
        <is>
          <t>www.sybrillo.com</t>
        </is>
      </c>
      <c r="R958" s="114">
        <f>HYPERLINK("https://my.pitchbook.com?c=152042-77", "View company online")</f>
      </c>
    </row>
    <row r="959">
      <c r="A959" s="9" t="inlineStr">
        <is>
          <t>166859-65</t>
        </is>
      </c>
      <c r="B959" s="10" t="inlineStr">
        <is>
          <t>SwoopMe</t>
        </is>
      </c>
      <c r="C959" s="11" t="n">
        <v>0.0</v>
      </c>
      <c r="D959" s="12" t="n">
        <v>0.08108108108108109</v>
      </c>
      <c r="E959" s="13" t="inlineStr">
        <is>
          <t/>
        </is>
      </c>
      <c r="F959" s="14" t="n">
        <v>3.0</v>
      </c>
      <c r="G959" s="15" t="inlineStr">
        <is>
          <t/>
        </is>
      </c>
      <c r="H959" s="16" t="inlineStr">
        <is>
          <t/>
        </is>
      </c>
      <c r="I959" s="17" t="inlineStr">
        <is>
          <t/>
        </is>
      </c>
      <c r="J959" s="18" t="n">
        <v>2.36</v>
      </c>
      <c r="K959" s="19" t="inlineStr">
        <is>
          <t>Application Software</t>
        </is>
      </c>
      <c r="L959" s="20" t="inlineStr">
        <is>
          <t>Developer of an application for roadside assistance. The company develops a mobile application that provides customer and truck location, real time ETAs and customer feedback for towing and vehicle assistance companies.</t>
        </is>
      </c>
      <c r="M959" s="21" t="inlineStr">
        <is>
          <t/>
        </is>
      </c>
      <c r="N959" s="22" t="inlineStr">
        <is>
          <t>Angel-Backed</t>
        </is>
      </c>
      <c r="O959" s="23" t="inlineStr">
        <is>
          <t>Privately Held (backing)</t>
        </is>
      </c>
      <c r="P959" s="24" t="inlineStr">
        <is>
          <t>San Francisco, CA</t>
        </is>
      </c>
      <c r="Q959" s="25" t="inlineStr">
        <is>
          <t>www.joinswoop.com</t>
        </is>
      </c>
      <c r="R959" s="113">
        <f>HYPERLINK("https://my.pitchbook.com?c=166859-65", "View company online")</f>
      </c>
    </row>
    <row r="960">
      <c r="A960" s="27" t="inlineStr">
        <is>
          <t>169571-98</t>
        </is>
      </c>
      <c r="B960" s="28" t="inlineStr">
        <is>
          <t>Swoop Products</t>
        </is>
      </c>
      <c r="C960" s="29" t="n">
        <v>0.0</v>
      </c>
      <c r="D960" s="30" t="n">
        <v>0.005649717514124294</v>
      </c>
      <c r="E960" s="31" t="inlineStr">
        <is>
          <t/>
        </is>
      </c>
      <c r="F960" s="32" t="inlineStr">
        <is>
          <t/>
        </is>
      </c>
      <c r="G960" s="33" t="inlineStr">
        <is>
          <t/>
        </is>
      </c>
      <c r="H960" s="34" t="n">
        <v>2.0</v>
      </c>
      <c r="I960" s="35" t="inlineStr">
        <is>
          <t/>
        </is>
      </c>
      <c r="J960" s="36" t="inlineStr">
        <is>
          <t/>
        </is>
      </c>
      <c r="K960" s="37" t="inlineStr">
        <is>
          <t>Automotive</t>
        </is>
      </c>
      <c r="L960" s="38" t="inlineStr">
        <is>
          <t>Developer of an air pump for bike tires. The company designs and develops an air pump that attaches to existing air pumps and fits multiple valve types.</t>
        </is>
      </c>
      <c r="M960" s="39" t="inlineStr">
        <is>
          <t>Chicostart</t>
        </is>
      </c>
      <c r="N960" s="40" t="inlineStr">
        <is>
          <t>Accelerator/Incubator Backed</t>
        </is>
      </c>
      <c r="O960" s="41" t="inlineStr">
        <is>
          <t>Privately Held (backing)</t>
        </is>
      </c>
      <c r="P960" s="42" t="inlineStr">
        <is>
          <t>San Diego, CA</t>
        </is>
      </c>
      <c r="Q960" s="43" t="inlineStr">
        <is>
          <t>www.swoopproducts.com</t>
        </is>
      </c>
      <c r="R960" s="114">
        <f>HYPERLINK("https://my.pitchbook.com?c=169571-98", "View company online")</f>
      </c>
    </row>
    <row r="961">
      <c r="A961" s="9" t="inlineStr">
        <is>
          <t>55201-24</t>
        </is>
      </c>
      <c r="B961" s="10" t="inlineStr">
        <is>
          <t>Swoop Magazine</t>
        </is>
      </c>
      <c r="C961" s="11" t="n">
        <v>-0.014159079124070531</v>
      </c>
      <c r="D961" s="12" t="n">
        <v>4.663105338731721</v>
      </c>
      <c r="E961" s="13" t="inlineStr">
        <is>
          <t/>
        </is>
      </c>
      <c r="F961" s="14" t="n">
        <v>30.0</v>
      </c>
      <c r="G961" s="15" t="n">
        <v>12146.0</v>
      </c>
      <c r="H961" s="16" t="n">
        <v>689.0</v>
      </c>
      <c r="I961" s="17" t="inlineStr">
        <is>
          <t/>
        </is>
      </c>
      <c r="J961" s="18" t="inlineStr">
        <is>
          <t/>
        </is>
      </c>
      <c r="K961" s="19" t="inlineStr">
        <is>
          <t>Publishing</t>
        </is>
      </c>
      <c r="L961" s="20" t="inlineStr">
        <is>
          <t>Provider of advertisement supported lifestyle magazine with additional services such as content delivery, social networking, media production and event promotion. The company provides local and global information on trends in nightlife, fashion, music, action sports, outreach, community and world reviews.</t>
        </is>
      </c>
      <c r="M961" s="21" t="inlineStr">
        <is>
          <t>Individual Investor</t>
        </is>
      </c>
      <c r="N961" s="22" t="inlineStr">
        <is>
          <t>Angel-Backed</t>
        </is>
      </c>
      <c r="O961" s="23" t="inlineStr">
        <is>
          <t>Privately Held (backing)</t>
        </is>
      </c>
      <c r="P961" s="24" t="inlineStr">
        <is>
          <t>El Segundo, CA</t>
        </is>
      </c>
      <c r="Q961" s="25" t="inlineStr">
        <is>
          <t>www.swoopbrand.com</t>
        </is>
      </c>
      <c r="R961" s="113">
        <f>HYPERLINK("https://my.pitchbook.com?c=55201-24", "View company online")</f>
      </c>
    </row>
    <row r="962">
      <c r="A962" s="27" t="inlineStr">
        <is>
          <t>148760-56</t>
        </is>
      </c>
      <c r="B962" s="28" t="inlineStr">
        <is>
          <t>Swivelfly</t>
        </is>
      </c>
      <c r="C962" s="29" t="n">
        <v>-0.050046231165479724</v>
      </c>
      <c r="D962" s="30" t="n">
        <v>2.548466315562852</v>
      </c>
      <c r="E962" s="31" t="inlineStr">
        <is>
          <t/>
        </is>
      </c>
      <c r="F962" s="32" t="n">
        <v>37.0</v>
      </c>
      <c r="G962" s="33" t="n">
        <v>3329.0</v>
      </c>
      <c r="H962" s="34" t="n">
        <v>1419.0</v>
      </c>
      <c r="I962" s="35" t="inlineStr">
        <is>
          <t/>
        </is>
      </c>
      <c r="J962" s="36" t="n">
        <v>1.52</v>
      </c>
      <c r="K962" s="37" t="inlineStr">
        <is>
          <t>Office Services (B2B)</t>
        </is>
      </c>
      <c r="L962" s="38" t="inlineStr">
        <is>
          <t>Provider of interior decoration services. The company mainly supplies furniture to their corporate clientele and also offers business furnishing services.</t>
        </is>
      </c>
      <c r="M962" s="39" t="inlineStr">
        <is>
          <t>Sidemark</t>
        </is>
      </c>
      <c r="N962" s="40" t="inlineStr">
        <is>
          <t>Angel-Backed</t>
        </is>
      </c>
      <c r="O962" s="41" t="inlineStr">
        <is>
          <t>Privately Held (backing)</t>
        </is>
      </c>
      <c r="P962" s="42" t="inlineStr">
        <is>
          <t>Santa Clara, CA</t>
        </is>
      </c>
      <c r="Q962" s="43" t="inlineStr">
        <is>
          <t>www.swivelfly.com</t>
        </is>
      </c>
      <c r="R962" s="114">
        <f>HYPERLINK("https://my.pitchbook.com?c=148760-56", "View company online")</f>
      </c>
    </row>
    <row r="963">
      <c r="A963" s="9" t="inlineStr">
        <is>
          <t>108849-43</t>
        </is>
      </c>
      <c r="B963" s="10" t="inlineStr">
        <is>
          <t>Switchboard Sally</t>
        </is>
      </c>
      <c r="C963" s="85">
        <f>HYPERLINK("https://my.pitchbook.com?rrp=108849-43&amp;type=c", "This Company's information is not available to download. Need this Company? Request availability")</f>
      </c>
      <c r="D963" s="12" t="inlineStr">
        <is>
          <t/>
        </is>
      </c>
      <c r="E963" s="13" t="inlineStr">
        <is>
          <t/>
        </is>
      </c>
      <c r="F963" s="14" t="inlineStr">
        <is>
          <t/>
        </is>
      </c>
      <c r="G963" s="15" t="inlineStr">
        <is>
          <t/>
        </is>
      </c>
      <c r="H963" s="16" t="inlineStr">
        <is>
          <t/>
        </is>
      </c>
      <c r="I963" s="17" t="inlineStr">
        <is>
          <t/>
        </is>
      </c>
      <c r="J963" s="18" t="inlineStr">
        <is>
          <t/>
        </is>
      </c>
      <c r="K963" s="19" t="inlineStr">
        <is>
          <t/>
        </is>
      </c>
      <c r="L963" s="20" t="inlineStr">
        <is>
          <t/>
        </is>
      </c>
      <c r="M963" s="21" t="inlineStr">
        <is>
          <t/>
        </is>
      </c>
      <c r="N963" s="22" t="inlineStr">
        <is>
          <t/>
        </is>
      </c>
      <c r="O963" s="23" t="inlineStr">
        <is>
          <t/>
        </is>
      </c>
      <c r="P963" s="24" t="inlineStr">
        <is>
          <t/>
        </is>
      </c>
      <c r="Q963" s="25" t="inlineStr">
        <is>
          <t/>
        </is>
      </c>
      <c r="R963" s="26" t="inlineStr">
        <is>
          <t/>
        </is>
      </c>
    </row>
    <row r="964">
      <c r="A964" s="27" t="inlineStr">
        <is>
          <t>90488-62</t>
        </is>
      </c>
      <c r="B964" s="28" t="inlineStr">
        <is>
          <t>Switch Embassy</t>
        </is>
      </c>
      <c r="C964" s="29" t="n">
        <v>0.41183349883264797</v>
      </c>
      <c r="D964" s="30" t="n">
        <v>0.614045385526594</v>
      </c>
      <c r="E964" s="31" t="inlineStr">
        <is>
          <t/>
        </is>
      </c>
      <c r="F964" s="32" t="n">
        <v>9.0</v>
      </c>
      <c r="G964" s="33" t="n">
        <v>676.0</v>
      </c>
      <c r="H964" s="34" t="n">
        <v>397.0</v>
      </c>
      <c r="I964" s="35" t="n">
        <v>3.0</v>
      </c>
      <c r="J964" s="36" t="n">
        <v>0.02</v>
      </c>
      <c r="K964" s="37" t="inlineStr">
        <is>
          <t>Accessories</t>
        </is>
      </c>
      <c r="L964" s="38" t="inlineStr">
        <is>
          <t>Provider of fashion technology services. The company develops a disruptive line of context-aware and responsive fashion and accessories. It manufactures a line of illuminated t-shirts with images and texts controlled via a mobile phone application.</t>
        </is>
      </c>
      <c r="M964" s="39" t="inlineStr">
        <is>
          <t>Highway1, New York Fashion Tech Lab</t>
        </is>
      </c>
      <c r="N964" s="40" t="inlineStr">
        <is>
          <t>Accelerator/Incubator Backed</t>
        </is>
      </c>
      <c r="O964" s="41" t="inlineStr">
        <is>
          <t>Privately Held (backing)</t>
        </is>
      </c>
      <c r="P964" s="42" t="inlineStr">
        <is>
          <t>San Francisco, CA</t>
        </is>
      </c>
      <c r="Q964" s="43" t="inlineStr">
        <is>
          <t>www.switchembassy.com</t>
        </is>
      </c>
      <c r="R964" s="114">
        <f>HYPERLINK("https://my.pitchbook.com?c=90488-62", "View company online")</f>
      </c>
    </row>
    <row r="965">
      <c r="A965" s="9" t="inlineStr">
        <is>
          <t>93902-95</t>
        </is>
      </c>
      <c r="B965" s="10" t="inlineStr">
        <is>
          <t>Swish Analytics</t>
        </is>
      </c>
      <c r="C965" s="11" t="n">
        <v>0.2971261475182136</v>
      </c>
      <c r="D965" s="12" t="n">
        <v>17.957490475526583</v>
      </c>
      <c r="E965" s="13" t="inlineStr">
        <is>
          <t/>
        </is>
      </c>
      <c r="F965" s="14" t="n">
        <v>59.0</v>
      </c>
      <c r="G965" s="15" t="n">
        <v>2893.0</v>
      </c>
      <c r="H965" s="16" t="n">
        <v>22996.0</v>
      </c>
      <c r="I965" s="17" t="n">
        <v>8.0</v>
      </c>
      <c r="J965" s="18" t="n">
        <v>1.82</v>
      </c>
      <c r="K965" s="19" t="inlineStr">
        <is>
          <t>Information Services (B2C)</t>
        </is>
      </c>
      <c r="L965" s="20" t="inlineStr">
        <is>
          <t>Developer and provider of algorithm-driven tools. The company offers sports metrics, statistics, forecasts, predictions and analysis by using in-depth historical data and proprietary algorithms.</t>
        </is>
      </c>
      <c r="M965" s="21" t="inlineStr">
        <is>
          <t>Douglas Sims, Elysian Park Ventures, Joseph Skoff, LA Dodgers Accelerator</t>
        </is>
      </c>
      <c r="N965" s="22" t="inlineStr">
        <is>
          <t>Accelerator/Incubator Backed</t>
        </is>
      </c>
      <c r="O965" s="23" t="inlineStr">
        <is>
          <t>Privately Held (backing)</t>
        </is>
      </c>
      <c r="P965" s="24" t="inlineStr">
        <is>
          <t>San Francisco, CA</t>
        </is>
      </c>
      <c r="Q965" s="25" t="inlineStr">
        <is>
          <t>www.swishanalytics.com</t>
        </is>
      </c>
      <c r="R965" s="113">
        <f>HYPERLINK("https://my.pitchbook.com?c=93902-95", "View company online")</f>
      </c>
    </row>
    <row r="966">
      <c r="A966" s="27" t="inlineStr">
        <is>
          <t>138819-52</t>
        </is>
      </c>
      <c r="B966" s="28" t="inlineStr">
        <is>
          <t>SwipeZoom</t>
        </is>
      </c>
      <c r="C966" s="29" t="n">
        <v>0.01182133994343467</v>
      </c>
      <c r="D966" s="30" t="n">
        <v>0.8828951174566503</v>
      </c>
      <c r="E966" s="31" t="inlineStr">
        <is>
          <t/>
        </is>
      </c>
      <c r="F966" s="32" t="n">
        <v>44.0</v>
      </c>
      <c r="G966" s="33" t="n">
        <v>187.0</v>
      </c>
      <c r="H966" s="34" t="n">
        <v>326.0</v>
      </c>
      <c r="I966" s="35" t="inlineStr">
        <is>
          <t/>
        </is>
      </c>
      <c r="J966" s="36" t="n">
        <v>2.18</v>
      </c>
      <c r="K966" s="37" t="inlineStr">
        <is>
          <t>Financial Software</t>
        </is>
      </c>
      <c r="L966" s="38" t="inlineStr">
        <is>
          <t>Developer of Saas based online payment processor intended to convert existing stores, warehouses or depots into global fulfillment centers. The company's software ensures exchange rate transparency based on a transnational business model enabling users to make money when the transaction happens.</t>
        </is>
      </c>
      <c r="M966" s="39" t="inlineStr">
        <is>
          <t/>
        </is>
      </c>
      <c r="N966" s="40" t="inlineStr">
        <is>
          <t>Angel-Backed</t>
        </is>
      </c>
      <c r="O966" s="41" t="inlineStr">
        <is>
          <t>Privately Held (backing)</t>
        </is>
      </c>
      <c r="P966" s="42" t="inlineStr">
        <is>
          <t>London, United Kingdom</t>
        </is>
      </c>
      <c r="Q966" s="43" t="inlineStr">
        <is>
          <t>www.swipezoom.com</t>
        </is>
      </c>
      <c r="R966" s="114">
        <f>HYPERLINK("https://my.pitchbook.com?c=138819-52", "View company online")</f>
      </c>
    </row>
    <row r="967">
      <c r="A967" s="9" t="inlineStr">
        <is>
          <t>101626-21</t>
        </is>
      </c>
      <c r="B967" s="10" t="inlineStr">
        <is>
          <t>Swiper</t>
        </is>
      </c>
      <c r="C967" s="11" t="n">
        <v>-0.02216786245753013</v>
      </c>
      <c r="D967" s="12" t="n">
        <v>0.7162799023889664</v>
      </c>
      <c r="E967" s="13" t="inlineStr">
        <is>
          <t/>
        </is>
      </c>
      <c r="F967" s="14" t="n">
        <v>4.0</v>
      </c>
      <c r="G967" s="15" t="n">
        <v>1482.0</v>
      </c>
      <c r="H967" s="16" t="n">
        <v>286.0</v>
      </c>
      <c r="I967" s="17" t="inlineStr">
        <is>
          <t/>
        </is>
      </c>
      <c r="J967" s="18" t="n">
        <v>0.12</v>
      </c>
      <c r="K967" s="19" t="inlineStr">
        <is>
          <t>Other Consumer Products and Services</t>
        </is>
      </c>
      <c r="L967" s="20" t="inlineStr">
        <is>
          <t>Developer of an online platform for shopping and fashion games. The company develops a web based platform focused on finding fashion items and applies crowd sourcing to online shopping in the form of daily contests based around different themes.</t>
        </is>
      </c>
      <c r="M967" s="21" t="inlineStr">
        <is>
          <t>Cindy Bi, Y Combinator, Zillionize</t>
        </is>
      </c>
      <c r="N967" s="22" t="inlineStr">
        <is>
          <t>Accelerator/Incubator Backed</t>
        </is>
      </c>
      <c r="O967" s="23" t="inlineStr">
        <is>
          <t>Privately Held (backing)</t>
        </is>
      </c>
      <c r="P967" s="24" t="inlineStr">
        <is>
          <t>Carlsbad, CA</t>
        </is>
      </c>
      <c r="Q967" s="25" t="inlineStr">
        <is>
          <t>www.hauteday.com</t>
        </is>
      </c>
      <c r="R967" s="113">
        <f>HYPERLINK("https://my.pitchbook.com?c=101626-21", "View company online")</f>
      </c>
    </row>
    <row r="968">
      <c r="A968" s="27" t="inlineStr">
        <is>
          <t>57973-87</t>
        </is>
      </c>
      <c r="B968" s="28" t="inlineStr">
        <is>
          <t>SWIIM System</t>
        </is>
      </c>
      <c r="C968" s="29" t="n">
        <v>0.7241438731456539</v>
      </c>
      <c r="D968" s="30" t="n">
        <v>1.0285158039395328</v>
      </c>
      <c r="E968" s="31" t="inlineStr">
        <is>
          <t/>
        </is>
      </c>
      <c r="F968" s="32" t="n">
        <v>62.0</v>
      </c>
      <c r="G968" s="33" t="inlineStr">
        <is>
          <t/>
        </is>
      </c>
      <c r="H968" s="34" t="n">
        <v>135.0</v>
      </c>
      <c r="I968" s="35" t="inlineStr">
        <is>
          <t/>
        </is>
      </c>
      <c r="J968" s="36" t="n">
        <v>5.6</v>
      </c>
      <c r="K968" s="37" t="inlineStr">
        <is>
          <t>Automation/Workflow Software</t>
        </is>
      </c>
      <c r="L968" s="38" t="inlineStr">
        <is>
          <t>Developer of software systems for agricultural sector. The company specializes in developing software system that provides a farmer tools to plan and optimize their farming operations, by considering alternative practices on their farm, to conserve water usage and quantify a portion of their water for alternative transfer (to municipal, environmental or other uses). All while keeping their farm in profitable operation.</t>
        </is>
      </c>
      <c r="M968" s="39" t="inlineStr">
        <is>
          <t>AgFunder, goFARM Australia</t>
        </is>
      </c>
      <c r="N968" s="40" t="inlineStr">
        <is>
          <t>Angel-Backed</t>
        </is>
      </c>
      <c r="O968" s="41" t="inlineStr">
        <is>
          <t>Privately Held (backing)</t>
        </is>
      </c>
      <c r="P968" s="42" t="inlineStr">
        <is>
          <t>Denver, CO</t>
        </is>
      </c>
      <c r="Q968" s="43" t="inlineStr">
        <is>
          <t>www.swiimsystem.com</t>
        </is>
      </c>
      <c r="R968" s="114">
        <f>HYPERLINK("https://my.pitchbook.com?c=57973-87", "View company online")</f>
      </c>
    </row>
    <row r="969">
      <c r="A969" s="9" t="inlineStr">
        <is>
          <t>172792-90</t>
        </is>
      </c>
      <c r="B969" s="10" t="inlineStr">
        <is>
          <t>SwiftPet</t>
        </is>
      </c>
      <c r="C969" s="85">
        <f>HYPERLINK("https://my.pitchbook.com?rrp=172792-90&amp;type=c", "This Company's information is not available to download. Need this Company? Request availability")</f>
      </c>
      <c r="D969" s="12" t="inlineStr">
        <is>
          <t/>
        </is>
      </c>
      <c r="E969" s="13" t="inlineStr">
        <is>
          <t/>
        </is>
      </c>
      <c r="F969" s="14" t="inlineStr">
        <is>
          <t/>
        </is>
      </c>
      <c r="G969" s="15" t="inlineStr">
        <is>
          <t/>
        </is>
      </c>
      <c r="H969" s="16" t="inlineStr">
        <is>
          <t/>
        </is>
      </c>
      <c r="I969" s="17" t="inlineStr">
        <is>
          <t/>
        </is>
      </c>
      <c r="J969" s="18" t="inlineStr">
        <is>
          <t/>
        </is>
      </c>
      <c r="K969" s="19" t="inlineStr">
        <is>
          <t/>
        </is>
      </c>
      <c r="L969" s="20" t="inlineStr">
        <is>
          <t/>
        </is>
      </c>
      <c r="M969" s="21" t="inlineStr">
        <is>
          <t/>
        </is>
      </c>
      <c r="N969" s="22" t="inlineStr">
        <is>
          <t/>
        </is>
      </c>
      <c r="O969" s="23" t="inlineStr">
        <is>
          <t/>
        </is>
      </c>
      <c r="P969" s="24" t="inlineStr">
        <is>
          <t/>
        </is>
      </c>
      <c r="Q969" s="25" t="inlineStr">
        <is>
          <t/>
        </is>
      </c>
      <c r="R969" s="26" t="inlineStr">
        <is>
          <t/>
        </is>
      </c>
    </row>
    <row r="970">
      <c r="A970" s="27" t="inlineStr">
        <is>
          <t>168830-83</t>
        </is>
      </c>
      <c r="B970" s="28" t="inlineStr">
        <is>
          <t>SwiftMotion</t>
        </is>
      </c>
      <c r="C970" s="29" t="n">
        <v>0.0</v>
      </c>
      <c r="D970" s="30" t="n">
        <v>0.11700259581615514</v>
      </c>
      <c r="E970" s="31" t="inlineStr">
        <is>
          <t/>
        </is>
      </c>
      <c r="F970" s="32" t="n">
        <v>5.0</v>
      </c>
      <c r="G970" s="33" t="inlineStr">
        <is>
          <t/>
        </is>
      </c>
      <c r="H970" s="34" t="n">
        <v>35.0</v>
      </c>
      <c r="I970" s="35" t="inlineStr">
        <is>
          <t/>
        </is>
      </c>
      <c r="J970" s="36" t="inlineStr">
        <is>
          <t/>
        </is>
      </c>
      <c r="K970" s="37" t="inlineStr">
        <is>
          <t>Other IT Services</t>
        </is>
      </c>
      <c r="L970" s="38" t="inlineStr">
        <is>
          <t>Developer of wearable sensors and analytics for industrial workers. The company develops IoT sensors which monitors movement and physiological metrics to assess risks and reduce injuries in work places.</t>
        </is>
      </c>
      <c r="M970" s="39" t="inlineStr">
        <is>
          <t>Skydeck | Berkeley</t>
        </is>
      </c>
      <c r="N970" s="40" t="inlineStr">
        <is>
          <t>Accelerator/Incubator Backed</t>
        </is>
      </c>
      <c r="O970" s="41" t="inlineStr">
        <is>
          <t>Privately Held (backing)</t>
        </is>
      </c>
      <c r="P970" s="42" t="inlineStr">
        <is>
          <t>Berkeley, CA</t>
        </is>
      </c>
      <c r="Q970" s="43" t="inlineStr">
        <is>
          <t>www.swiftmotion.io</t>
        </is>
      </c>
      <c r="R970" s="114">
        <f>HYPERLINK("https://my.pitchbook.com?c=168830-83", "View company online")</f>
      </c>
    </row>
    <row r="971">
      <c r="A971" s="9" t="inlineStr">
        <is>
          <t>115608-97</t>
        </is>
      </c>
      <c r="B971" s="10" t="inlineStr">
        <is>
          <t>Swiftmile</t>
        </is>
      </c>
      <c r="C971" s="11" t="n">
        <v>2.28179366187562</v>
      </c>
      <c r="D971" s="12" t="n">
        <v>0.6972743930371049</v>
      </c>
      <c r="E971" s="13" t="inlineStr">
        <is>
          <t/>
        </is>
      </c>
      <c r="F971" s="14" t="n">
        <v>41.0</v>
      </c>
      <c r="G971" s="15" t="n">
        <v>160.0</v>
      </c>
      <c r="H971" s="16" t="n">
        <v>131.0</v>
      </c>
      <c r="I971" s="17" t="n">
        <v>1.0</v>
      </c>
      <c r="J971" s="18" t="inlineStr">
        <is>
          <t/>
        </is>
      </c>
      <c r="K971" s="19" t="inlineStr">
        <is>
          <t>Automotive</t>
        </is>
      </c>
      <c r="L971" s="20" t="inlineStr">
        <is>
          <t>Maker of portable vehicles for urban transportation. The company makes compact, lightweight and easy to fold vehicles for public transit for congested urban environments.</t>
        </is>
      </c>
      <c r="M971" s="21" t="inlineStr">
        <is>
          <t>Verizon Ventures</t>
        </is>
      </c>
      <c r="N971" s="22" t="inlineStr">
        <is>
          <t>Angel-Backed</t>
        </is>
      </c>
      <c r="O971" s="23" t="inlineStr">
        <is>
          <t>Privately Held (backing)</t>
        </is>
      </c>
      <c r="P971" s="24" t="inlineStr">
        <is>
          <t>San Mateo, CA</t>
        </is>
      </c>
      <c r="Q971" s="25" t="inlineStr">
        <is>
          <t>www.swiftmile.com</t>
        </is>
      </c>
      <c r="R971" s="113">
        <f>HYPERLINK("https://my.pitchbook.com?c=115608-97", "View company online")</f>
      </c>
    </row>
    <row r="972">
      <c r="A972" s="27" t="inlineStr">
        <is>
          <t>162204-85</t>
        </is>
      </c>
      <c r="B972" s="28" t="inlineStr">
        <is>
          <t>Swift Health Systems</t>
        </is>
      </c>
      <c r="C972" s="29" t="inlineStr">
        <is>
          <t/>
        </is>
      </c>
      <c r="D972" s="30" t="inlineStr">
        <is>
          <t/>
        </is>
      </c>
      <c r="E972" s="31" t="inlineStr">
        <is>
          <t/>
        </is>
      </c>
      <c r="F972" s="32" t="inlineStr">
        <is>
          <t/>
        </is>
      </c>
      <c r="G972" s="33" t="inlineStr">
        <is>
          <t/>
        </is>
      </c>
      <c r="H972" s="34" t="inlineStr">
        <is>
          <t/>
        </is>
      </c>
      <c r="I972" s="35" t="inlineStr">
        <is>
          <t/>
        </is>
      </c>
      <c r="J972" s="36" t="n">
        <v>5.6</v>
      </c>
      <c r="K972" s="37" t="inlineStr">
        <is>
          <t>Other Devices and Supplies</t>
        </is>
      </c>
      <c r="L972" s="38" t="inlineStr">
        <is>
          <t>Developer of an orthodontic device designed to straighten teeth and perfect a patient's smile. The company's orthodontic device offers wide indications and personalized orthodontic system hidden behind the teeth and uses light and continuous forces to gently correct a smile with less pain and fewer doctor visits, enabling patients to get a better smile.</t>
        </is>
      </c>
      <c r="M972" s="39" t="inlineStr">
        <is>
          <t>EvoNexus, MedTech Innovator, OneStart</t>
        </is>
      </c>
      <c r="N972" s="40" t="inlineStr">
        <is>
          <t>Accelerator/Incubator Backed</t>
        </is>
      </c>
      <c r="O972" s="41" t="inlineStr">
        <is>
          <t>Privately Held (backing)</t>
        </is>
      </c>
      <c r="P972" s="42" t="inlineStr">
        <is>
          <t>Irvine, CA</t>
        </is>
      </c>
      <c r="Q972" s="43" t="inlineStr">
        <is>
          <t>www.myinbrace.com</t>
        </is>
      </c>
      <c r="R972" s="114">
        <f>HYPERLINK("https://my.pitchbook.com?c=162204-85", "View company online")</f>
      </c>
    </row>
    <row r="973">
      <c r="A973" s="9" t="inlineStr">
        <is>
          <t>102521-98</t>
        </is>
      </c>
      <c r="B973" s="10" t="inlineStr">
        <is>
          <t>Swggr Media</t>
        </is>
      </c>
      <c r="C973" s="11" t="n">
        <v>-0.03470657677749621</v>
      </c>
      <c r="D973" s="12" t="n">
        <v>5.097002932504037</v>
      </c>
      <c r="E973" s="13" t="inlineStr">
        <is>
          <t/>
        </is>
      </c>
      <c r="F973" s="14" t="n">
        <v>6.0</v>
      </c>
      <c r="G973" s="15" t="n">
        <v>381.0</v>
      </c>
      <c r="H973" s="16" t="n">
        <v>6937.0</v>
      </c>
      <c r="I973" s="17" t="n">
        <v>5.0</v>
      </c>
      <c r="J973" s="18" t="n">
        <v>0.11</v>
      </c>
      <c r="K973" s="19" t="inlineStr">
        <is>
          <t>Application Software</t>
        </is>
      </c>
      <c r="L973" s="20" t="inlineStr">
        <is>
          <t>Developer of an application for sharing styles from virtual closets. The company develops an application that enables users to host a virtual online closet collection where they can instantly style and share looks for themselves, as well as their friends and followers. Users collect reward points that are redeemable for discounts from their favorite brands and retailers, exclusive merchandise, and special access to fashion tastemakers.</t>
        </is>
      </c>
      <c r="M973" s="21" t="inlineStr">
        <is>
          <t>Stubbs Alderton &amp; Markiles Preccelerator</t>
        </is>
      </c>
      <c r="N973" s="22" t="inlineStr">
        <is>
          <t>Accelerator/Incubator Backed</t>
        </is>
      </c>
      <c r="O973" s="23" t="inlineStr">
        <is>
          <t>Privately Held (backing)</t>
        </is>
      </c>
      <c r="P973" s="24" t="inlineStr">
        <is>
          <t>Santa Monica, CA</t>
        </is>
      </c>
      <c r="Q973" s="25" t="inlineStr">
        <is>
          <t>www.swggr.net</t>
        </is>
      </c>
      <c r="R973" s="113">
        <f>HYPERLINK("https://my.pitchbook.com?c=102521-98", "View company online")</f>
      </c>
    </row>
    <row r="974">
      <c r="A974" s="27" t="inlineStr">
        <is>
          <t>99097-48</t>
        </is>
      </c>
      <c r="B974" s="28" t="inlineStr">
        <is>
          <t>Swenyo</t>
        </is>
      </c>
      <c r="C974" s="29" t="n">
        <v>-0.0038431406437274052</v>
      </c>
      <c r="D974" s="30" t="n">
        <v>1.2579318448883665</v>
      </c>
      <c r="E974" s="31" t="inlineStr">
        <is>
          <t/>
        </is>
      </c>
      <c r="F974" s="32" t="n">
        <v>40.0</v>
      </c>
      <c r="G974" s="33" t="n">
        <v>1155.0</v>
      </c>
      <c r="H974" s="34" t="inlineStr">
        <is>
          <t/>
        </is>
      </c>
      <c r="I974" s="35" t="n">
        <v>15.0</v>
      </c>
      <c r="J974" s="36" t="n">
        <v>1.83</v>
      </c>
      <c r="K974" s="37" t="inlineStr">
        <is>
          <t>Internet Retail</t>
        </is>
      </c>
      <c r="L974" s="38" t="inlineStr">
        <is>
          <t>Provider of an online shopping platform for home furnishing. The company offers furniture, bedding, home accessories, lamps, lightning and art and craft home decorating products.</t>
        </is>
      </c>
      <c r="M974" s="39" t="inlineStr">
        <is>
          <t>Richard Alden</t>
        </is>
      </c>
      <c r="N974" s="40" t="inlineStr">
        <is>
          <t>Angel-Backed</t>
        </is>
      </c>
      <c r="O974" s="41" t="inlineStr">
        <is>
          <t>Privately Held (backing)</t>
        </is>
      </c>
      <c r="P974" s="42" t="inlineStr">
        <is>
          <t>Encinitas, CA</t>
        </is>
      </c>
      <c r="Q974" s="43" t="inlineStr">
        <is>
          <t>www.swenyo.com</t>
        </is>
      </c>
      <c r="R974" s="114">
        <f>HYPERLINK("https://my.pitchbook.com?c=99097-48", "View company online")</f>
      </c>
    </row>
    <row r="975">
      <c r="A975" s="9" t="inlineStr">
        <is>
          <t>175209-94</t>
        </is>
      </c>
      <c r="B975" s="10" t="inlineStr">
        <is>
          <t>Swell</t>
        </is>
      </c>
      <c r="C975" s="11" t="n">
        <v>0.21778986432067177</v>
      </c>
      <c r="D975" s="12" t="n">
        <v>10.335315429125304</v>
      </c>
      <c r="E975" s="13" t="inlineStr">
        <is>
          <t/>
        </is>
      </c>
      <c r="F975" s="14" t="n">
        <v>37.0</v>
      </c>
      <c r="G975" s="15" t="n">
        <v>13186.0</v>
      </c>
      <c r="H975" s="16" t="n">
        <v>8048.0</v>
      </c>
      <c r="I975" s="17" t="inlineStr">
        <is>
          <t/>
        </is>
      </c>
      <c r="J975" s="18" t="inlineStr">
        <is>
          <t/>
        </is>
      </c>
      <c r="K975" s="19" t="inlineStr">
        <is>
          <t>Other Financial Services</t>
        </is>
      </c>
      <c r="L975" s="20" t="inlineStr">
        <is>
          <t>Developer of an impact investing platform designed to manage stock portfolios. The company's impact investing platform is designed to analyze global mega-trends to identify themes that offer high impact and potentially high returns, enabling clients to earn profits and see their wealth grow with time.</t>
        </is>
      </c>
      <c r="M975" s="21" t="inlineStr">
        <is>
          <t>Pacific LifeCorp</t>
        </is>
      </c>
      <c r="N975" s="22" t="inlineStr">
        <is>
          <t>Accelerator/Incubator Backed</t>
        </is>
      </c>
      <c r="O975" s="23" t="inlineStr">
        <is>
          <t>Privately Held (backing)</t>
        </is>
      </c>
      <c r="P975" s="24" t="inlineStr">
        <is>
          <t>Newport Beach, CA</t>
        </is>
      </c>
      <c r="Q975" s="25" t="inlineStr">
        <is>
          <t>www.swellinvesting.com</t>
        </is>
      </c>
      <c r="R975" s="113">
        <f>HYPERLINK("https://my.pitchbook.com?c=175209-94", "View company online")</f>
      </c>
    </row>
    <row r="976">
      <c r="A976" s="27" t="inlineStr">
        <is>
          <t>53418-97</t>
        </is>
      </c>
      <c r="B976" s="28" t="inlineStr">
        <is>
          <t>Sweety High</t>
        </is>
      </c>
      <c r="C976" s="29" t="n">
        <v>0.22504889256881472</v>
      </c>
      <c r="D976" s="30" t="n">
        <v>447.0822473015177</v>
      </c>
      <c r="E976" s="31" t="inlineStr">
        <is>
          <t/>
        </is>
      </c>
      <c r="F976" s="32" t="n">
        <v>713.0</v>
      </c>
      <c r="G976" s="33" t="n">
        <v>186551.0</v>
      </c>
      <c r="H976" s="34" t="n">
        <v>537179.0</v>
      </c>
      <c r="I976" s="35" t="n">
        <v>27.0</v>
      </c>
      <c r="J976" s="36" t="n">
        <v>5.38</v>
      </c>
      <c r="K976" s="37" t="inlineStr">
        <is>
          <t>Social/Platform Software</t>
        </is>
      </c>
      <c r="L976" s="38" t="inlineStr">
        <is>
          <t>Developer of an online software platform for girls. The company provides an online networking platform which allows girls to support each other in art, entertainment and design.</t>
        </is>
      </c>
      <c r="M976" s="39" t="inlineStr">
        <is>
          <t>Individual Investor</t>
        </is>
      </c>
      <c r="N976" s="40" t="inlineStr">
        <is>
          <t>Angel-Backed</t>
        </is>
      </c>
      <c r="O976" s="41" t="inlineStr">
        <is>
          <t>Privately Held (backing)</t>
        </is>
      </c>
      <c r="P976" s="42" t="inlineStr">
        <is>
          <t>Los Angeles, CA</t>
        </is>
      </c>
      <c r="Q976" s="43" t="inlineStr">
        <is>
          <t>www.sweetyhigh.com</t>
        </is>
      </c>
      <c r="R976" s="114">
        <f>HYPERLINK("https://my.pitchbook.com?c=53418-97", "View company online")</f>
      </c>
    </row>
    <row r="977">
      <c r="A977" s="9" t="inlineStr">
        <is>
          <t>150975-46</t>
        </is>
      </c>
      <c r="B977" s="10" t="inlineStr">
        <is>
          <t>Sweetfin Poke</t>
        </is>
      </c>
      <c r="C977" s="11" t="n">
        <v>0.22617080568948744</v>
      </c>
      <c r="D977" s="12" t="n">
        <v>5.811302967879977</v>
      </c>
      <c r="E977" s="13" t="inlineStr">
        <is>
          <t/>
        </is>
      </c>
      <c r="F977" s="14" t="n">
        <v>171.0</v>
      </c>
      <c r="G977" s="15" t="n">
        <v>10707.0</v>
      </c>
      <c r="H977" s="16" t="n">
        <v>244.0</v>
      </c>
      <c r="I977" s="17" t="inlineStr">
        <is>
          <t/>
        </is>
      </c>
      <c r="J977" s="18" t="inlineStr">
        <is>
          <t/>
        </is>
      </c>
      <c r="K977" s="19" t="inlineStr">
        <is>
          <t>Food Products</t>
        </is>
      </c>
      <c r="L977" s="20" t="inlineStr">
        <is>
          <t>Operator of a restaurant chain. The company operates a restaurant chain in California offering healthy Hawaiian cuisine.</t>
        </is>
      </c>
      <c r="M977" s="21" t="inlineStr">
        <is>
          <t>David Swinghamer, Larry Mindel</t>
        </is>
      </c>
      <c r="N977" s="22" t="inlineStr">
        <is>
          <t>Angel-Backed</t>
        </is>
      </c>
      <c r="O977" s="23" t="inlineStr">
        <is>
          <t>Privately Held (backing)</t>
        </is>
      </c>
      <c r="P977" s="24" t="inlineStr">
        <is>
          <t>Santa Monica, CA</t>
        </is>
      </c>
      <c r="Q977" s="25" t="inlineStr">
        <is>
          <t>www.sweetfinpoke.com</t>
        </is>
      </c>
      <c r="R977" s="113">
        <f>HYPERLINK("https://my.pitchbook.com?c=150975-46", "View company online")</f>
      </c>
    </row>
    <row r="978">
      <c r="A978" s="27" t="inlineStr">
        <is>
          <t>149332-42</t>
        </is>
      </c>
      <c r="B978" s="28" t="inlineStr">
        <is>
          <t>SweatGuru</t>
        </is>
      </c>
      <c r="C978" s="29" t="n">
        <v>-0.003462744229639872</v>
      </c>
      <c r="D978" s="30" t="n">
        <v>13.374338337179163</v>
      </c>
      <c r="E978" s="31" t="inlineStr">
        <is>
          <t/>
        </is>
      </c>
      <c r="F978" s="32" t="n">
        <v>1.0</v>
      </c>
      <c r="G978" s="33" t="n">
        <v>4798.0</v>
      </c>
      <c r="H978" s="34" t="n">
        <v>16812.0</v>
      </c>
      <c r="I978" s="35" t="inlineStr">
        <is>
          <t/>
        </is>
      </c>
      <c r="J978" s="36" t="n">
        <v>0.6</v>
      </c>
      <c r="K978" s="37" t="inlineStr">
        <is>
          <t>Other Services (B2C Non-Financial)</t>
        </is>
      </c>
      <c r="L978" s="38" t="inlineStr">
        <is>
          <t>Provider of an online platform for finding exercise and fitness classes. The company provides an online platform which allows the user to find, book and organize exercise and fitness classes including yoga, gym and other forms of exercise classes in a specified geographical area.</t>
        </is>
      </c>
      <c r="M978" s="39" t="inlineStr">
        <is>
          <t>Casey King, Founder.org, Jesse Brill, Tech.Co, UC Berkeley, Yelena Bushman</t>
        </is>
      </c>
      <c r="N978" s="40" t="inlineStr">
        <is>
          <t>Accelerator/Incubator Backed</t>
        </is>
      </c>
      <c r="O978" s="41" t="inlineStr">
        <is>
          <t>Privately Held (backing)</t>
        </is>
      </c>
      <c r="P978" s="42" t="inlineStr">
        <is>
          <t>San Francisco, CA</t>
        </is>
      </c>
      <c r="Q978" s="43" t="inlineStr">
        <is>
          <t>www.about.sweatguru.com</t>
        </is>
      </c>
      <c r="R978" s="114">
        <f>HYPERLINK("https://my.pitchbook.com?c=149332-42", "View company online")</f>
      </c>
    </row>
    <row r="979">
      <c r="A979" s="9" t="inlineStr">
        <is>
          <t>172677-61</t>
        </is>
      </c>
      <c r="B979" s="10" t="inlineStr">
        <is>
          <t>Swch</t>
        </is>
      </c>
      <c r="C979" s="85">
        <f>HYPERLINK("https://my.pitchbook.com?rrp=172677-61&amp;type=c", "This Company's information is not available to download. Need this Company? Request availability")</f>
      </c>
      <c r="D979" s="12" t="inlineStr">
        <is>
          <t/>
        </is>
      </c>
      <c r="E979" s="13" t="inlineStr">
        <is>
          <t/>
        </is>
      </c>
      <c r="F979" s="14" t="inlineStr">
        <is>
          <t/>
        </is>
      </c>
      <c r="G979" s="15" t="inlineStr">
        <is>
          <t/>
        </is>
      </c>
      <c r="H979" s="16" t="inlineStr">
        <is>
          <t/>
        </is>
      </c>
      <c r="I979" s="17" t="inlineStr">
        <is>
          <t/>
        </is>
      </c>
      <c r="J979" s="18" t="inlineStr">
        <is>
          <t/>
        </is>
      </c>
      <c r="K979" s="19" t="inlineStr">
        <is>
          <t/>
        </is>
      </c>
      <c r="L979" s="20" t="inlineStr">
        <is>
          <t/>
        </is>
      </c>
      <c r="M979" s="21" t="inlineStr">
        <is>
          <t/>
        </is>
      </c>
      <c r="N979" s="22" t="inlineStr">
        <is>
          <t/>
        </is>
      </c>
      <c r="O979" s="23" t="inlineStr">
        <is>
          <t/>
        </is>
      </c>
      <c r="P979" s="24" t="inlineStr">
        <is>
          <t/>
        </is>
      </c>
      <c r="Q979" s="25" t="inlineStr">
        <is>
          <t/>
        </is>
      </c>
      <c r="R979" s="26" t="inlineStr">
        <is>
          <t/>
        </is>
      </c>
    </row>
    <row r="980">
      <c r="A980" s="27" t="inlineStr">
        <is>
          <t>102389-59</t>
        </is>
      </c>
      <c r="B980" s="28" t="inlineStr">
        <is>
          <t>Sway Network</t>
        </is>
      </c>
      <c r="C980" s="29" t="n">
        <v>0.0</v>
      </c>
      <c r="D980" s="30" t="n">
        <v>0.1891891891891892</v>
      </c>
      <c r="E980" s="31" t="inlineStr">
        <is>
          <t/>
        </is>
      </c>
      <c r="F980" s="32" t="n">
        <v>7.0</v>
      </c>
      <c r="G980" s="33" t="inlineStr">
        <is>
          <t/>
        </is>
      </c>
      <c r="H980" s="34" t="inlineStr">
        <is>
          <t/>
        </is>
      </c>
      <c r="I980" s="35" t="inlineStr">
        <is>
          <t/>
        </is>
      </c>
      <c r="J980" s="36" t="inlineStr">
        <is>
          <t/>
        </is>
      </c>
      <c r="K980" s="37" t="inlineStr">
        <is>
          <t>Application Software</t>
        </is>
      </c>
      <c r="L980" s="38" t="inlineStr">
        <is>
          <t>Developer of an smartphone dating application. The company's application allows to meet new people.</t>
        </is>
      </c>
      <c r="M980" s="39" t="inlineStr">
        <is>
          <t>Science</t>
        </is>
      </c>
      <c r="N980" s="40" t="inlineStr">
        <is>
          <t>Accelerator/Incubator Backed</t>
        </is>
      </c>
      <c r="O980" s="41" t="inlineStr">
        <is>
          <t>Privately Held (backing)</t>
        </is>
      </c>
      <c r="P980" s="42" t="inlineStr">
        <is>
          <t>Santa Monica, CA</t>
        </is>
      </c>
      <c r="Q980" s="43" t="inlineStr">
        <is>
          <t>www.findsway.com</t>
        </is>
      </c>
      <c r="R980" s="114">
        <f>HYPERLINK("https://my.pitchbook.com?c=102389-59", "View company online")</f>
      </c>
    </row>
    <row r="981">
      <c r="A981" s="9" t="inlineStr">
        <is>
          <t>156491-83</t>
        </is>
      </c>
      <c r="B981" s="10" t="inlineStr">
        <is>
          <t>Sway Finance</t>
        </is>
      </c>
      <c r="C981" s="11" t="n">
        <v>-0.9171700465027087</v>
      </c>
      <c r="D981" s="12" t="n">
        <v>1.20737538517568</v>
      </c>
      <c r="E981" s="13" t="inlineStr">
        <is>
          <t/>
        </is>
      </c>
      <c r="F981" s="14" t="n">
        <v>82.0</v>
      </c>
      <c r="G981" s="15" t="n">
        <v>51.0</v>
      </c>
      <c r="H981" s="16" t="n">
        <v>98.0</v>
      </c>
      <c r="I981" s="17" t="inlineStr">
        <is>
          <t/>
        </is>
      </c>
      <c r="J981" s="18" t="n">
        <v>0.02</v>
      </c>
      <c r="K981" s="19" t="inlineStr">
        <is>
          <t>Financial Software</t>
        </is>
      </c>
      <c r="L981" s="20" t="inlineStr">
        <is>
          <t>Developer of a chat bot to manage personal finance. The company develops an artificial intelligence based chat bot application that manages a company's revenue, financial updates, expenses and bank balances on demand.</t>
        </is>
      </c>
      <c r="M981" s="21" t="inlineStr">
        <is>
          <t>Slack Technologies, Y Combinator</t>
        </is>
      </c>
      <c r="N981" s="22" t="inlineStr">
        <is>
          <t>Accelerator/Incubator Backed</t>
        </is>
      </c>
      <c r="O981" s="23" t="inlineStr">
        <is>
          <t>Privately Held (backing)</t>
        </is>
      </c>
      <c r="P981" s="24" t="inlineStr">
        <is>
          <t>San Francisco, CA</t>
        </is>
      </c>
      <c r="Q981" s="25" t="inlineStr">
        <is>
          <t>www.swayfinance.com</t>
        </is>
      </c>
      <c r="R981" s="113">
        <f>HYPERLINK("https://my.pitchbook.com?c=156491-83", "View company online")</f>
      </c>
    </row>
    <row r="982">
      <c r="A982" s="27" t="inlineStr">
        <is>
          <t>121763-98</t>
        </is>
      </c>
      <c r="B982" s="28" t="inlineStr">
        <is>
          <t>Swarm (Collaborative Organizations)</t>
        </is>
      </c>
      <c r="C982" s="29" t="n">
        <v>-0.1507872704632867</v>
      </c>
      <c r="D982" s="30" t="n">
        <v>5.211482669109788</v>
      </c>
      <c r="E982" s="31" t="inlineStr">
        <is>
          <t/>
        </is>
      </c>
      <c r="F982" s="32" t="n">
        <v>107.0</v>
      </c>
      <c r="G982" s="33" t="inlineStr">
        <is>
          <t/>
        </is>
      </c>
      <c r="H982" s="34" t="n">
        <v>2664.0</v>
      </c>
      <c r="I982" s="35" t="n">
        <v>11.0</v>
      </c>
      <c r="J982" s="36" t="n">
        <v>1.01</v>
      </c>
      <c r="K982" s="37" t="inlineStr">
        <is>
          <t>Financial Software</t>
        </is>
      </c>
      <c r="L982" s="38" t="inlineStr">
        <is>
          <t>Provider of an online financial platform for equity market. The company provides a crowdfunding network for funding innovation and re-imagining equity markets with block-chain technology.</t>
        </is>
      </c>
      <c r="M982" s="39" t="inlineStr">
        <is>
          <t>Alexander Shelkovnikov, Anthony Cros, Daniel Neukomm, Munjal Shah, Nathan Kaiser, Sam Clare, Techstars, Thomas Olson, Yushan Ventures</t>
        </is>
      </c>
      <c r="N982" s="40" t="inlineStr">
        <is>
          <t>Accelerator/Incubator Backed</t>
        </is>
      </c>
      <c r="O982" s="41" t="inlineStr">
        <is>
          <t>Privately Held (backing)</t>
        </is>
      </c>
      <c r="P982" s="42" t="inlineStr">
        <is>
          <t>Palo Alto, CA</t>
        </is>
      </c>
      <c r="Q982" s="43" t="inlineStr">
        <is>
          <t>www.swarm.co</t>
        </is>
      </c>
      <c r="R982" s="114">
        <f>HYPERLINK("https://my.pitchbook.com?c=121763-98", "View company online")</f>
      </c>
    </row>
    <row r="983">
      <c r="A983" s="9" t="inlineStr">
        <is>
          <t>177450-76</t>
        </is>
      </c>
      <c r="B983" s="10" t="inlineStr">
        <is>
          <t>SVOI</t>
        </is>
      </c>
      <c r="C983" s="85">
        <f>HYPERLINK("https://my.pitchbook.com?rrp=177450-76&amp;type=c", "This Company's information is not available to download. Need this Company? Request availability")</f>
      </c>
      <c r="D983" s="12" t="inlineStr">
        <is>
          <t/>
        </is>
      </c>
      <c r="E983" s="13" t="inlineStr">
        <is>
          <t/>
        </is>
      </c>
      <c r="F983" s="14" t="inlineStr">
        <is>
          <t/>
        </is>
      </c>
      <c r="G983" s="15" t="inlineStr">
        <is>
          <t/>
        </is>
      </c>
      <c r="H983" s="16" t="inlineStr">
        <is>
          <t/>
        </is>
      </c>
      <c r="I983" s="17" t="inlineStr">
        <is>
          <t/>
        </is>
      </c>
      <c r="J983" s="18" t="inlineStr">
        <is>
          <t/>
        </is>
      </c>
      <c r="K983" s="19" t="inlineStr">
        <is>
          <t/>
        </is>
      </c>
      <c r="L983" s="20" t="inlineStr">
        <is>
          <t/>
        </is>
      </c>
      <c r="M983" s="21" t="inlineStr">
        <is>
          <t/>
        </is>
      </c>
      <c r="N983" s="22" t="inlineStr">
        <is>
          <t/>
        </is>
      </c>
      <c r="O983" s="23" t="inlineStr">
        <is>
          <t/>
        </is>
      </c>
      <c r="P983" s="24" t="inlineStr">
        <is>
          <t/>
        </is>
      </c>
      <c r="Q983" s="25" t="inlineStr">
        <is>
          <t/>
        </is>
      </c>
      <c r="R983" s="26" t="inlineStr">
        <is>
          <t/>
        </is>
      </c>
    </row>
    <row r="984">
      <c r="A984" s="27" t="inlineStr">
        <is>
          <t>106959-25</t>
        </is>
      </c>
      <c r="B984" s="28" t="inlineStr">
        <is>
          <t>Suture Ease</t>
        </is>
      </c>
      <c r="C984" s="29" t="n">
        <v>0.0</v>
      </c>
      <c r="D984" s="30" t="n">
        <v>0.2972972972972973</v>
      </c>
      <c r="E984" s="31" t="inlineStr">
        <is>
          <t/>
        </is>
      </c>
      <c r="F984" s="32" t="n">
        <v>11.0</v>
      </c>
      <c r="G984" s="33" t="inlineStr">
        <is>
          <t/>
        </is>
      </c>
      <c r="H984" s="34" t="inlineStr">
        <is>
          <t/>
        </is>
      </c>
      <c r="I984" s="35" t="inlineStr">
        <is>
          <t/>
        </is>
      </c>
      <c r="J984" s="36" t="inlineStr">
        <is>
          <t/>
        </is>
      </c>
      <c r="K984" s="37" t="inlineStr">
        <is>
          <t>Other Devices and Supplies</t>
        </is>
      </c>
      <c r="L984" s="38" t="inlineStr">
        <is>
          <t>Developer of laparoscopic port site closure device. The company develops laparoscopic devices for closure of port site punctures.</t>
        </is>
      </c>
      <c r="M984" s="39" t="inlineStr">
        <is>
          <t>Camran Nezhat, Individual Investor, Innovation Capital Law Group, Joe Wasco, Josh Fookes, Marker Medical, Phoenix DeVentures, SAGE - Shasta Angel Group for Entrepreneurs</t>
        </is>
      </c>
      <c r="N984" s="40" t="inlineStr">
        <is>
          <t>Angel-Backed</t>
        </is>
      </c>
      <c r="O984" s="41" t="inlineStr">
        <is>
          <t>Privately Held (backing)</t>
        </is>
      </c>
      <c r="P984" s="42" t="inlineStr">
        <is>
          <t>San Jose, CA</t>
        </is>
      </c>
      <c r="Q984" s="43" t="inlineStr">
        <is>
          <t>www.suturease.com</t>
        </is>
      </c>
      <c r="R984" s="114">
        <f>HYPERLINK("https://my.pitchbook.com?c=106959-25", "View company online")</f>
      </c>
    </row>
    <row r="985">
      <c r="A985" s="9" t="inlineStr">
        <is>
          <t>90485-56</t>
        </is>
      </c>
      <c r="B985" s="10" t="inlineStr">
        <is>
          <t>SutiSoft</t>
        </is>
      </c>
      <c r="C985" s="11" t="n">
        <v>0.9276645586138069</v>
      </c>
      <c r="D985" s="12" t="n">
        <v>9.524912437440072</v>
      </c>
      <c r="E985" s="13" t="inlineStr">
        <is>
          <t/>
        </is>
      </c>
      <c r="F985" s="14" t="n">
        <v>602.0</v>
      </c>
      <c r="G985" s="15" t="n">
        <v>1436.0</v>
      </c>
      <c r="H985" s="16" t="n">
        <v>1268.0</v>
      </c>
      <c r="I985" s="17" t="n">
        <v>3.0</v>
      </c>
      <c r="J985" s="18" t="inlineStr">
        <is>
          <t/>
        </is>
      </c>
      <c r="K985" s="19" t="inlineStr">
        <is>
          <t>Business/Productivity Software</t>
        </is>
      </c>
      <c r="L985" s="20" t="inlineStr">
        <is>
          <t>Developer of cloud-based business management platforms designed to improve business performance and competitive edge. The company offers spend, HR, WEM and CRM platform for expense reporting, property management, invoicing, HR management, performance tracking, expense management and data analytics, enabling enterprises to reduce costs and drive efficiencies.</t>
        </is>
      </c>
      <c r="M985" s="21" t="inlineStr">
        <is>
          <t/>
        </is>
      </c>
      <c r="N985" s="22" t="inlineStr">
        <is>
          <t>Angel-Backed</t>
        </is>
      </c>
      <c r="O985" s="23" t="inlineStr">
        <is>
          <t>Privately Held (backing)</t>
        </is>
      </c>
      <c r="P985" s="24" t="inlineStr">
        <is>
          <t>Los Altos, CA</t>
        </is>
      </c>
      <c r="Q985" s="25" t="inlineStr">
        <is>
          <t>www.sutisoft.com</t>
        </is>
      </c>
      <c r="R985" s="113">
        <f>HYPERLINK("https://my.pitchbook.com?c=90485-56", "View company online")</f>
      </c>
    </row>
    <row r="986">
      <c r="A986" s="27" t="inlineStr">
        <is>
          <t>92623-87</t>
        </is>
      </c>
      <c r="B986" s="28" t="inlineStr">
        <is>
          <t>Sustaining Technologies</t>
        </is>
      </c>
      <c r="C986" s="29" t="n">
        <v>0.0</v>
      </c>
      <c r="D986" s="30" t="n">
        <v>0.02702702702702703</v>
      </c>
      <c r="E986" s="31" t="inlineStr">
        <is>
          <t/>
        </is>
      </c>
      <c r="F986" s="32" t="n">
        <v>1.0</v>
      </c>
      <c r="G986" s="33" t="inlineStr">
        <is>
          <t/>
        </is>
      </c>
      <c r="H986" s="34" t="inlineStr">
        <is>
          <t/>
        </is>
      </c>
      <c r="I986" s="35" t="n">
        <v>5.0</v>
      </c>
      <c r="J986" s="36" t="n">
        <v>0.2</v>
      </c>
      <c r="K986" s="37" t="inlineStr">
        <is>
          <t>Consulting Services (B2B)</t>
        </is>
      </c>
      <c r="L986" s="38" t="inlineStr">
        <is>
          <t>Provider of economic development services. The company engages in offering community economic development services.</t>
        </is>
      </c>
      <c r="M986" s="39" t="inlineStr">
        <is>
          <t/>
        </is>
      </c>
      <c r="N986" s="40" t="inlineStr">
        <is>
          <t>Angel-Backed</t>
        </is>
      </c>
      <c r="O986" s="41" t="inlineStr">
        <is>
          <t>Privately Held (backing)</t>
        </is>
      </c>
      <c r="P986" s="42" t="inlineStr">
        <is>
          <t>Santa Rosa, CA</t>
        </is>
      </c>
      <c r="Q986" s="43" t="inlineStr">
        <is>
          <t>www.sustainingtechnologies.com</t>
        </is>
      </c>
      <c r="R986" s="114">
        <f>HYPERLINK("https://my.pitchbook.com?c=92623-87", "View company online")</f>
      </c>
    </row>
    <row r="987">
      <c r="A987" s="9" t="inlineStr">
        <is>
          <t>161407-09</t>
        </is>
      </c>
      <c r="B987" s="10" t="inlineStr">
        <is>
          <t>Sustainable Now Technologies</t>
        </is>
      </c>
      <c r="C987" s="11" t="n">
        <v>-0.00782831407862044</v>
      </c>
      <c r="D987" s="12" t="n">
        <v>0.47870776345352617</v>
      </c>
      <c r="E987" s="13" t="inlineStr">
        <is>
          <t/>
        </is>
      </c>
      <c r="F987" s="14" t="n">
        <v>12.0</v>
      </c>
      <c r="G987" s="15" t="n">
        <v>851.0</v>
      </c>
      <c r="H987" s="16" t="n">
        <v>74.0</v>
      </c>
      <c r="I987" s="17" t="inlineStr">
        <is>
          <t/>
        </is>
      </c>
      <c r="J987" s="18" t="n">
        <v>0.02</v>
      </c>
      <c r="K987" s="19" t="inlineStr">
        <is>
          <t>Other Equipment</t>
        </is>
      </c>
      <c r="L987" s="20" t="inlineStr">
        <is>
          <t>Manufacturer of sustainable products created to reduce carbon content in the environment. The company designs and builds a device that reduces carbon content in the environment and produces organic algae biomass enabling users to reduce their carbon footprint and cleanse the environment.</t>
        </is>
      </c>
      <c r="M987" s="21" t="inlineStr">
        <is>
          <t/>
        </is>
      </c>
      <c r="N987" s="22" t="inlineStr">
        <is>
          <t>Angel-Backed</t>
        </is>
      </c>
      <c r="O987" s="23" t="inlineStr">
        <is>
          <t>Privately Held (backing)</t>
        </is>
      </c>
      <c r="P987" s="24" t="inlineStr">
        <is>
          <t>Signal Hill, CA</t>
        </is>
      </c>
      <c r="Q987" s="25" t="inlineStr">
        <is>
          <t>www.sustainablenowtechnologies.com</t>
        </is>
      </c>
      <c r="R987" s="113">
        <f>HYPERLINK("https://my.pitchbook.com?c=161407-09", "View company online")</f>
      </c>
    </row>
    <row r="988">
      <c r="A988" s="27" t="inlineStr">
        <is>
          <t>53495-83</t>
        </is>
      </c>
      <c r="B988" s="28" t="inlineStr">
        <is>
          <t>Sustainable Life Media</t>
        </is>
      </c>
      <c r="C988" s="29" t="n">
        <v>0.54794316304685</v>
      </c>
      <c r="D988" s="30" t="n">
        <v>143.62438013863954</v>
      </c>
      <c r="E988" s="31" t="inlineStr">
        <is>
          <t/>
        </is>
      </c>
      <c r="F988" s="32" t="n">
        <v>5697.0</v>
      </c>
      <c r="G988" s="33" t="n">
        <v>20774.0</v>
      </c>
      <c r="H988" s="34" t="n">
        <v>83720.0</v>
      </c>
      <c r="I988" s="35" t="inlineStr">
        <is>
          <t/>
        </is>
      </c>
      <c r="J988" s="36" t="inlineStr">
        <is>
          <t/>
        </is>
      </c>
      <c r="K988" s="37" t="inlineStr">
        <is>
          <t>Media and Information Services (B2B)</t>
        </is>
      </c>
      <c r="L988" s="38" t="inlineStr">
        <is>
          <t>Provider of business-to-business media and event services.</t>
        </is>
      </c>
      <c r="M988" s="39" t="inlineStr">
        <is>
          <t>Individual Investor</t>
        </is>
      </c>
      <c r="N988" s="40" t="inlineStr">
        <is>
          <t>Angel-Backed</t>
        </is>
      </c>
      <c r="O988" s="41" t="inlineStr">
        <is>
          <t>Privately Held (backing)</t>
        </is>
      </c>
      <c r="P988" s="42" t="inlineStr">
        <is>
          <t>Burlingame, CA</t>
        </is>
      </c>
      <c r="Q988" s="43" t="inlineStr">
        <is>
          <t>www.sustainablebrands.com</t>
        </is>
      </c>
      <c r="R988" s="114">
        <f>HYPERLINK("https://my.pitchbook.com?c=53495-83", "View company online")</f>
      </c>
    </row>
    <row r="989">
      <c r="A989" s="9" t="inlineStr">
        <is>
          <t>171570-52</t>
        </is>
      </c>
      <c r="B989" s="10" t="inlineStr">
        <is>
          <t>Survox</t>
        </is>
      </c>
      <c r="C989" s="85">
        <f>HYPERLINK("https://my.pitchbook.com?rrp=171570-52&amp;type=c", "This Company's information is not available to download. Need this Company? Request availability")</f>
      </c>
      <c r="D989" s="12" t="inlineStr">
        <is>
          <t/>
        </is>
      </c>
      <c r="E989" s="13" t="inlineStr">
        <is>
          <t/>
        </is>
      </c>
      <c r="F989" s="14" t="inlineStr">
        <is>
          <t/>
        </is>
      </c>
      <c r="G989" s="15" t="inlineStr">
        <is>
          <t/>
        </is>
      </c>
      <c r="H989" s="16" t="inlineStr">
        <is>
          <t/>
        </is>
      </c>
      <c r="I989" s="17" t="inlineStr">
        <is>
          <t/>
        </is>
      </c>
      <c r="J989" s="18" t="inlineStr">
        <is>
          <t/>
        </is>
      </c>
      <c r="K989" s="19" t="inlineStr">
        <is>
          <t/>
        </is>
      </c>
      <c r="L989" s="20" t="inlineStr">
        <is>
          <t/>
        </is>
      </c>
      <c r="M989" s="21" t="inlineStr">
        <is>
          <t/>
        </is>
      </c>
      <c r="N989" s="22" t="inlineStr">
        <is>
          <t/>
        </is>
      </c>
      <c r="O989" s="23" t="inlineStr">
        <is>
          <t/>
        </is>
      </c>
      <c r="P989" s="24" t="inlineStr">
        <is>
          <t/>
        </is>
      </c>
      <c r="Q989" s="25" t="inlineStr">
        <is>
          <t/>
        </is>
      </c>
      <c r="R989" s="26" t="inlineStr">
        <is>
          <t/>
        </is>
      </c>
    </row>
    <row r="990">
      <c r="A990" s="27" t="inlineStr">
        <is>
          <t>94036-69</t>
        </is>
      </c>
      <c r="B990" s="28" t="inlineStr">
        <is>
          <t>Survmetrics</t>
        </is>
      </c>
      <c r="C990" s="29" t="n">
        <v>-0.03562512293701124</v>
      </c>
      <c r="D990" s="30" t="n">
        <v>5.4043301381179045</v>
      </c>
      <c r="E990" s="31" t="inlineStr">
        <is>
          <t/>
        </is>
      </c>
      <c r="F990" s="32" t="n">
        <v>10.0</v>
      </c>
      <c r="G990" s="33" t="n">
        <v>13769.0</v>
      </c>
      <c r="H990" s="34" t="n">
        <v>1409.0</v>
      </c>
      <c r="I990" s="35" t="n">
        <v>3.0</v>
      </c>
      <c r="J990" s="36" t="n">
        <v>0.1</v>
      </c>
      <c r="K990" s="37" t="inlineStr">
        <is>
          <t>Social/Platform Software</t>
        </is>
      </c>
      <c r="L990" s="38" t="inlineStr">
        <is>
          <t>Provider of an online survey platform. The company helps its users to create surveys with an improved user experience and higher response rates. It also enables its users to create surveys that promotes the engagement with their clients.</t>
        </is>
      </c>
      <c r="M990" s="39" t="inlineStr">
        <is>
          <t>500 Startups, Hernando Guzman, Michael Momsen, Mike Okyere, Orange Fab, Rasmus Wilhelmsen, Sean Percival, Suzanne Andrews</t>
        </is>
      </c>
      <c r="N990" s="40" t="inlineStr">
        <is>
          <t>Accelerator/Incubator Backed</t>
        </is>
      </c>
      <c r="O990" s="41" t="inlineStr">
        <is>
          <t>Privately Held (backing)</t>
        </is>
      </c>
      <c r="P990" s="42" t="inlineStr">
        <is>
          <t>Mountain View, CA</t>
        </is>
      </c>
      <c r="Q990" s="43" t="inlineStr">
        <is>
          <t>www.survmetrics.com</t>
        </is>
      </c>
      <c r="R990" s="114">
        <f>HYPERLINK("https://my.pitchbook.com?c=94036-69", "View company online")</f>
      </c>
    </row>
    <row r="991">
      <c r="A991" s="9" t="inlineStr">
        <is>
          <t>156818-89</t>
        </is>
      </c>
      <c r="B991" s="10" t="inlineStr">
        <is>
          <t>Surveyor Health</t>
        </is>
      </c>
      <c r="C991" s="11" t="n">
        <v>0.0</v>
      </c>
      <c r="D991" s="12" t="n">
        <v>1.1081081081081081</v>
      </c>
      <c r="E991" s="13" t="inlineStr">
        <is>
          <t/>
        </is>
      </c>
      <c r="F991" s="14" t="n">
        <v>41.0</v>
      </c>
      <c r="G991" s="15" t="inlineStr">
        <is>
          <t/>
        </is>
      </c>
      <c r="H991" s="16" t="inlineStr">
        <is>
          <t/>
        </is>
      </c>
      <c r="I991" s="17" t="inlineStr">
        <is>
          <t/>
        </is>
      </c>
      <c r="J991" s="18" t="n">
        <v>0.1</v>
      </c>
      <c r="K991" s="19" t="inlineStr">
        <is>
          <t>Other Healthcare Technology Systems</t>
        </is>
      </c>
      <c r="L991" s="20" t="inlineStr">
        <is>
          <t>Provider of an online medication reviews discovery platform. The company offers a Web-based platform and mobile application that allows healthcare providers to reduce additive side effects, interactions, contraindications, high risk drugs, and duplicate therapy.</t>
        </is>
      </c>
      <c r="M991" s="21" t="inlineStr">
        <is>
          <t/>
        </is>
      </c>
      <c r="N991" s="22" t="inlineStr">
        <is>
          <t>Angel-Backed</t>
        </is>
      </c>
      <c r="O991" s="23" t="inlineStr">
        <is>
          <t>Privately Held (backing)</t>
        </is>
      </c>
      <c r="P991" s="24" t="inlineStr">
        <is>
          <t>Foster City, CA</t>
        </is>
      </c>
      <c r="Q991" s="25" t="inlineStr">
        <is>
          <t>www.surveyorhealth.com</t>
        </is>
      </c>
      <c r="R991" s="113">
        <f>HYPERLINK("https://my.pitchbook.com?c=156818-89", "View company online")</f>
      </c>
    </row>
    <row r="992">
      <c r="A992" s="27" t="inlineStr">
        <is>
          <t>149991-49</t>
        </is>
      </c>
      <c r="B992" s="28" t="inlineStr">
        <is>
          <t>Surgicare of La Veta</t>
        </is>
      </c>
      <c r="C992" s="29" t="n">
        <v>0.0</v>
      </c>
      <c r="D992" s="30" t="n">
        <v>0.6216216216216216</v>
      </c>
      <c r="E992" s="31" t="inlineStr">
        <is>
          <t/>
        </is>
      </c>
      <c r="F992" s="32" t="n">
        <v>23.0</v>
      </c>
      <c r="G992" s="33" t="inlineStr">
        <is>
          <t/>
        </is>
      </c>
      <c r="H992" s="34" t="inlineStr">
        <is>
          <t/>
        </is>
      </c>
      <c r="I992" s="35" t="inlineStr">
        <is>
          <t/>
        </is>
      </c>
      <c r="J992" s="36" t="n">
        <v>0.54</v>
      </c>
      <c r="K992" s="37" t="inlineStr">
        <is>
          <t>Clinics/Outpatient Services</t>
        </is>
      </c>
      <c r="L992" s="38" t="inlineStr">
        <is>
          <t>Operator of an outpatient surgical care center. The company operates an outpatient surgical care center in the United States.</t>
        </is>
      </c>
      <c r="M992" s="39" t="inlineStr">
        <is>
          <t/>
        </is>
      </c>
      <c r="N992" s="40" t="inlineStr">
        <is>
          <t>Angel-Backed</t>
        </is>
      </c>
      <c r="O992" s="41" t="inlineStr">
        <is>
          <t>Privately Held (backing)</t>
        </is>
      </c>
      <c r="P992" s="42" t="inlineStr">
        <is>
          <t>Orange, CA</t>
        </is>
      </c>
      <c r="Q992" s="43" t="inlineStr">
        <is>
          <t>www.lavetasurgical.com</t>
        </is>
      </c>
      <c r="R992" s="114">
        <f>HYPERLINK("https://my.pitchbook.com?c=149991-49", "View company online")</f>
      </c>
    </row>
    <row r="993">
      <c r="A993" s="9" t="inlineStr">
        <is>
          <t>111317-95</t>
        </is>
      </c>
      <c r="B993" s="10" t="inlineStr">
        <is>
          <t>Surfing Donkey Cocktail</t>
        </is>
      </c>
      <c r="C993" s="11" t="n">
        <v>0.0</v>
      </c>
      <c r="D993" s="12" t="n">
        <v>0.13513513513513514</v>
      </c>
      <c r="E993" s="13" t="inlineStr">
        <is>
          <t/>
        </is>
      </c>
      <c r="F993" s="14" t="n">
        <v>5.0</v>
      </c>
      <c r="G993" s="15" t="inlineStr">
        <is>
          <t/>
        </is>
      </c>
      <c r="H993" s="16" t="inlineStr">
        <is>
          <t/>
        </is>
      </c>
      <c r="I993" s="17" t="inlineStr">
        <is>
          <t/>
        </is>
      </c>
      <c r="J993" s="18" t="n">
        <v>0.25</v>
      </c>
      <c r="K993" s="19" t="inlineStr">
        <is>
          <t>Beverages</t>
        </is>
      </c>
      <c r="L993" s="20" t="inlineStr">
        <is>
          <t>Provider of craft cocktail beverages. The company offers handcrafted cocktails using spirits and other organic ingredients.</t>
        </is>
      </c>
      <c r="M993" s="21" t="inlineStr">
        <is>
          <t/>
        </is>
      </c>
      <c r="N993" s="22" t="inlineStr">
        <is>
          <t>Angel-Backed</t>
        </is>
      </c>
      <c r="O993" s="23" t="inlineStr">
        <is>
          <t>Privately Held (backing)</t>
        </is>
      </c>
      <c r="P993" s="24" t="inlineStr">
        <is>
          <t>Santa Monica, CA</t>
        </is>
      </c>
      <c r="Q993" s="25" t="inlineStr">
        <is>
          <t>www.surfingdonkey.com</t>
        </is>
      </c>
      <c r="R993" s="113">
        <f>HYPERLINK("https://my.pitchbook.com?c=111317-95", "View company online")</f>
      </c>
    </row>
    <row r="994">
      <c r="A994" s="27" t="inlineStr">
        <is>
          <t>90457-66</t>
        </is>
      </c>
      <c r="B994" s="28" t="inlineStr">
        <is>
          <t>Surfbreak Rentals</t>
        </is>
      </c>
      <c r="C994" s="29" t="n">
        <v>0.005180378457213441</v>
      </c>
      <c r="D994" s="30" t="n">
        <v>2.2677953060967067</v>
      </c>
      <c r="E994" s="31" t="inlineStr">
        <is>
          <t/>
        </is>
      </c>
      <c r="F994" s="32" t="n">
        <v>67.0</v>
      </c>
      <c r="G994" s="33" t="n">
        <v>4089.0</v>
      </c>
      <c r="H994" s="34" t="n">
        <v>131.0</v>
      </c>
      <c r="I994" s="35" t="inlineStr">
        <is>
          <t/>
        </is>
      </c>
      <c r="J994" s="36" t="n">
        <v>0.1</v>
      </c>
      <c r="K994" s="37" t="inlineStr">
        <is>
          <t>Social/Platform Software</t>
        </is>
      </c>
      <c r="L994" s="38" t="inlineStr">
        <is>
          <t>Provider of a beach vacation rental community platform. The company provides a beach vacation rental community platform which specializes in vacation rentals by surfbreaks.</t>
        </is>
      </c>
      <c r="M994" s="39" t="inlineStr">
        <is>
          <t>Daniel Mulderry, Daniel Osborne, John Cardente</t>
        </is>
      </c>
      <c r="N994" s="40" t="inlineStr">
        <is>
          <t>Angel-Backed</t>
        </is>
      </c>
      <c r="O994" s="41" t="inlineStr">
        <is>
          <t>Privately Held (backing)</t>
        </is>
      </c>
      <c r="P994" s="42" t="inlineStr">
        <is>
          <t>Mill Valley, CA</t>
        </is>
      </c>
      <c r="Q994" s="43" t="inlineStr">
        <is>
          <t>www.surfbreakrentals.com</t>
        </is>
      </c>
      <c r="R994" s="114">
        <f>HYPERLINK("https://my.pitchbook.com?c=90457-66", "View company online")</f>
      </c>
    </row>
    <row r="995">
      <c r="A995" s="9" t="inlineStr">
        <is>
          <t>180356-50</t>
        </is>
      </c>
      <c r="B995" s="10" t="inlineStr">
        <is>
          <t>Surf Shop Box</t>
        </is>
      </c>
      <c r="C995" s="85">
        <f>HYPERLINK("https://my.pitchbook.com?rrp=180356-50&amp;type=c", "This Company's information is not available to download. Need this Company? Request availability")</f>
      </c>
      <c r="D995" s="12" t="inlineStr">
        <is>
          <t/>
        </is>
      </c>
      <c r="E995" s="13" t="inlineStr">
        <is>
          <t/>
        </is>
      </c>
      <c r="F995" s="14" t="inlineStr">
        <is>
          <t/>
        </is>
      </c>
      <c r="G995" s="15" t="inlineStr">
        <is>
          <t/>
        </is>
      </c>
      <c r="H995" s="16" t="inlineStr">
        <is>
          <t/>
        </is>
      </c>
      <c r="I995" s="17" t="inlineStr">
        <is>
          <t/>
        </is>
      </c>
      <c r="J995" s="18" t="inlineStr">
        <is>
          <t/>
        </is>
      </c>
      <c r="K995" s="19" t="inlineStr">
        <is>
          <t/>
        </is>
      </c>
      <c r="L995" s="20" t="inlineStr">
        <is>
          <t/>
        </is>
      </c>
      <c r="M995" s="21" t="inlineStr">
        <is>
          <t/>
        </is>
      </c>
      <c r="N995" s="22" t="inlineStr">
        <is>
          <t/>
        </is>
      </c>
      <c r="O995" s="23" t="inlineStr">
        <is>
          <t/>
        </is>
      </c>
      <c r="P995" s="24" t="inlineStr">
        <is>
          <t/>
        </is>
      </c>
      <c r="Q995" s="25" t="inlineStr">
        <is>
          <t/>
        </is>
      </c>
      <c r="R995" s="26" t="inlineStr">
        <is>
          <t/>
        </is>
      </c>
    </row>
    <row r="996">
      <c r="A996" s="27" t="inlineStr">
        <is>
          <t>114983-74</t>
        </is>
      </c>
      <c r="B996" s="28" t="inlineStr">
        <is>
          <t>Surf City Sandwich</t>
        </is>
      </c>
      <c r="C996" s="29" t="n">
        <v>0.0</v>
      </c>
      <c r="D996" s="30" t="n">
        <v>0.3308138647121698</v>
      </c>
      <c r="E996" s="31" t="inlineStr">
        <is>
          <t/>
        </is>
      </c>
      <c r="F996" s="32" t="n">
        <v>18.0</v>
      </c>
      <c r="G996" s="33" t="inlineStr">
        <is>
          <t/>
        </is>
      </c>
      <c r="H996" s="34" t="n">
        <v>62.0</v>
      </c>
      <c r="I996" s="35" t="inlineStr">
        <is>
          <t/>
        </is>
      </c>
      <c r="J996" s="36" t="n">
        <v>0.34</v>
      </c>
      <c r="K996" s="37" t="inlineStr">
        <is>
          <t>Restaurants and Bars</t>
        </is>
      </c>
      <c r="L996" s="38" t="inlineStr">
        <is>
          <t>Operator of a restaurant cum bar. The company serves various type of snacks and sandwiches and craft brewed beers at its outlet.</t>
        </is>
      </c>
      <c r="M996" s="39" t="inlineStr">
        <is>
          <t/>
        </is>
      </c>
      <c r="N996" s="40" t="inlineStr">
        <is>
          <t>Angel-Backed</t>
        </is>
      </c>
      <c r="O996" s="41" t="inlineStr">
        <is>
          <t>Privately Held (backing)</t>
        </is>
      </c>
      <c r="P996" s="42" t="inlineStr">
        <is>
          <t>Soquel, CA</t>
        </is>
      </c>
      <c r="Q996" s="43" t="inlineStr">
        <is>
          <t>www.surfcitysandwich.com</t>
        </is>
      </c>
      <c r="R996" s="114">
        <f>HYPERLINK("https://my.pitchbook.com?c=114983-74", "View company online")</f>
      </c>
    </row>
    <row r="997">
      <c r="A997" s="9" t="inlineStr">
        <is>
          <t>53825-95</t>
        </is>
      </c>
      <c r="B997" s="10" t="inlineStr">
        <is>
          <t>Surf Canyon</t>
        </is>
      </c>
      <c r="C997" s="11" t="n">
        <v>-0.21250093555885896</v>
      </c>
      <c r="D997" s="12" t="n">
        <v>66.02702702702703</v>
      </c>
      <c r="E997" s="13" t="inlineStr">
        <is>
          <t/>
        </is>
      </c>
      <c r="F997" s="14" t="n">
        <v>2447.0</v>
      </c>
      <c r="G997" s="15" t="inlineStr">
        <is>
          <t/>
        </is>
      </c>
      <c r="H997" s="16" t="inlineStr">
        <is>
          <t/>
        </is>
      </c>
      <c r="I997" s="17" t="inlineStr">
        <is>
          <t/>
        </is>
      </c>
      <c r="J997" s="18" t="n">
        <v>0.95</v>
      </c>
      <c r="K997" s="19" t="inlineStr">
        <is>
          <t>Internet Software</t>
        </is>
      </c>
      <c r="L997" s="20" t="inlineStr">
        <is>
          <t>Developer of technology for internet search. The company's technology works with various third-party search engines and assists users in finding relevant information.</t>
        </is>
      </c>
      <c r="M997" s="21" t="inlineStr">
        <is>
          <t>Individual Investor</t>
        </is>
      </c>
      <c r="N997" s="22" t="inlineStr">
        <is>
          <t>Angel-Backed</t>
        </is>
      </c>
      <c r="O997" s="23" t="inlineStr">
        <is>
          <t>Privately Held (backing)</t>
        </is>
      </c>
      <c r="P997" s="24" t="inlineStr">
        <is>
          <t>Oakland, CA</t>
        </is>
      </c>
      <c r="Q997" s="25" t="inlineStr">
        <is>
          <t>www.rankdynamics.com</t>
        </is>
      </c>
      <c r="R997" s="113">
        <f>HYPERLINK("https://my.pitchbook.com?c=53825-95", "View company online")</f>
      </c>
    </row>
    <row r="998">
      <c r="A998" s="27" t="inlineStr">
        <is>
          <t>107975-80</t>
        </is>
      </c>
      <c r="B998" s="28" t="inlineStr">
        <is>
          <t>Suretone Carl</t>
        </is>
      </c>
      <c r="C998" s="29" t="inlineStr">
        <is>
          <t/>
        </is>
      </c>
      <c r="D998" s="30" t="inlineStr">
        <is>
          <t/>
        </is>
      </c>
      <c r="E998" s="31" t="inlineStr">
        <is>
          <t/>
        </is>
      </c>
      <c r="F998" s="32" t="inlineStr">
        <is>
          <t/>
        </is>
      </c>
      <c r="G998" s="33" t="inlineStr">
        <is>
          <t/>
        </is>
      </c>
      <c r="H998" s="34" t="inlineStr">
        <is>
          <t/>
        </is>
      </c>
      <c r="I998" s="35" t="inlineStr">
        <is>
          <t/>
        </is>
      </c>
      <c r="J998" s="36" t="n">
        <v>0.8</v>
      </c>
      <c r="K998" s="37" t="inlineStr">
        <is>
          <t>Movies, Music and Entertainment</t>
        </is>
      </c>
      <c r="L998" s="38" t="inlineStr">
        <is>
          <t>Provider of online entertainment services. The company offers live streaming of events, music, concerts, artists and studios over the internet in real-time.</t>
        </is>
      </c>
      <c r="M998" s="39" t="inlineStr">
        <is>
          <t/>
        </is>
      </c>
      <c r="N998" s="40" t="inlineStr">
        <is>
          <t>Angel-Backed</t>
        </is>
      </c>
      <c r="O998" s="41" t="inlineStr">
        <is>
          <t>Privately Held (backing)</t>
        </is>
      </c>
      <c r="P998" s="42" t="inlineStr">
        <is>
          <t>Santa Monica, CA</t>
        </is>
      </c>
      <c r="Q998" s="43" t="inlineStr">
        <is>
          <t>www.suretonelive.com</t>
        </is>
      </c>
      <c r="R998" s="114">
        <f>HYPERLINK("https://my.pitchbook.com?c=107975-80", "View company online")</f>
      </c>
    </row>
    <row r="999">
      <c r="A999" s="9" t="inlineStr">
        <is>
          <t>156740-95</t>
        </is>
      </c>
      <c r="B999" s="10" t="inlineStr">
        <is>
          <t>SurePrep</t>
        </is>
      </c>
      <c r="C999" s="11" t="n">
        <v>0.0</v>
      </c>
      <c r="D999" s="12" t="n">
        <v>0.2457627118644068</v>
      </c>
      <c r="E999" s="13" t="inlineStr">
        <is>
          <t/>
        </is>
      </c>
      <c r="F999" s="14" t="inlineStr">
        <is>
          <t/>
        </is>
      </c>
      <c r="G999" s="15" t="inlineStr">
        <is>
          <t/>
        </is>
      </c>
      <c r="H999" s="16" t="n">
        <v>87.0</v>
      </c>
      <c r="I999" s="17" t="inlineStr">
        <is>
          <t/>
        </is>
      </c>
      <c r="J999" s="18" t="n">
        <v>3.0</v>
      </c>
      <c r="K999" s="19" t="inlineStr">
        <is>
          <t>Business/Productivity Software</t>
        </is>
      </c>
      <c r="L999" s="20" t="inlineStr">
        <is>
          <t>Provider of Optical Character Recognition tools. The company offers online tools based on Optical Character Recognition which are used for tax filing, income calculations, loan underwriting and mortgage processing.</t>
        </is>
      </c>
      <c r="M999" s="21" t="inlineStr">
        <is>
          <t>Sheldon Razin</t>
        </is>
      </c>
      <c r="N999" s="22" t="inlineStr">
        <is>
          <t>Angel-Backed</t>
        </is>
      </c>
      <c r="O999" s="23" t="inlineStr">
        <is>
          <t>Privately Held (backing)</t>
        </is>
      </c>
      <c r="P999" s="24" t="inlineStr">
        <is>
          <t>Irvine, CA</t>
        </is>
      </c>
      <c r="Q999" s="25" t="inlineStr">
        <is>
          <t>www.loanbeam.com</t>
        </is>
      </c>
      <c r="R999" s="113">
        <f>HYPERLINK("https://my.pitchbook.com?c=156740-95", "View company online")</f>
      </c>
    </row>
    <row r="1000">
      <c r="A1000" s="27" t="inlineStr">
        <is>
          <t>133160-32</t>
        </is>
      </c>
      <c r="B1000" s="28" t="inlineStr">
        <is>
          <t>SurePod</t>
        </is>
      </c>
      <c r="C1000" s="29" t="n">
        <v>0.0</v>
      </c>
      <c r="D1000" s="30" t="n">
        <v>0.2702702702702703</v>
      </c>
      <c r="E1000" s="31" t="inlineStr">
        <is>
          <t/>
        </is>
      </c>
      <c r="F1000" s="32" t="n">
        <v>10.0</v>
      </c>
      <c r="G1000" s="33" t="inlineStr">
        <is>
          <t/>
        </is>
      </c>
      <c r="H1000" s="34" t="inlineStr">
        <is>
          <t/>
        </is>
      </c>
      <c r="I1000" s="35" t="inlineStr">
        <is>
          <t/>
        </is>
      </c>
      <c r="J1000" s="36" t="inlineStr">
        <is>
          <t/>
        </is>
      </c>
      <c r="K1000" s="37" t="inlineStr">
        <is>
          <t>Information Services (B2C)</t>
        </is>
      </c>
      <c r="L1000" s="38" t="inlineStr">
        <is>
          <t>Developer of a security system for the personal safety of seniors. The company offers cloud-based GPS tracking security device that provides personal protection to the seniors beyond home.</t>
        </is>
      </c>
      <c r="M1000" s="39" t="inlineStr">
        <is>
          <t>Semyon Dukach</t>
        </is>
      </c>
      <c r="N1000" s="40" t="inlineStr">
        <is>
          <t>Angel-Backed</t>
        </is>
      </c>
      <c r="O1000" s="41" t="inlineStr">
        <is>
          <t>Privately Held (backing)</t>
        </is>
      </c>
      <c r="P1000" s="42" t="inlineStr">
        <is>
          <t>Sunnyvale, CA</t>
        </is>
      </c>
      <c r="Q1000" s="43" t="inlineStr">
        <is>
          <t>www.surepod.com</t>
        </is>
      </c>
      <c r="R1000" s="114">
        <f>HYPERLINK("https://my.pitchbook.com?c=133160-32", "View company online")</f>
      </c>
    </row>
    <row r="1001">
      <c r="A1001" s="9" t="inlineStr">
        <is>
          <t>151182-10</t>
        </is>
      </c>
      <c r="B1001" s="10" t="inlineStr">
        <is>
          <t>Sureify Labs</t>
        </is>
      </c>
      <c r="C1001" s="11" t="n">
        <v>0.2176494998989172</v>
      </c>
      <c r="D1001" s="12" t="n">
        <v>1.6965207575192838</v>
      </c>
      <c r="E1001" s="13" t="inlineStr">
        <is>
          <t/>
        </is>
      </c>
      <c r="F1001" s="14" t="n">
        <v>68.0</v>
      </c>
      <c r="G1001" s="15" t="n">
        <v>366.0</v>
      </c>
      <c r="H1001" s="16" t="n">
        <v>918.0</v>
      </c>
      <c r="I1001" s="17" t="inlineStr">
        <is>
          <t/>
        </is>
      </c>
      <c r="J1001" s="18" t="inlineStr">
        <is>
          <t/>
        </is>
      </c>
      <c r="K1001" s="19" t="inlineStr">
        <is>
          <t>Social/Platform Software</t>
        </is>
      </c>
      <c r="L1001" s="20" t="inlineStr">
        <is>
          <t>Developer of an online life insurance information platform designed to manage relationships between life insurers, agents and policyholders. The company's online life insurance information platform offers digital customer engagement tools in the hands of insurers to increase customer loyalty, brand recognition and better customer experience, enabling insurers and their agents to acquire, engage, choose and buy a life insurance policy and cross-sell throughout a customer's lifetime.</t>
        </is>
      </c>
      <c r="M1001" s="21" t="inlineStr">
        <is>
          <t>Hannover Re, Plug and Play Tech Center</t>
        </is>
      </c>
      <c r="N1001" s="22" t="inlineStr">
        <is>
          <t>Accelerator/Incubator Backed</t>
        </is>
      </c>
      <c r="O1001" s="23" t="inlineStr">
        <is>
          <t>Privately Held (backing)</t>
        </is>
      </c>
      <c r="P1001" s="24" t="inlineStr">
        <is>
          <t>San Jose, CA</t>
        </is>
      </c>
      <c r="Q1001" s="25" t="inlineStr">
        <is>
          <t>www.sureify.com</t>
        </is>
      </c>
      <c r="R1001" s="113">
        <f>HYPERLINK("https://my.pitchbook.com?c=151182-10", "View company online")</f>
      </c>
    </row>
    <row r="1002">
      <c r="A1002" s="27" t="inlineStr">
        <is>
          <t>176419-27</t>
        </is>
      </c>
      <c r="B1002" s="28" t="inlineStr">
        <is>
          <t>Sur3D</t>
        </is>
      </c>
      <c r="C1002" s="86">
        <f>HYPERLINK("https://my.pitchbook.com?rrp=176419-27&amp;type=c", "This Company's information is not available to download. Need this Company? Request availability")</f>
      </c>
      <c r="D1002" s="30" t="inlineStr">
        <is>
          <t/>
        </is>
      </c>
      <c r="E1002" s="31" t="inlineStr">
        <is>
          <t/>
        </is>
      </c>
      <c r="F1002" s="32" t="inlineStr">
        <is>
          <t/>
        </is>
      </c>
      <c r="G1002" s="33" t="inlineStr">
        <is>
          <t/>
        </is>
      </c>
      <c r="H1002" s="34" t="inlineStr">
        <is>
          <t/>
        </is>
      </c>
      <c r="I1002" s="35" t="inlineStr">
        <is>
          <t/>
        </is>
      </c>
      <c r="J1002" s="36" t="inlineStr">
        <is>
          <t/>
        </is>
      </c>
      <c r="K1002" s="37" t="inlineStr">
        <is>
          <t/>
        </is>
      </c>
      <c r="L1002" s="38" t="inlineStr">
        <is>
          <t/>
        </is>
      </c>
      <c r="M1002" s="39" t="inlineStr">
        <is>
          <t/>
        </is>
      </c>
      <c r="N1002" s="40" t="inlineStr">
        <is>
          <t/>
        </is>
      </c>
      <c r="O1002" s="41" t="inlineStr">
        <is>
          <t/>
        </is>
      </c>
      <c r="P1002" s="42" t="inlineStr">
        <is>
          <t/>
        </is>
      </c>
      <c r="Q1002" s="43" t="inlineStr">
        <is>
          <t/>
        </is>
      </c>
      <c r="R1002" s="44" t="inlineStr">
        <is>
          <t/>
        </is>
      </c>
    </row>
    <row r="1003">
      <c r="A1003" s="9" t="inlineStr">
        <is>
          <t>55822-78</t>
        </is>
      </c>
      <c r="B1003" s="10" t="inlineStr">
        <is>
          <t>Supr Good</t>
        </is>
      </c>
      <c r="C1003" s="11" t="n">
        <v>0.037967327109966184</v>
      </c>
      <c r="D1003" s="12" t="n">
        <v>3.7312611853879356</v>
      </c>
      <c r="E1003" s="13" t="inlineStr">
        <is>
          <t/>
        </is>
      </c>
      <c r="F1003" s="14" t="inlineStr">
        <is>
          <t/>
        </is>
      </c>
      <c r="G1003" s="15" t="n">
        <v>1878.0</v>
      </c>
      <c r="H1003" s="16" t="n">
        <v>1819.0</v>
      </c>
      <c r="I1003" s="17" t="inlineStr">
        <is>
          <t/>
        </is>
      </c>
      <c r="J1003" s="18" t="inlineStr">
        <is>
          <t/>
        </is>
      </c>
      <c r="K1003" s="19" t="inlineStr">
        <is>
          <t>Accessories</t>
        </is>
      </c>
      <c r="L1003" s="20" t="inlineStr">
        <is>
          <t>Provider of an online shopping platform intended to sell smart wallets. The company designs and sells smart wallet which is a slim, light-weight and elastic couch made from fine linen and waterproof leather that fits smoothly in front pockets, enabling users to carry only necessary and important belongings without consuming much space.</t>
        </is>
      </c>
      <c r="M1003" s="21" t="inlineStr">
        <is>
          <t/>
        </is>
      </c>
      <c r="N1003" s="22" t="inlineStr">
        <is>
          <t>Angel-Backed</t>
        </is>
      </c>
      <c r="O1003" s="23" t="inlineStr">
        <is>
          <t>Privately Held (backing)</t>
        </is>
      </c>
      <c r="P1003" s="24" t="inlineStr">
        <is>
          <t>Minneapolis, MN</t>
        </is>
      </c>
      <c r="Q1003" s="25" t="inlineStr">
        <is>
          <t>www.suprgood.com</t>
        </is>
      </c>
      <c r="R1003" s="113">
        <f>HYPERLINK("https://my.pitchbook.com?c=55822-78", "View company online")</f>
      </c>
    </row>
    <row r="1004">
      <c r="A1004" s="27" t="inlineStr">
        <is>
          <t>90347-95</t>
        </is>
      </c>
      <c r="B1004" s="28" t="inlineStr">
        <is>
          <t>SupplyShift</t>
        </is>
      </c>
      <c r="C1004" s="86">
        <f>HYPERLINK("https://my.pitchbook.com?rrp=90347-95&amp;type=c", "This Company's information is not available to download. Need this Company? Request availability")</f>
      </c>
      <c r="D1004" s="30" t="inlineStr">
        <is>
          <t/>
        </is>
      </c>
      <c r="E1004" s="31" t="inlineStr">
        <is>
          <t/>
        </is>
      </c>
      <c r="F1004" s="32" t="inlineStr">
        <is>
          <t/>
        </is>
      </c>
      <c r="G1004" s="33" t="inlineStr">
        <is>
          <t/>
        </is>
      </c>
      <c r="H1004" s="34" t="inlineStr">
        <is>
          <t/>
        </is>
      </c>
      <c r="I1004" s="35" t="inlineStr">
        <is>
          <t/>
        </is>
      </c>
      <c r="J1004" s="36" t="inlineStr">
        <is>
          <t/>
        </is>
      </c>
      <c r="K1004" s="37" t="inlineStr">
        <is>
          <t/>
        </is>
      </c>
      <c r="L1004" s="38" t="inlineStr">
        <is>
          <t/>
        </is>
      </c>
      <c r="M1004" s="39" t="inlineStr">
        <is>
          <t/>
        </is>
      </c>
      <c r="N1004" s="40" t="inlineStr">
        <is>
          <t/>
        </is>
      </c>
      <c r="O1004" s="41" t="inlineStr">
        <is>
          <t/>
        </is>
      </c>
      <c r="P1004" s="42" t="inlineStr">
        <is>
          <t/>
        </is>
      </c>
      <c r="Q1004" s="43" t="inlineStr">
        <is>
          <t/>
        </is>
      </c>
      <c r="R1004" s="44" t="inlineStr">
        <is>
          <t/>
        </is>
      </c>
    </row>
    <row r="1005">
      <c r="A1005" s="9" t="inlineStr">
        <is>
          <t>172089-37</t>
        </is>
      </c>
      <c r="B1005" s="10" t="inlineStr">
        <is>
          <t>SupplyOcean</t>
        </is>
      </c>
      <c r="C1005" s="85">
        <f>HYPERLINK("https://my.pitchbook.com?rrp=172089-37&amp;type=c", "This Company's information is not available to download. Need this Company? Request availability")</f>
      </c>
      <c r="D1005" s="12" t="inlineStr">
        <is>
          <t/>
        </is>
      </c>
      <c r="E1005" s="13" t="inlineStr">
        <is>
          <t/>
        </is>
      </c>
      <c r="F1005" s="14" t="inlineStr">
        <is>
          <t/>
        </is>
      </c>
      <c r="G1005" s="15" t="inlineStr">
        <is>
          <t/>
        </is>
      </c>
      <c r="H1005" s="16" t="inlineStr">
        <is>
          <t/>
        </is>
      </c>
      <c r="I1005" s="17" t="inlineStr">
        <is>
          <t/>
        </is>
      </c>
      <c r="J1005" s="18" t="inlineStr">
        <is>
          <t/>
        </is>
      </c>
      <c r="K1005" s="19" t="inlineStr">
        <is>
          <t/>
        </is>
      </c>
      <c r="L1005" s="20" t="inlineStr">
        <is>
          <t/>
        </is>
      </c>
      <c r="M1005" s="21" t="inlineStr">
        <is>
          <t/>
        </is>
      </c>
      <c r="N1005" s="22" t="inlineStr">
        <is>
          <t/>
        </is>
      </c>
      <c r="O1005" s="23" t="inlineStr">
        <is>
          <t/>
        </is>
      </c>
      <c r="P1005" s="24" t="inlineStr">
        <is>
          <t/>
        </is>
      </c>
      <c r="Q1005" s="25" t="inlineStr">
        <is>
          <t/>
        </is>
      </c>
      <c r="R1005" s="26" t="inlineStr">
        <is>
          <t/>
        </is>
      </c>
    </row>
    <row r="1006">
      <c r="A1006" s="27" t="inlineStr">
        <is>
          <t>88710-40</t>
        </is>
      </c>
      <c r="B1006" s="28" t="inlineStr">
        <is>
          <t>Supplyhub</t>
        </is>
      </c>
      <c r="C1006" s="29" t="n">
        <v>0.038790377390549184</v>
      </c>
      <c r="D1006" s="30" t="n">
        <v>0.20372846264519073</v>
      </c>
      <c r="E1006" s="31" t="inlineStr">
        <is>
          <t/>
        </is>
      </c>
      <c r="F1006" s="32" t="inlineStr">
        <is>
          <t/>
        </is>
      </c>
      <c r="G1006" s="33" t="n">
        <v>162.0</v>
      </c>
      <c r="H1006" s="34" t="n">
        <v>73.0</v>
      </c>
      <c r="I1006" s="35" t="n">
        <v>7.0</v>
      </c>
      <c r="J1006" s="36" t="n">
        <v>1.5</v>
      </c>
      <c r="K1006" s="37" t="inlineStr">
        <is>
          <t>Media and Information Services (B2B)</t>
        </is>
      </c>
      <c r="L1006" s="38" t="inlineStr">
        <is>
          <t>Provider of an online business-to-business marketplace. The company offers an online retail platform for commercial and industrial wholesalers which connects buyers, distributors, and manufacturers online.</t>
        </is>
      </c>
      <c r="M1006" s="39" t="inlineStr">
        <is>
          <t/>
        </is>
      </c>
      <c r="N1006" s="40" t="inlineStr">
        <is>
          <t>Angel-Backed</t>
        </is>
      </c>
      <c r="O1006" s="41" t="inlineStr">
        <is>
          <t>Privately Held (backing)</t>
        </is>
      </c>
      <c r="P1006" s="42" t="inlineStr">
        <is>
          <t>Los Angeles, CA</t>
        </is>
      </c>
      <c r="Q1006" s="43" t="inlineStr">
        <is>
          <t>www.supplyhub.com</t>
        </is>
      </c>
      <c r="R1006" s="114">
        <f>HYPERLINK("https://my.pitchbook.com?c=88710-40", "View company online")</f>
      </c>
    </row>
    <row r="1007">
      <c r="A1007" s="9" t="inlineStr">
        <is>
          <t>169881-85</t>
        </is>
      </c>
      <c r="B1007" s="10" t="inlineStr">
        <is>
          <t>SupplyAI</t>
        </is>
      </c>
      <c r="C1007" s="11" t="n">
        <v>0.11425056737968364</v>
      </c>
      <c r="D1007" s="12" t="n">
        <v>0.8657969449605412</v>
      </c>
      <c r="E1007" s="13" t="inlineStr">
        <is>
          <t/>
        </is>
      </c>
      <c r="F1007" s="14" t="n">
        <v>11.0</v>
      </c>
      <c r="G1007" s="15" t="n">
        <v>1601.0</v>
      </c>
      <c r="H1007" s="16" t="n">
        <v>308.0</v>
      </c>
      <c r="I1007" s="17" t="inlineStr">
        <is>
          <t/>
        </is>
      </c>
      <c r="J1007" s="18" t="n">
        <v>0.04</v>
      </c>
      <c r="K1007" s="19" t="inlineStr">
        <is>
          <t>Business/Productivity Software</t>
        </is>
      </c>
      <c r="L1007" s="20" t="inlineStr">
        <is>
          <t>Provider of an artificial intelligence platform designed to provide cost reduction ways for clothing retailers. The company's artificial intelligence platform utilizes various data to infer about the cost and savings associated with the clothing market, enabling clothing retailers to predict and prevent returns, avoid associated costs and improve customer experiences.</t>
        </is>
      </c>
      <c r="M1007" s="21" t="inlineStr">
        <is>
          <t>500 Startups, Alchemist Accelerator</t>
        </is>
      </c>
      <c r="N1007" s="22" t="inlineStr">
        <is>
          <t>Accelerator/Incubator Backed</t>
        </is>
      </c>
      <c r="O1007" s="23" t="inlineStr">
        <is>
          <t>Privately Held (backing)</t>
        </is>
      </c>
      <c r="P1007" s="24" t="inlineStr">
        <is>
          <t>San Francisco, CA</t>
        </is>
      </c>
      <c r="Q1007" s="25" t="inlineStr">
        <is>
          <t>www.supply.ai</t>
        </is>
      </c>
      <c r="R1007" s="113">
        <f>HYPERLINK("https://my.pitchbook.com?c=169881-85", "View company online")</f>
      </c>
    </row>
    <row r="1008">
      <c r="A1008" s="27" t="inlineStr">
        <is>
          <t>118362-61</t>
        </is>
      </c>
      <c r="B1008" s="28" t="inlineStr">
        <is>
          <t>Supply.AI</t>
        </is>
      </c>
      <c r="C1008" s="29" t="n">
        <v>0.0</v>
      </c>
      <c r="D1008" s="30" t="n">
        <v>0.2972972972972973</v>
      </c>
      <c r="E1008" s="31" t="inlineStr">
        <is>
          <t/>
        </is>
      </c>
      <c r="F1008" s="32" t="n">
        <v>11.0</v>
      </c>
      <c r="G1008" s="33" t="inlineStr">
        <is>
          <t/>
        </is>
      </c>
      <c r="H1008" s="34" t="inlineStr">
        <is>
          <t/>
        </is>
      </c>
      <c r="I1008" s="35" t="n">
        <v>7.0</v>
      </c>
      <c r="J1008" s="36" t="n">
        <v>0.12</v>
      </c>
      <c r="K1008" s="37" t="inlineStr">
        <is>
          <t>Automation/Workflow Software</t>
        </is>
      </c>
      <c r="L1008" s="38" t="inlineStr">
        <is>
          <t>Developer of a predictive automation software for supply chain management. The company develops predictive automation software that applies machine learning to recognize performance patterns and uses the insights to automate decisions and software workflows.</t>
        </is>
      </c>
      <c r="M1008" s="39" t="inlineStr">
        <is>
          <t>500 Startups, Alchemist Accelerator, Supply Chain Ventures</t>
        </is>
      </c>
      <c r="N1008" s="40" t="inlineStr">
        <is>
          <t>Accelerator/Incubator Backed</t>
        </is>
      </c>
      <c r="O1008" s="41" t="inlineStr">
        <is>
          <t>Privately Held (backing)</t>
        </is>
      </c>
      <c r="P1008" s="42" t="inlineStr">
        <is>
          <t>Palo Alto, CA</t>
        </is>
      </c>
      <c r="Q1008" s="43" t="inlineStr">
        <is>
          <t>www.dataculture.io</t>
        </is>
      </c>
      <c r="R1008" s="114">
        <f>HYPERLINK("https://my.pitchbook.com?c=118362-61", "View company online")</f>
      </c>
    </row>
    <row r="1009">
      <c r="A1009" s="9" t="inlineStr">
        <is>
          <t>156109-15</t>
        </is>
      </c>
      <c r="B1009" s="10" t="inlineStr">
        <is>
          <t>Supira Medical</t>
        </is>
      </c>
      <c r="C1009" s="11" t="inlineStr">
        <is>
          <t/>
        </is>
      </c>
      <c r="D1009" s="12" t="inlineStr">
        <is>
          <t/>
        </is>
      </c>
      <c r="E1009" s="13" t="inlineStr">
        <is>
          <t/>
        </is>
      </c>
      <c r="F1009" s="14" t="inlineStr">
        <is>
          <t/>
        </is>
      </c>
      <c r="G1009" s="15" t="inlineStr">
        <is>
          <t/>
        </is>
      </c>
      <c r="H1009" s="16" t="inlineStr">
        <is>
          <t/>
        </is>
      </c>
      <c r="I1009" s="17" t="inlineStr">
        <is>
          <t/>
        </is>
      </c>
      <c r="J1009" s="18" t="inlineStr">
        <is>
          <t/>
        </is>
      </c>
      <c r="K1009" s="19" t="inlineStr">
        <is>
          <t>Other Business Products and Services</t>
        </is>
      </c>
      <c r="L1009" s="20" t="inlineStr">
        <is>
          <t>Provider of undisclosed products and services.</t>
        </is>
      </c>
      <c r="M1009" s="21" t="inlineStr">
        <is>
          <t>Shifamed</t>
        </is>
      </c>
      <c r="N1009" s="22" t="inlineStr">
        <is>
          <t>Accelerator/Incubator Backed</t>
        </is>
      </c>
      <c r="O1009" s="23" t="inlineStr">
        <is>
          <t>Privately Held (backing)</t>
        </is>
      </c>
      <c r="P1009" s="24" t="inlineStr">
        <is>
          <t>Santa Cruz, CA</t>
        </is>
      </c>
      <c r="Q1009" s="25" t="inlineStr">
        <is>
          <t/>
        </is>
      </c>
      <c r="R1009" s="113">
        <f>HYPERLINK("https://my.pitchbook.com?c=156109-15", "View company online")</f>
      </c>
    </row>
    <row r="1010">
      <c r="A1010" s="27" t="inlineStr">
        <is>
          <t>166969-27</t>
        </is>
      </c>
      <c r="B1010" s="28" t="inlineStr">
        <is>
          <t>Superstar Games</t>
        </is>
      </c>
      <c r="C1010" s="29" t="inlineStr">
        <is>
          <t/>
        </is>
      </c>
      <c r="D1010" s="30" t="inlineStr">
        <is>
          <t/>
        </is>
      </c>
      <c r="E1010" s="31" t="inlineStr">
        <is>
          <t/>
        </is>
      </c>
      <c r="F1010" s="32" t="inlineStr">
        <is>
          <t/>
        </is>
      </c>
      <c r="G1010" s="33" t="inlineStr">
        <is>
          <t/>
        </is>
      </c>
      <c r="H1010" s="34" t="inlineStr">
        <is>
          <t/>
        </is>
      </c>
      <c r="I1010" s="35" t="inlineStr">
        <is>
          <t/>
        </is>
      </c>
      <c r="J1010" s="36" t="n">
        <v>1.25</v>
      </c>
      <c r="K1010" s="37" t="inlineStr">
        <is>
          <t>Entertainment Software</t>
        </is>
      </c>
      <c r="L1010" s="38" t="inlineStr">
        <is>
          <t>Owner and operator of a gaming studio developing mobile games. The company designs and develops a virtual reality based football video game that can be played on mobile devices.</t>
        </is>
      </c>
      <c r="M1010" s="39" t="inlineStr">
        <is>
          <t>IrishAngels, Runway Incubator</t>
        </is>
      </c>
      <c r="N1010" s="40" t="inlineStr">
        <is>
          <t>Accelerator/Incubator Backed</t>
        </is>
      </c>
      <c r="O1010" s="41" t="inlineStr">
        <is>
          <t>Privately Held (backing)</t>
        </is>
      </c>
      <c r="P1010" s="42" t="inlineStr">
        <is>
          <t>San Francisco, CA</t>
        </is>
      </c>
      <c r="Q1010" s="43" t="inlineStr">
        <is>
          <t>www.superstargames.co</t>
        </is>
      </c>
      <c r="R1010" s="114">
        <f>HYPERLINK("https://my.pitchbook.com?c=166969-27", "View company online")</f>
      </c>
    </row>
    <row r="1011">
      <c r="A1011" s="9" t="inlineStr">
        <is>
          <t>103141-54</t>
        </is>
      </c>
      <c r="B1011" s="10" t="inlineStr">
        <is>
          <t>Superpowered</t>
        </is>
      </c>
      <c r="C1011" s="85">
        <f>HYPERLINK("https://my.pitchbook.com?rrp=103141-54&amp;type=c", "This Company's information is not available to download. Need this Company? Request availability")</f>
      </c>
      <c r="D1011" s="12" t="inlineStr">
        <is>
          <t/>
        </is>
      </c>
      <c r="E1011" s="13" t="inlineStr">
        <is>
          <t/>
        </is>
      </c>
      <c r="F1011" s="14" t="inlineStr">
        <is>
          <t/>
        </is>
      </c>
      <c r="G1011" s="15" t="inlineStr">
        <is>
          <t/>
        </is>
      </c>
      <c r="H1011" s="16" t="inlineStr">
        <is>
          <t/>
        </is>
      </c>
      <c r="I1011" s="17" t="inlineStr">
        <is>
          <t/>
        </is>
      </c>
      <c r="J1011" s="18" t="inlineStr">
        <is>
          <t/>
        </is>
      </c>
      <c r="K1011" s="19" t="inlineStr">
        <is>
          <t/>
        </is>
      </c>
      <c r="L1011" s="20" t="inlineStr">
        <is>
          <t/>
        </is>
      </c>
      <c r="M1011" s="21" t="inlineStr">
        <is>
          <t/>
        </is>
      </c>
      <c r="N1011" s="22" t="inlineStr">
        <is>
          <t/>
        </is>
      </c>
      <c r="O1011" s="23" t="inlineStr">
        <is>
          <t/>
        </is>
      </c>
      <c r="P1011" s="24" t="inlineStr">
        <is>
          <t/>
        </is>
      </c>
      <c r="Q1011" s="25" t="inlineStr">
        <is>
          <t/>
        </is>
      </c>
      <c r="R1011" s="26" t="inlineStr">
        <is>
          <t/>
        </is>
      </c>
    </row>
    <row r="1012">
      <c r="A1012" s="27" t="inlineStr">
        <is>
          <t>90346-78</t>
        </is>
      </c>
      <c r="B1012" s="28" t="inlineStr">
        <is>
          <t>Superior Solar Solution</t>
        </is>
      </c>
      <c r="C1012" s="29" t="n">
        <v>0.0</v>
      </c>
      <c r="D1012" s="30" t="n">
        <v>0.13776912505726066</v>
      </c>
      <c r="E1012" s="31" t="inlineStr">
        <is>
          <t/>
        </is>
      </c>
      <c r="F1012" s="32" t="n">
        <v>8.0</v>
      </c>
      <c r="G1012" s="33" t="inlineStr">
        <is>
          <t/>
        </is>
      </c>
      <c r="H1012" s="34" t="n">
        <v>21.0</v>
      </c>
      <c r="I1012" s="35" t="n">
        <v>11.0</v>
      </c>
      <c r="J1012" s="36" t="n">
        <v>0.06</v>
      </c>
      <c r="K1012" s="37" t="inlineStr">
        <is>
          <t>Alternative Energy Equipment</t>
        </is>
      </c>
      <c r="L1012" s="38" t="inlineStr">
        <is>
          <t>Developer of a photo voltaic panel technology. The company develops a touch screen interactive interface using solar power that helps in charging devices such as cell phones, i pads and tablets wirelessly.</t>
        </is>
      </c>
      <c r="M1012" s="39" t="inlineStr">
        <is>
          <t/>
        </is>
      </c>
      <c r="N1012" s="40" t="inlineStr">
        <is>
          <t>Angel-Backed</t>
        </is>
      </c>
      <c r="O1012" s="41" t="inlineStr">
        <is>
          <t>Privately Held (backing)</t>
        </is>
      </c>
      <c r="P1012" s="42" t="inlineStr">
        <is>
          <t>Los Angeles, CA</t>
        </is>
      </c>
      <c r="Q1012" s="43" t="inlineStr">
        <is>
          <t>www.superiorsolarsolution.com</t>
        </is>
      </c>
      <c r="R1012" s="114">
        <f>HYPERLINK("https://my.pitchbook.com?c=90346-78", "View company online")</f>
      </c>
    </row>
    <row r="1013">
      <c r="A1013" s="9" t="inlineStr">
        <is>
          <t>121311-46</t>
        </is>
      </c>
      <c r="B1013" s="10" t="inlineStr">
        <is>
          <t>Supergravity</t>
        </is>
      </c>
      <c r="C1013" s="11" t="n">
        <v>-0.05582738626891874</v>
      </c>
      <c r="D1013" s="12" t="n">
        <v>2.7053748663918156</v>
      </c>
      <c r="E1013" s="13" t="inlineStr">
        <is>
          <t/>
        </is>
      </c>
      <c r="F1013" s="14" t="n">
        <v>6.0</v>
      </c>
      <c r="G1013" s="15" t="inlineStr">
        <is>
          <t/>
        </is>
      </c>
      <c r="H1013" s="16" t="n">
        <v>1871.0</v>
      </c>
      <c r="I1013" s="17" t="n">
        <v>10.0</v>
      </c>
      <c r="J1013" s="18" t="n">
        <v>1.7</v>
      </c>
      <c r="K1013" s="19" t="inlineStr">
        <is>
          <t>Media and Information Services (B2B)</t>
        </is>
      </c>
      <c r="L1013" s="20" t="inlineStr">
        <is>
          <t>Owner and operator of a feature film studio. The company offers financing to produce, market and distribute full-length feature films and long-form specials every year.</t>
        </is>
      </c>
      <c r="M1013" s="21" t="inlineStr">
        <is>
          <t>Lawrence Braitman</t>
        </is>
      </c>
      <c r="N1013" s="22" t="inlineStr">
        <is>
          <t>Angel-Backed</t>
        </is>
      </c>
      <c r="O1013" s="23" t="inlineStr">
        <is>
          <t>Privately Held (backing)</t>
        </is>
      </c>
      <c r="P1013" s="24" t="inlineStr">
        <is>
          <t>Manhattan Beach, CA</t>
        </is>
      </c>
      <c r="Q1013" s="25" t="inlineStr">
        <is>
          <t>www.supergravity.co</t>
        </is>
      </c>
      <c r="R1013" s="113">
        <f>HYPERLINK("https://my.pitchbook.com?c=121311-46", "View company online")</f>
      </c>
    </row>
    <row r="1014">
      <c r="A1014" s="27" t="inlineStr">
        <is>
          <t>98927-92</t>
        </is>
      </c>
      <c r="B1014" s="28" t="inlineStr">
        <is>
          <t>Superfly</t>
        </is>
      </c>
      <c r="C1014" s="29" t="n">
        <v>-0.1295433923951664</v>
      </c>
      <c r="D1014" s="30" t="n">
        <v>3.378250460693349</v>
      </c>
      <c r="E1014" s="31" t="inlineStr">
        <is>
          <t/>
        </is>
      </c>
      <c r="F1014" s="32" t="n">
        <v>152.0</v>
      </c>
      <c r="G1014" s="33" t="n">
        <v>2165.0</v>
      </c>
      <c r="H1014" s="34" t="n">
        <v>921.0</v>
      </c>
      <c r="I1014" s="35" t="n">
        <v>11.0</v>
      </c>
      <c r="J1014" s="36" t="n">
        <v>0.5</v>
      </c>
      <c r="K1014" s="37" t="inlineStr">
        <is>
          <t>Application Software</t>
        </is>
      </c>
      <c r="L1014" s="38" t="inlineStr">
        <is>
          <t>Developer of a software that offers technologies for travel consumers. The company's software helps business travelers organize their itineraries, manage frequent flyer miles, and find flights and hotels.</t>
        </is>
      </c>
      <c r="M1014" s="39" t="inlineStr">
        <is>
          <t>Gigi Levy-Weiss, Techloft, UpWest Labs, Yuval Tal</t>
        </is>
      </c>
      <c r="N1014" s="40" t="inlineStr">
        <is>
          <t>Accelerator/Incubator Backed</t>
        </is>
      </c>
      <c r="O1014" s="41" t="inlineStr">
        <is>
          <t>Privately Held (backing)</t>
        </is>
      </c>
      <c r="P1014" s="42" t="inlineStr">
        <is>
          <t>Menlo Park, CA</t>
        </is>
      </c>
      <c r="Q1014" s="43" t="inlineStr">
        <is>
          <t>www.superfly.com</t>
        </is>
      </c>
      <c r="R1014" s="114">
        <f>HYPERLINK("https://my.pitchbook.com?c=98927-92", "View company online")</f>
      </c>
    </row>
    <row r="1015">
      <c r="A1015" s="9" t="inlineStr">
        <is>
          <t>96779-35</t>
        </is>
      </c>
      <c r="B1015" s="10" t="inlineStr">
        <is>
          <t>SuperBetter</t>
        </is>
      </c>
      <c r="C1015" s="11" t="n">
        <v>0.4142500768360942</v>
      </c>
      <c r="D1015" s="12" t="n">
        <v>34.91891891891892</v>
      </c>
      <c r="E1015" s="13" t="inlineStr">
        <is>
          <t/>
        </is>
      </c>
      <c r="F1015" s="14" t="n">
        <v>1291.0</v>
      </c>
      <c r="G1015" s="15" t="inlineStr">
        <is>
          <t/>
        </is>
      </c>
      <c r="H1015" s="16" t="inlineStr">
        <is>
          <t/>
        </is>
      </c>
      <c r="I1015" s="17" t="inlineStr">
        <is>
          <t/>
        </is>
      </c>
      <c r="J1015" s="18" t="inlineStr">
        <is>
          <t/>
        </is>
      </c>
      <c r="K1015" s="19" t="inlineStr">
        <is>
          <t>Entertainment Software</t>
        </is>
      </c>
      <c r="L1015" s="20" t="inlineStr">
        <is>
          <t>Developer of games powered by personal and social well-being. The company offers online social games to build personal resilience in the face of a serious challenge such as an illness or injury, anxiety or depression.</t>
        </is>
      </c>
      <c r="M1015" s="21" t="inlineStr">
        <is>
          <t>Matter, Rock Health</t>
        </is>
      </c>
      <c r="N1015" s="22" t="inlineStr">
        <is>
          <t>Accelerator/Incubator Backed</t>
        </is>
      </c>
      <c r="O1015" s="23" t="inlineStr">
        <is>
          <t>Privately Held (backing)</t>
        </is>
      </c>
      <c r="P1015" s="24" t="inlineStr">
        <is>
          <t>San Francisco, CA</t>
        </is>
      </c>
      <c r="Q1015" s="25" t="inlineStr">
        <is>
          <t>www.superbetter.com</t>
        </is>
      </c>
      <c r="R1015" s="113">
        <f>HYPERLINK("https://my.pitchbook.com?c=96779-35", "View company online")</f>
      </c>
    </row>
    <row r="1016">
      <c r="A1016" s="27" t="inlineStr">
        <is>
          <t>133772-68</t>
        </is>
      </c>
      <c r="B1016" s="28" t="inlineStr">
        <is>
          <t>Super Lucky Casino</t>
        </is>
      </c>
      <c r="C1016" s="29" t="n">
        <v>0.0</v>
      </c>
      <c r="D1016" s="30" t="n">
        <v>0.36830050389372426</v>
      </c>
      <c r="E1016" s="31" t="inlineStr">
        <is>
          <t/>
        </is>
      </c>
      <c r="F1016" s="32" t="n">
        <v>27.0</v>
      </c>
      <c r="G1016" s="33" t="inlineStr">
        <is>
          <t/>
        </is>
      </c>
      <c r="H1016" s="34" t="n">
        <v>12.0</v>
      </c>
      <c r="I1016" s="35" t="inlineStr">
        <is>
          <t/>
        </is>
      </c>
      <c r="J1016" s="36" t="inlineStr">
        <is>
          <t/>
        </is>
      </c>
      <c r="K1016" s="37" t="inlineStr">
        <is>
          <t>Entertainment Software</t>
        </is>
      </c>
      <c r="L1016" s="38" t="inlineStr">
        <is>
          <t>Developer of mobile gaming applications. The company offers casino based social mobile games for their customers that can be downloaded from the Google App store or iOS store.</t>
        </is>
      </c>
      <c r="M1016" s="39" t="inlineStr">
        <is>
          <t>500 Startups, Ankur Nagpal, Fassil Befekadu, John Krystynak, Mike Levinthal, Warren Konkel</t>
        </is>
      </c>
      <c r="N1016" s="40" t="inlineStr">
        <is>
          <t>Accelerator/Incubator Backed</t>
        </is>
      </c>
      <c r="O1016" s="41" t="inlineStr">
        <is>
          <t>Privately Held (backing)</t>
        </is>
      </c>
      <c r="P1016" s="42" t="inlineStr">
        <is>
          <t>San Francisco, CA</t>
        </is>
      </c>
      <c r="Q1016" s="43" t="inlineStr">
        <is>
          <t>www.superluckycasino.com</t>
        </is>
      </c>
      <c r="R1016" s="114">
        <f>HYPERLINK("https://my.pitchbook.com?c=133772-68", "View company online")</f>
      </c>
    </row>
    <row r="1017">
      <c r="A1017" s="9" t="inlineStr">
        <is>
          <t>117995-32</t>
        </is>
      </c>
      <c r="B1017" s="10" t="inlineStr">
        <is>
          <t>SunToWater Technologies</t>
        </is>
      </c>
      <c r="C1017" s="11" t="n">
        <v>-0.031442902956229764</v>
      </c>
      <c r="D1017" s="12" t="n">
        <v>4.697857953753312</v>
      </c>
      <c r="E1017" s="13" t="inlineStr">
        <is>
          <t/>
        </is>
      </c>
      <c r="F1017" s="14" t="n">
        <v>17.0</v>
      </c>
      <c r="G1017" s="15" t="n">
        <v>10184.0</v>
      </c>
      <c r="H1017" s="16" t="n">
        <v>1847.0</v>
      </c>
      <c r="I1017" s="17" t="n">
        <v>5.0</v>
      </c>
      <c r="J1017" s="18" t="n">
        <v>0.38</v>
      </c>
      <c r="K1017" s="19" t="inlineStr">
        <is>
          <t>Other Commercial Products</t>
        </is>
      </c>
      <c r="L1017" s="20" t="inlineStr">
        <is>
          <t>Designer and manufacturer of a water-generation system. The company develops a portable water generator that uses solar energy to pump in and store huge capacity of water for emergency needs.</t>
        </is>
      </c>
      <c r="M1017" s="21" t="inlineStr">
        <is>
          <t>Singularity University</t>
        </is>
      </c>
      <c r="N1017" s="22" t="inlineStr">
        <is>
          <t>Accelerator/Incubator Backed</t>
        </is>
      </c>
      <c r="O1017" s="23" t="inlineStr">
        <is>
          <t>Privately Held (backing)</t>
        </is>
      </c>
      <c r="P1017" s="24" t="inlineStr">
        <is>
          <t>Palo Alto, CA</t>
        </is>
      </c>
      <c r="Q1017" s="25" t="inlineStr">
        <is>
          <t>www.suntowater.com</t>
        </is>
      </c>
      <c r="R1017" s="113">
        <f>HYPERLINK("https://my.pitchbook.com?c=117995-32", "View company online")</f>
      </c>
    </row>
    <row r="1018">
      <c r="A1018" s="27" t="inlineStr">
        <is>
          <t>156196-09</t>
        </is>
      </c>
      <c r="B1018" s="28" t="inlineStr">
        <is>
          <t>SunTime Energy Builders</t>
        </is>
      </c>
      <c r="C1018" s="29" t="n">
        <v>0.0</v>
      </c>
      <c r="D1018" s="30" t="n">
        <v>0.08729226120530469</v>
      </c>
      <c r="E1018" s="31" t="inlineStr">
        <is>
          <t/>
        </is>
      </c>
      <c r="F1018" s="32" t="n">
        <v>6.0</v>
      </c>
      <c r="G1018" s="33" t="n">
        <v>10.0</v>
      </c>
      <c r="H1018" s="34" t="inlineStr">
        <is>
          <t/>
        </is>
      </c>
      <c r="I1018" s="35" t="inlineStr">
        <is>
          <t/>
        </is>
      </c>
      <c r="J1018" s="36" t="n">
        <v>1.0</v>
      </c>
      <c r="K1018" s="37" t="inlineStr">
        <is>
          <t>Alternative Energy Equipment</t>
        </is>
      </c>
      <c r="L1018" s="38" t="inlineStr">
        <is>
          <t>Owner and operator of a clean energy company. The company designs and manufactures solar power systems and solar panels for their customers. It also provides leasing and financing options available to home owners and businesses.</t>
        </is>
      </c>
      <c r="M1018" s="39" t="inlineStr">
        <is>
          <t>Toba Capital</t>
        </is>
      </c>
      <c r="N1018" s="40" t="inlineStr">
        <is>
          <t>Angel-Backed</t>
        </is>
      </c>
      <c r="O1018" s="41" t="inlineStr">
        <is>
          <t>Privately Held (backing)</t>
        </is>
      </c>
      <c r="P1018" s="42" t="inlineStr">
        <is>
          <t>Van Nuys, CA</t>
        </is>
      </c>
      <c r="Q1018" s="43" t="inlineStr">
        <is>
          <t>www.suntimeenergy.com</t>
        </is>
      </c>
      <c r="R1018" s="114">
        <f>HYPERLINK("https://my.pitchbook.com?c=156196-09", "View company online")</f>
      </c>
    </row>
    <row r="1019">
      <c r="A1019" s="9" t="inlineStr">
        <is>
          <t>112990-06</t>
        </is>
      </c>
      <c r="B1019" s="10" t="inlineStr">
        <is>
          <t>Sunsama</t>
        </is>
      </c>
      <c r="C1019" s="11" t="n">
        <v>0.10777095220626623</v>
      </c>
      <c r="D1019" s="12" t="n">
        <v>0.2289614411758848</v>
      </c>
      <c r="E1019" s="13" t="inlineStr">
        <is>
          <t/>
        </is>
      </c>
      <c r="F1019" s="14" t="n">
        <v>2.0</v>
      </c>
      <c r="G1019" s="15" t="n">
        <v>84.0</v>
      </c>
      <c r="H1019" s="16" t="n">
        <v>248.0</v>
      </c>
      <c r="I1019" s="17" t="inlineStr">
        <is>
          <t/>
        </is>
      </c>
      <c r="J1019" s="18" t="inlineStr">
        <is>
          <t/>
        </is>
      </c>
      <c r="K1019" s="19" t="inlineStr">
        <is>
          <t>Social/Platform Software</t>
        </is>
      </c>
      <c r="L1019" s="20" t="inlineStr">
        <is>
          <t>Provider of a social networking platform. The company offers a social networking platform where users can share their schedule with colleagues, mentors, friends and their professional network.</t>
        </is>
      </c>
      <c r="M1019" s="21" t="inlineStr">
        <is>
          <t>Boost VC, Starveups, Timothy Draper</t>
        </is>
      </c>
      <c r="N1019" s="22" t="inlineStr">
        <is>
          <t>Accelerator/Incubator Backed</t>
        </is>
      </c>
      <c r="O1019" s="23" t="inlineStr">
        <is>
          <t>Privately Held (backing)</t>
        </is>
      </c>
      <c r="P1019" s="24" t="inlineStr">
        <is>
          <t>San Mateo, CA</t>
        </is>
      </c>
      <c r="Q1019" s="25" t="inlineStr">
        <is>
          <t>www.sunsama.com</t>
        </is>
      </c>
      <c r="R1019" s="113">
        <f>HYPERLINK("https://my.pitchbook.com?c=112990-06", "View company online")</f>
      </c>
    </row>
    <row r="1020">
      <c r="A1020" s="27" t="inlineStr">
        <is>
          <t>95483-17</t>
        </is>
      </c>
      <c r="B1020" s="28" t="inlineStr">
        <is>
          <t>Sunn App</t>
        </is>
      </c>
      <c r="C1020" s="86">
        <f>HYPERLINK("https://my.pitchbook.com?rrp=95483-17&amp;type=c", "This Company's information is not available to download. Need this Company? Request availability")</f>
      </c>
      <c r="D1020" s="30" t="inlineStr">
        <is>
          <t/>
        </is>
      </c>
      <c r="E1020" s="31" t="inlineStr">
        <is>
          <t/>
        </is>
      </c>
      <c r="F1020" s="32" t="inlineStr">
        <is>
          <t/>
        </is>
      </c>
      <c r="G1020" s="33" t="inlineStr">
        <is>
          <t/>
        </is>
      </c>
      <c r="H1020" s="34" t="inlineStr">
        <is>
          <t/>
        </is>
      </c>
      <c r="I1020" s="35" t="inlineStr">
        <is>
          <t/>
        </is>
      </c>
      <c r="J1020" s="36" t="inlineStr">
        <is>
          <t/>
        </is>
      </c>
      <c r="K1020" s="37" t="inlineStr">
        <is>
          <t/>
        </is>
      </c>
      <c r="L1020" s="38" t="inlineStr">
        <is>
          <t/>
        </is>
      </c>
      <c r="M1020" s="39" t="inlineStr">
        <is>
          <t/>
        </is>
      </c>
      <c r="N1020" s="40" t="inlineStr">
        <is>
          <t/>
        </is>
      </c>
      <c r="O1020" s="41" t="inlineStr">
        <is>
          <t/>
        </is>
      </c>
      <c r="P1020" s="42" t="inlineStr">
        <is>
          <t/>
        </is>
      </c>
      <c r="Q1020" s="43" t="inlineStr">
        <is>
          <t/>
        </is>
      </c>
      <c r="R1020" s="44" t="inlineStr">
        <is>
          <t/>
        </is>
      </c>
    </row>
    <row r="1021">
      <c r="A1021" s="9" t="inlineStr">
        <is>
          <t>103215-07</t>
        </is>
      </c>
      <c r="B1021" s="10" t="inlineStr">
        <is>
          <t>Sun-Lite Metals</t>
        </is>
      </c>
      <c r="C1021" s="11" t="n">
        <v>0.0</v>
      </c>
      <c r="D1021" s="12" t="n">
        <v>0.43615914050696664</v>
      </c>
      <c r="E1021" s="13" t="inlineStr">
        <is>
          <t/>
        </is>
      </c>
      <c r="F1021" s="14" t="n">
        <v>32.0</v>
      </c>
      <c r="G1021" s="15" t="n">
        <v>6.0</v>
      </c>
      <c r="H1021" s="16" t="inlineStr">
        <is>
          <t/>
        </is>
      </c>
      <c r="I1021" s="17" t="n">
        <v>45.0</v>
      </c>
      <c r="J1021" s="18" t="n">
        <v>1.0</v>
      </c>
      <c r="K1021" s="19" t="inlineStr">
        <is>
          <t>Environmental Services (B2B)</t>
        </is>
      </c>
      <c r="L1021" s="20" t="inlineStr">
        <is>
          <t>Owner and operator a scrap metal recycling company. The company offers recycling of alloy batteries, aluminum, copper, steel, stainless and nickel products insulated wires, titaium products, electric motors, carbide items and other automobile shredding.</t>
        </is>
      </c>
      <c r="M1021" s="21" t="inlineStr">
        <is>
          <t/>
        </is>
      </c>
      <c r="N1021" s="22" t="inlineStr">
        <is>
          <t>Angel-Backed</t>
        </is>
      </c>
      <c r="O1021" s="23" t="inlineStr">
        <is>
          <t>Privately Held (backing)</t>
        </is>
      </c>
      <c r="P1021" s="24" t="inlineStr">
        <is>
          <t>Los Angeles, CA</t>
        </is>
      </c>
      <c r="Q1021" s="25" t="inlineStr">
        <is>
          <t>www.sunlite-metals.com</t>
        </is>
      </c>
      <c r="R1021" s="113">
        <f>HYPERLINK("https://my.pitchbook.com?c=103215-07", "View company online")</f>
      </c>
    </row>
    <row r="1022">
      <c r="A1022" s="27" t="inlineStr">
        <is>
          <t>147892-78</t>
        </is>
      </c>
      <c r="B1022" s="28" t="inlineStr">
        <is>
          <t>Sunfolding</t>
        </is>
      </c>
      <c r="C1022" s="29" t="n">
        <v>0.307992834855353</v>
      </c>
      <c r="D1022" s="30" t="n">
        <v>0.8066880439761794</v>
      </c>
      <c r="E1022" s="31" t="inlineStr">
        <is>
          <t/>
        </is>
      </c>
      <c r="F1022" s="32" t="n">
        <v>39.0</v>
      </c>
      <c r="G1022" s="33" t="inlineStr">
        <is>
          <t/>
        </is>
      </c>
      <c r="H1022" s="34" t="n">
        <v>197.0</v>
      </c>
      <c r="I1022" s="35" t="inlineStr">
        <is>
          <t/>
        </is>
      </c>
      <c r="J1022" s="36" t="inlineStr">
        <is>
          <t/>
        </is>
      </c>
      <c r="K1022" s="37" t="inlineStr">
        <is>
          <t>Other Energy</t>
        </is>
      </c>
      <c r="L1022" s="38" t="inlineStr">
        <is>
          <t>Developer of a solar tracking machine for commercial and utility systems. The company has developed a new approach to tracking for photovoltaic systems using a mass-manufactured, modular drive.</t>
        </is>
      </c>
      <c r="M1022" s="39" t="inlineStr">
        <is>
          <t>Arpa-E, California Energy Commission's Energy Innovations Small Grant (EISG), Other Lab</t>
        </is>
      </c>
      <c r="N1022" s="40" t="inlineStr">
        <is>
          <t>Angel-Backed</t>
        </is>
      </c>
      <c r="O1022" s="41" t="inlineStr">
        <is>
          <t>Privately Held (backing)</t>
        </is>
      </c>
      <c r="P1022" s="42" t="inlineStr">
        <is>
          <t>San Francisco, CA</t>
        </is>
      </c>
      <c r="Q1022" s="43" t="inlineStr">
        <is>
          <t>www.sunfolding.com</t>
        </is>
      </c>
      <c r="R1022" s="114">
        <f>HYPERLINK("https://my.pitchbook.com?c=147892-78", "View company online")</f>
      </c>
    </row>
    <row r="1023">
      <c r="A1023" s="9" t="inlineStr">
        <is>
          <t>171164-17</t>
        </is>
      </c>
      <c r="B1023" s="10" t="inlineStr">
        <is>
          <t>Summer</t>
        </is>
      </c>
      <c r="C1023" s="11" t="n">
        <v>0.08620176026794472</v>
      </c>
      <c r="D1023" s="12" t="n">
        <v>1.0154943763639417</v>
      </c>
      <c r="E1023" s="13" t="inlineStr">
        <is>
          <t/>
        </is>
      </c>
      <c r="F1023" s="14" t="n">
        <v>29.0</v>
      </c>
      <c r="G1023" s="15" t="n">
        <v>1004.0</v>
      </c>
      <c r="H1023" s="16" t="inlineStr">
        <is>
          <t/>
        </is>
      </c>
      <c r="I1023" s="17" t="inlineStr">
        <is>
          <t/>
        </is>
      </c>
      <c r="J1023" s="18" t="n">
        <v>0.12</v>
      </c>
      <c r="K1023" s="19" t="inlineStr">
        <is>
          <t>Social/Platform Software</t>
        </is>
      </c>
      <c r="L1023" s="20" t="inlineStr">
        <is>
          <t>Provider of a stress management platform intended to improve productivity and retention by managing stress. The company offers a platform that uses cognitive behavioral therapy to assess employees' well-being via an online coach-assisted program enabling them better manage stress and anxiety at work.</t>
        </is>
      </c>
      <c r="M1023" s="21" t="inlineStr">
        <is>
          <t>NFX Guild</t>
        </is>
      </c>
      <c r="N1023" s="22" t="inlineStr">
        <is>
          <t>Accelerator/Incubator Backed</t>
        </is>
      </c>
      <c r="O1023" s="23" t="inlineStr">
        <is>
          <t>Privately Held (backing)</t>
        </is>
      </c>
      <c r="P1023" s="24" t="inlineStr">
        <is>
          <t>San Francisco, CA</t>
        </is>
      </c>
      <c r="Q1023" s="25" t="inlineStr">
        <is>
          <t>www.summercare.io</t>
        </is>
      </c>
      <c r="R1023" s="113">
        <f>HYPERLINK("https://my.pitchbook.com?c=171164-17", "View company online")</f>
      </c>
    </row>
    <row r="1024">
      <c r="A1024" s="27" t="inlineStr">
        <is>
          <t>120130-57</t>
        </is>
      </c>
      <c r="B1024" s="28" t="inlineStr">
        <is>
          <t>Suggestic</t>
        </is>
      </c>
      <c r="C1024" s="29" t="n">
        <v>0.1636011661829827</v>
      </c>
      <c r="D1024" s="30" t="n">
        <v>15.296501030454605</v>
      </c>
      <c r="E1024" s="31" t="inlineStr">
        <is>
          <t/>
        </is>
      </c>
      <c r="F1024" s="32" t="n">
        <v>99.0</v>
      </c>
      <c r="G1024" s="33" t="n">
        <v>22111.0</v>
      </c>
      <c r="H1024" s="34" t="n">
        <v>9967.0</v>
      </c>
      <c r="I1024" s="35" t="n">
        <v>19.0</v>
      </c>
      <c r="J1024" s="36" t="n">
        <v>2.1</v>
      </c>
      <c r="K1024" s="37" t="inlineStr">
        <is>
          <t>Outcome Management (Healthcare)</t>
        </is>
      </c>
      <c r="L1024" s="38" t="inlineStr">
        <is>
          <t>Provider of adaptive food recommendations through augmented reality and artificial intelligence. The company uses chat bot and augmented reality interactions to help individuals and families select what to cook at home, what to eat at restaurants and which food or supplements to purchase. The brands or nutritionists behind each diet featured on the platform deepen their relationship with their users and help them increase their adherence.</t>
        </is>
      </c>
      <c r="M1024" s="39" t="inlineStr">
        <is>
          <t>DreamIt Ventures</t>
        </is>
      </c>
      <c r="N1024" s="40" t="inlineStr">
        <is>
          <t>Accelerator/Incubator Backed</t>
        </is>
      </c>
      <c r="O1024" s="41" t="inlineStr">
        <is>
          <t>Privately Held (backing)</t>
        </is>
      </c>
      <c r="P1024" s="42" t="inlineStr">
        <is>
          <t>San Francisco, CA</t>
        </is>
      </c>
      <c r="Q1024" s="43" t="inlineStr">
        <is>
          <t>www.suggestic.com</t>
        </is>
      </c>
      <c r="R1024" s="114">
        <f>HYPERLINK("https://my.pitchbook.com?c=120130-57", "View company online")</f>
      </c>
    </row>
    <row r="1025">
      <c r="A1025" s="9" t="inlineStr">
        <is>
          <t>111875-77</t>
        </is>
      </c>
      <c r="B1025" s="10" t="inlineStr">
        <is>
          <t>Sugars Gone</t>
        </is>
      </c>
      <c r="C1025" s="11" t="n">
        <v>-0.04593076880056707</v>
      </c>
      <c r="D1025" s="12" t="n">
        <v>1.3540823642887019</v>
      </c>
      <c r="E1025" s="13" t="inlineStr">
        <is>
          <t/>
        </is>
      </c>
      <c r="F1025" s="14" t="n">
        <v>12.0</v>
      </c>
      <c r="G1025" s="15" t="n">
        <v>2419.0</v>
      </c>
      <c r="H1025" s="16" t="n">
        <v>625.0</v>
      </c>
      <c r="I1025" s="17" t="n">
        <v>7.0</v>
      </c>
      <c r="J1025" s="18" t="n">
        <v>0.1</v>
      </c>
      <c r="K1025" s="19" t="inlineStr">
        <is>
          <t>Social/Platform Software</t>
        </is>
      </c>
      <c r="L1025" s="20" t="inlineStr">
        <is>
          <t>Provider of a fashion consignment multi-vendor commerce platform. The company enables discovery, shopping, selling, sharing – unearthing fashion pieces.</t>
        </is>
      </c>
      <c r="M1025" s="21" t="inlineStr">
        <is>
          <t>The Eureka Project</t>
        </is>
      </c>
      <c r="N1025" s="22" t="inlineStr">
        <is>
          <t>Angel-Backed</t>
        </is>
      </c>
      <c r="O1025" s="23" t="inlineStr">
        <is>
          <t>Privately Held (backing)</t>
        </is>
      </c>
      <c r="P1025" s="24" t="inlineStr">
        <is>
          <t>Irvine, CA</t>
        </is>
      </c>
      <c r="Q1025" s="25" t="inlineStr">
        <is>
          <t>www.sugarsgone.com</t>
        </is>
      </c>
      <c r="R1025" s="113">
        <f>HYPERLINK("https://my.pitchbook.com?c=111875-77", "View company online")</f>
      </c>
    </row>
    <row r="1026">
      <c r="A1026" s="27" t="inlineStr">
        <is>
          <t>109287-82</t>
        </is>
      </c>
      <c r="B1026" s="28" t="inlineStr">
        <is>
          <t>Sugarcube (Media Player)</t>
        </is>
      </c>
      <c r="C1026" s="29" t="n">
        <v>-0.08685196765798979</v>
      </c>
      <c r="D1026" s="30" t="n">
        <v>0.855054894351136</v>
      </c>
      <c r="E1026" s="31" t="inlineStr">
        <is>
          <t/>
        </is>
      </c>
      <c r="F1026" s="32" t="n">
        <v>51.0</v>
      </c>
      <c r="G1026" s="33" t="n">
        <v>218.0</v>
      </c>
      <c r="H1026" s="34" t="n">
        <v>139.0</v>
      </c>
      <c r="I1026" s="35" t="inlineStr">
        <is>
          <t/>
        </is>
      </c>
      <c r="J1026" s="36" t="n">
        <v>0.02</v>
      </c>
      <c r="K1026" s="37" t="inlineStr">
        <is>
          <t>Electronics (B2C)</t>
        </is>
      </c>
      <c r="L1026" s="38" t="inlineStr">
        <is>
          <t>Developer of a media player. The company offers a wireless HDMI media player that allows its users to share content from any portable device to the TV.</t>
        </is>
      </c>
      <c r="M1026" s="39" t="inlineStr">
        <is>
          <t>Highway1, Plug and Play Tech Center</t>
        </is>
      </c>
      <c r="N1026" s="40" t="inlineStr">
        <is>
          <t>Accelerator/Incubator Backed</t>
        </is>
      </c>
      <c r="O1026" s="41" t="inlineStr">
        <is>
          <t>Privately Held (backing)</t>
        </is>
      </c>
      <c r="P1026" s="42" t="inlineStr">
        <is>
          <t>San Francisco, CA</t>
        </is>
      </c>
      <c r="Q1026" s="43" t="inlineStr">
        <is>
          <t>www.getsugarcube.com</t>
        </is>
      </c>
      <c r="R1026" s="114">
        <f>HYPERLINK("https://my.pitchbook.com?c=109287-82", "View company online")</f>
      </c>
    </row>
    <row r="1027">
      <c r="A1027" s="9" t="inlineStr">
        <is>
          <t>108829-36</t>
        </is>
      </c>
      <c r="B1027" s="10" t="inlineStr">
        <is>
          <t>Sugar Knife</t>
        </is>
      </c>
      <c r="C1027" s="11" t="n">
        <v>0.011703479660603951</v>
      </c>
      <c r="D1027" s="12" t="n">
        <v>1.7587867712959828</v>
      </c>
      <c r="E1027" s="13" t="inlineStr">
        <is>
          <t/>
        </is>
      </c>
      <c r="F1027" s="14" t="n">
        <v>33.0</v>
      </c>
      <c r="G1027" s="15" t="n">
        <v>3129.0</v>
      </c>
      <c r="H1027" s="16" t="n">
        <v>483.0</v>
      </c>
      <c r="I1027" s="17" t="n">
        <v>2.0</v>
      </c>
      <c r="J1027" s="18" t="inlineStr">
        <is>
          <t/>
        </is>
      </c>
      <c r="K1027" s="19" t="inlineStr">
        <is>
          <t>Beverages</t>
        </is>
      </c>
      <c r="L1027" s="20" t="inlineStr">
        <is>
          <t>Provider of an online retail platform for confectionery products. The company provides an online marketplace includes to sell confectionery products includes candies, gourmet marshmallows, whiskey &amp; beer brittle, spirits and liqueurs.</t>
        </is>
      </c>
      <c r="M1027" s="21" t="inlineStr">
        <is>
          <t/>
        </is>
      </c>
      <c r="N1027" s="22" t="inlineStr">
        <is>
          <t>Angel-Backed</t>
        </is>
      </c>
      <c r="O1027" s="23" t="inlineStr">
        <is>
          <t>Privately Held (backing)</t>
        </is>
      </c>
      <c r="P1027" s="24" t="inlineStr">
        <is>
          <t>Oakland, CA</t>
        </is>
      </c>
      <c r="Q1027" s="25" t="inlineStr">
        <is>
          <t>www.sugarknife.com</t>
        </is>
      </c>
      <c r="R1027" s="113">
        <f>HYPERLINK("https://my.pitchbook.com?c=108829-36", "View company online")</f>
      </c>
    </row>
    <row r="1028">
      <c r="A1028" s="27" t="inlineStr">
        <is>
          <t>118837-27</t>
        </is>
      </c>
      <c r="B1028" s="28" t="inlineStr">
        <is>
          <t>Sugar Cone</t>
        </is>
      </c>
      <c r="C1028" s="29" t="n">
        <v>0.10866599103723712</v>
      </c>
      <c r="D1028" s="30" t="n">
        <v>8.109224607806038</v>
      </c>
      <c r="E1028" s="31" t="inlineStr">
        <is>
          <t/>
        </is>
      </c>
      <c r="F1028" s="32" t="n">
        <v>323.0</v>
      </c>
      <c r="G1028" s="33" t="n">
        <v>4185.0</v>
      </c>
      <c r="H1028" s="34" t="n">
        <v>3437.0</v>
      </c>
      <c r="I1028" s="35" t="inlineStr">
        <is>
          <t/>
        </is>
      </c>
      <c r="J1028" s="36" t="n">
        <v>0.51</v>
      </c>
      <c r="K1028" s="37" t="inlineStr">
        <is>
          <t>Food Products</t>
        </is>
      </c>
      <c r="L1028" s="38" t="inlineStr">
        <is>
          <t>Operator of ice-cream shops with organic ingredients. The company makes ice cream, sorbets and dairy free ice creams using organic milk and cream.</t>
        </is>
      </c>
      <c r="M1028" s="39" t="inlineStr">
        <is>
          <t/>
        </is>
      </c>
      <c r="N1028" s="40" t="inlineStr">
        <is>
          <t>Angel-Backed</t>
        </is>
      </c>
      <c r="O1028" s="41" t="inlineStr">
        <is>
          <t>Privately Held (backing)</t>
        </is>
      </c>
      <c r="P1028" s="42" t="inlineStr">
        <is>
          <t>Santa Monica, CA</t>
        </is>
      </c>
      <c r="Q1028" s="43" t="inlineStr">
        <is>
          <t>www.sweetrosecreamery.com</t>
        </is>
      </c>
      <c r="R1028" s="114">
        <f>HYPERLINK("https://my.pitchbook.com?c=118837-27", "View company online")</f>
      </c>
    </row>
    <row r="1029">
      <c r="A1029" s="9" t="inlineStr">
        <is>
          <t>95010-31</t>
        </is>
      </c>
      <c r="B1029" s="10" t="inlineStr">
        <is>
          <t>SueEasy</t>
        </is>
      </c>
      <c r="C1029" s="11" t="n">
        <v>-3.198044933360058</v>
      </c>
      <c r="D1029" s="12" t="n">
        <v>3.0279050236677354</v>
      </c>
      <c r="E1029" s="13" t="inlineStr">
        <is>
          <t/>
        </is>
      </c>
      <c r="F1029" s="14" t="n">
        <v>174.0</v>
      </c>
      <c r="G1029" s="15" t="inlineStr">
        <is>
          <t/>
        </is>
      </c>
      <c r="H1029" s="16" t="n">
        <v>479.0</v>
      </c>
      <c r="I1029" s="17" t="inlineStr">
        <is>
          <t/>
        </is>
      </c>
      <c r="J1029" s="18" t="n">
        <v>0.14</v>
      </c>
      <c r="K1029" s="19" t="inlineStr">
        <is>
          <t>Legal Services (B2B)</t>
        </is>
      </c>
      <c r="L1029" s="20" t="inlineStr">
        <is>
          <t>Provider of online legal services. The company provides legal dispute resolution services and helps to file complaint or grievance related to a corporation, service or product and also connect with the lawyers.</t>
        </is>
      </c>
      <c r="M1029" s="21" t="inlineStr">
        <is>
          <t/>
        </is>
      </c>
      <c r="N1029" s="22" t="inlineStr">
        <is>
          <t>Angel-Backed</t>
        </is>
      </c>
      <c r="O1029" s="23" t="inlineStr">
        <is>
          <t>Privately Held (backing)</t>
        </is>
      </c>
      <c r="P1029" s="24" t="inlineStr">
        <is>
          <t>Mountain View, CA</t>
        </is>
      </c>
      <c r="Q1029" s="25" t="inlineStr">
        <is>
          <t>www.sueeasy.com</t>
        </is>
      </c>
      <c r="R1029" s="113">
        <f>HYPERLINK("https://my.pitchbook.com?c=95010-31", "View company online")</f>
      </c>
    </row>
    <row r="1030">
      <c r="A1030" s="27" t="inlineStr">
        <is>
          <t>172424-89</t>
        </is>
      </c>
      <c r="B1030" s="28" t="inlineStr">
        <is>
          <t>Successful Survivors Foundation</t>
        </is>
      </c>
      <c r="C1030" s="86">
        <f>HYPERLINK("https://my.pitchbook.com?rrp=172424-89&amp;type=c", "This Company's information is not available to download. Need this Company? Request availability")</f>
      </c>
      <c r="D1030" s="30" t="inlineStr">
        <is>
          <t/>
        </is>
      </c>
      <c r="E1030" s="31" t="inlineStr">
        <is>
          <t/>
        </is>
      </c>
      <c r="F1030" s="32" t="inlineStr">
        <is>
          <t/>
        </is>
      </c>
      <c r="G1030" s="33" t="inlineStr">
        <is>
          <t/>
        </is>
      </c>
      <c r="H1030" s="34" t="inlineStr">
        <is>
          <t/>
        </is>
      </c>
      <c r="I1030" s="35" t="inlineStr">
        <is>
          <t/>
        </is>
      </c>
      <c r="J1030" s="36" t="inlineStr">
        <is>
          <t/>
        </is>
      </c>
      <c r="K1030" s="37" t="inlineStr">
        <is>
          <t/>
        </is>
      </c>
      <c r="L1030" s="38" t="inlineStr">
        <is>
          <t/>
        </is>
      </c>
      <c r="M1030" s="39" t="inlineStr">
        <is>
          <t/>
        </is>
      </c>
      <c r="N1030" s="40" t="inlineStr">
        <is>
          <t/>
        </is>
      </c>
      <c r="O1030" s="41" t="inlineStr">
        <is>
          <t/>
        </is>
      </c>
      <c r="P1030" s="42" t="inlineStr">
        <is>
          <t/>
        </is>
      </c>
      <c r="Q1030" s="43" t="inlineStr">
        <is>
          <t/>
        </is>
      </c>
      <c r="R1030" s="44" t="inlineStr">
        <is>
          <t/>
        </is>
      </c>
    </row>
    <row r="1031">
      <c r="A1031" s="9" t="inlineStr">
        <is>
          <t>148086-55</t>
        </is>
      </c>
      <c r="B1031" s="10" t="inlineStr">
        <is>
          <t>Subtletees</t>
        </is>
      </c>
      <c r="C1031" s="11" t="n">
        <v>-0.015213931522586958</v>
      </c>
      <c r="D1031" s="12" t="n">
        <v>0.29737409532914333</v>
      </c>
      <c r="E1031" s="13" t="inlineStr">
        <is>
          <t/>
        </is>
      </c>
      <c r="F1031" s="14" t="n">
        <v>1.0</v>
      </c>
      <c r="G1031" s="15" t="n">
        <v>700.0</v>
      </c>
      <c r="H1031" s="16" t="n">
        <v>95.0</v>
      </c>
      <c r="I1031" s="17" t="inlineStr">
        <is>
          <t/>
        </is>
      </c>
      <c r="J1031" s="18" t="inlineStr">
        <is>
          <t/>
        </is>
      </c>
      <c r="K1031" s="19" t="inlineStr">
        <is>
          <t>Clothing</t>
        </is>
      </c>
      <c r="L1031" s="20" t="inlineStr">
        <is>
          <t>Provider of an e-commerce platform for buying handmade t-shirts. The company provides an online platform for buying handmade pocket t-shirts which are made form organic cotton fabric.</t>
        </is>
      </c>
      <c r="M1031" s="21" t="inlineStr">
        <is>
          <t>Launch U, Oberlin College Endowment</t>
        </is>
      </c>
      <c r="N1031" s="22" t="inlineStr">
        <is>
          <t>Accelerator/Incubator Backed</t>
        </is>
      </c>
      <c r="O1031" s="23" t="inlineStr">
        <is>
          <t>Privately Held (backing)</t>
        </is>
      </c>
      <c r="P1031" s="24" t="inlineStr">
        <is>
          <t>San Francisco, CA</t>
        </is>
      </c>
      <c r="Q1031" s="25" t="inlineStr">
        <is>
          <t>www.subtletees.us</t>
        </is>
      </c>
      <c r="R1031" s="113">
        <f>HYPERLINK("https://my.pitchbook.com?c=148086-55", "View company online")</f>
      </c>
    </row>
    <row r="1032">
      <c r="A1032" s="27" t="inlineStr">
        <is>
          <t>95375-08</t>
        </is>
      </c>
      <c r="B1032" s="28" t="inlineStr">
        <is>
          <t>Subject Company</t>
        </is>
      </c>
      <c r="C1032" s="29" t="n">
        <v>0.0</v>
      </c>
      <c r="D1032" s="30" t="n">
        <v>0.034782608695652174</v>
      </c>
      <c r="E1032" s="31" t="inlineStr">
        <is>
          <t/>
        </is>
      </c>
      <c r="F1032" s="32" t="inlineStr">
        <is>
          <t/>
        </is>
      </c>
      <c r="G1032" s="33" t="n">
        <v>28.0</v>
      </c>
      <c r="H1032" s="34" t="inlineStr">
        <is>
          <t/>
        </is>
      </c>
      <c r="I1032" s="35" t="n">
        <v>2.0</v>
      </c>
      <c r="J1032" s="36" t="n">
        <v>2.33</v>
      </c>
      <c r="K1032" s="37" t="inlineStr">
        <is>
          <t>Application Software</t>
        </is>
      </c>
      <c r="L1032" s="38" t="inlineStr">
        <is>
          <t>Provider of an online mobile communication platform. The company develops an online platform that allows users to to send mobile website, photos, links, video, text and make calls with out sharing mobile phone numbers.</t>
        </is>
      </c>
      <c r="M1032" s="39" t="inlineStr">
        <is>
          <t/>
        </is>
      </c>
      <c r="N1032" s="40" t="inlineStr">
        <is>
          <t>Angel-Backed</t>
        </is>
      </c>
      <c r="O1032" s="41" t="inlineStr">
        <is>
          <t>Privately Held (backing)</t>
        </is>
      </c>
      <c r="P1032" s="42" t="inlineStr">
        <is>
          <t>Palo Alto, CA</t>
        </is>
      </c>
      <c r="Q1032" s="43" t="inlineStr">
        <is>
          <t>www.subjectcompany.net</t>
        </is>
      </c>
      <c r="R1032" s="114">
        <f>HYPERLINK("https://my.pitchbook.com?c=95375-08", "View company online")</f>
      </c>
    </row>
    <row r="1033">
      <c r="A1033" s="9" t="inlineStr">
        <is>
          <t>90239-68</t>
        </is>
      </c>
      <c r="B1033" s="10" t="inlineStr">
        <is>
          <t>Subimage</t>
        </is>
      </c>
      <c r="C1033" s="11" t="n">
        <v>0.32044100083097987</v>
      </c>
      <c r="D1033" s="12" t="n">
        <v>2.7837837837837838</v>
      </c>
      <c r="E1033" s="13" t="inlineStr">
        <is>
          <t/>
        </is>
      </c>
      <c r="F1033" s="14" t="n">
        <v>103.0</v>
      </c>
      <c r="G1033" s="15" t="inlineStr">
        <is>
          <t/>
        </is>
      </c>
      <c r="H1033" s="16" t="inlineStr">
        <is>
          <t/>
        </is>
      </c>
      <c r="I1033" s="17" t="inlineStr">
        <is>
          <t/>
        </is>
      </c>
      <c r="J1033" s="18" t="n">
        <v>0.59</v>
      </c>
      <c r="K1033" s="19" t="inlineStr">
        <is>
          <t>Multimedia and Design Software</t>
        </is>
      </c>
      <c r="L1033" s="20" t="inlineStr">
        <is>
          <t>Operator of a digital agency for providing graphic design and software engineering. The company operates a digital agency for providing graphic design and software engineering and helps organizations in freelance time tracking &amp; invoice software services.</t>
        </is>
      </c>
      <c r="M1033" s="21" t="inlineStr">
        <is>
          <t/>
        </is>
      </c>
      <c r="N1033" s="22" t="inlineStr">
        <is>
          <t>Angel-Backed</t>
        </is>
      </c>
      <c r="O1033" s="23" t="inlineStr">
        <is>
          <t>Privately Held (backing)</t>
        </is>
      </c>
      <c r="P1033" s="24" t="inlineStr">
        <is>
          <t>San Jose, CA</t>
        </is>
      </c>
      <c r="Q1033" s="25" t="inlineStr">
        <is>
          <t>www.subimage.com</t>
        </is>
      </c>
      <c r="R1033" s="113">
        <f>HYPERLINK("https://my.pitchbook.com?c=90239-68", "View company online")</f>
      </c>
    </row>
    <row r="1034">
      <c r="A1034" s="27" t="inlineStr">
        <is>
          <t>169410-52</t>
        </is>
      </c>
      <c r="B1034" s="28" t="inlineStr">
        <is>
          <t>Subdream Studios</t>
        </is>
      </c>
      <c r="C1034" s="29" t="n">
        <v>0.0</v>
      </c>
      <c r="D1034" s="30" t="n">
        <v>0.20056497175141244</v>
      </c>
      <c r="E1034" s="31" t="inlineStr">
        <is>
          <t/>
        </is>
      </c>
      <c r="F1034" s="32" t="inlineStr">
        <is>
          <t/>
        </is>
      </c>
      <c r="G1034" s="33" t="inlineStr">
        <is>
          <t/>
        </is>
      </c>
      <c r="H1034" s="34" t="n">
        <v>71.0</v>
      </c>
      <c r="I1034" s="35" t="inlineStr">
        <is>
          <t/>
        </is>
      </c>
      <c r="J1034" s="36" t="n">
        <v>1.25</v>
      </c>
      <c r="K1034" s="37" t="inlineStr">
        <is>
          <t>Entertainment Software</t>
        </is>
      </c>
      <c r="L1034" s="38" t="inlineStr">
        <is>
          <t>Operator of virtual reality gaming studio intended to develop and market social virtual reality games. The company's virtual reality gaming studio offers a gaming platform which gathers players together in a lobby where they can challenge each other in a virtual reality game using PC and mobile, enabling players to play and purchase multiplayer games that can be played at virtual reality arcades and at home.</t>
        </is>
      </c>
      <c r="M1034" s="39" t="inlineStr">
        <is>
          <t>Cognitive Investment Management, DeNA, Vive X Accelerator, YJM Entertainment Company</t>
        </is>
      </c>
      <c r="N1034" s="40" t="inlineStr">
        <is>
          <t>Accelerator/Incubator Backed</t>
        </is>
      </c>
      <c r="O1034" s="41" t="inlineStr">
        <is>
          <t>Privately Held (backing)</t>
        </is>
      </c>
      <c r="P1034" s="42" t="inlineStr">
        <is>
          <t>San Mateo, CA</t>
        </is>
      </c>
      <c r="Q1034" s="43" t="inlineStr">
        <is>
          <t/>
        </is>
      </c>
      <c r="R1034" s="114">
        <f>HYPERLINK("https://my.pitchbook.com?c=169410-52", "View company online")</f>
      </c>
    </row>
    <row r="1035">
      <c r="A1035" s="9" t="inlineStr">
        <is>
          <t>121588-03</t>
        </is>
      </c>
      <c r="B1035" s="10" t="inlineStr">
        <is>
          <t>SUB2r</t>
        </is>
      </c>
      <c r="C1035" s="85">
        <f>HYPERLINK("https://my.pitchbook.com?rrp=121588-03&amp;type=c", "This Company's information is not available to download. Need this Company? Request availability")</f>
      </c>
      <c r="D1035" s="12" t="inlineStr">
        <is>
          <t/>
        </is>
      </c>
      <c r="E1035" s="13" t="inlineStr">
        <is>
          <t/>
        </is>
      </c>
      <c r="F1035" s="14" t="inlineStr">
        <is>
          <t/>
        </is>
      </c>
      <c r="G1035" s="15" t="inlineStr">
        <is>
          <t/>
        </is>
      </c>
      <c r="H1035" s="16" t="inlineStr">
        <is>
          <t/>
        </is>
      </c>
      <c r="I1035" s="17" t="inlineStr">
        <is>
          <t/>
        </is>
      </c>
      <c r="J1035" s="18" t="inlineStr">
        <is>
          <t/>
        </is>
      </c>
      <c r="K1035" s="19" t="inlineStr">
        <is>
          <t/>
        </is>
      </c>
      <c r="L1035" s="20" t="inlineStr">
        <is>
          <t/>
        </is>
      </c>
      <c r="M1035" s="21" t="inlineStr">
        <is>
          <t/>
        </is>
      </c>
      <c r="N1035" s="22" t="inlineStr">
        <is>
          <t/>
        </is>
      </c>
      <c r="O1035" s="23" t="inlineStr">
        <is>
          <t/>
        </is>
      </c>
      <c r="P1035" s="24" t="inlineStr">
        <is>
          <t/>
        </is>
      </c>
      <c r="Q1035" s="25" t="inlineStr">
        <is>
          <t/>
        </is>
      </c>
      <c r="R1035" s="26" t="inlineStr">
        <is>
          <t/>
        </is>
      </c>
    </row>
    <row r="1036">
      <c r="A1036" s="27" t="inlineStr">
        <is>
          <t>117281-89</t>
        </is>
      </c>
      <c r="B1036" s="28" t="inlineStr">
        <is>
          <t>Stylematic</t>
        </is>
      </c>
      <c r="C1036" s="29" t="n">
        <v>-0.006595681136725735</v>
      </c>
      <c r="D1036" s="30" t="n">
        <v>3.042372881355932</v>
      </c>
      <c r="E1036" s="31" t="inlineStr">
        <is>
          <t/>
        </is>
      </c>
      <c r="F1036" s="32" t="inlineStr">
        <is>
          <t/>
        </is>
      </c>
      <c r="G1036" s="33" t="inlineStr">
        <is>
          <t/>
        </is>
      </c>
      <c r="H1036" s="34" t="n">
        <v>1077.0</v>
      </c>
      <c r="I1036" s="35" t="n">
        <v>5.0</v>
      </c>
      <c r="J1036" s="36" t="inlineStr">
        <is>
          <t/>
        </is>
      </c>
      <c r="K1036" s="37" t="inlineStr">
        <is>
          <t>Application Software</t>
        </is>
      </c>
      <c r="L1036" s="38" t="inlineStr">
        <is>
          <t>Developer of a fashion application for mobile. The company recommends apparel for users and also publishes something inspirational from social network.</t>
        </is>
      </c>
      <c r="M1036" s="39" t="inlineStr">
        <is>
          <t>Startup Weekend, Wearable IoT World</t>
        </is>
      </c>
      <c r="N1036" s="40" t="inlineStr">
        <is>
          <t>Accelerator/Incubator Backed</t>
        </is>
      </c>
      <c r="O1036" s="41" t="inlineStr">
        <is>
          <t>Privately Held (backing)</t>
        </is>
      </c>
      <c r="P1036" s="42" t="inlineStr">
        <is>
          <t>Palo Alto, CA</t>
        </is>
      </c>
      <c r="Q1036" s="43" t="inlineStr">
        <is>
          <t>stylematic.co</t>
        </is>
      </c>
      <c r="R1036" s="114">
        <f>HYPERLINK("https://my.pitchbook.com?c=117281-89", "View company online")</f>
      </c>
    </row>
    <row r="1037">
      <c r="A1037" s="9" t="inlineStr">
        <is>
          <t>97301-62</t>
        </is>
      </c>
      <c r="B1037" s="10" t="inlineStr">
        <is>
          <t>Styku</t>
        </is>
      </c>
      <c r="C1037" s="11" t="n">
        <v>-1.1539104298043457</v>
      </c>
      <c r="D1037" s="12" t="n">
        <v>2.802434111129763</v>
      </c>
      <c r="E1037" s="13" t="inlineStr">
        <is>
          <t/>
        </is>
      </c>
      <c r="F1037" s="14" t="n">
        <v>173.0</v>
      </c>
      <c r="G1037" s="15" t="n">
        <v>748.0</v>
      </c>
      <c r="H1037" s="16" t="inlineStr">
        <is>
          <t/>
        </is>
      </c>
      <c r="I1037" s="17" t="n">
        <v>11.0</v>
      </c>
      <c r="J1037" s="18" t="n">
        <v>0.91</v>
      </c>
      <c r="K1037" s="19" t="inlineStr">
        <is>
          <t>Application Software</t>
        </is>
      </c>
      <c r="L1037" s="20" t="inlineStr">
        <is>
          <t>Developer of an online size and fit prediction platform for online apparel retailers. The company specializes in developing a personalization platform in the area of health, fitness, beauty, and fashion.</t>
        </is>
      </c>
      <c r="M1037" s="21" t="inlineStr">
        <is>
          <t>Microsoft Accelerator, Plug and Play Tech Center, Techstars</t>
        </is>
      </c>
      <c r="N1037" s="22" t="inlineStr">
        <is>
          <t>Accelerator/Incubator Backed</t>
        </is>
      </c>
      <c r="O1037" s="23" t="inlineStr">
        <is>
          <t>Privately Held (backing)</t>
        </is>
      </c>
      <c r="P1037" s="24" t="inlineStr">
        <is>
          <t>Commerce, CA</t>
        </is>
      </c>
      <c r="Q1037" s="25" t="inlineStr">
        <is>
          <t>www.styku.com</t>
        </is>
      </c>
      <c r="R1037" s="113">
        <f>HYPERLINK("https://my.pitchbook.com?c=97301-62", "View company online")</f>
      </c>
    </row>
    <row r="1038">
      <c r="A1038" s="27" t="inlineStr">
        <is>
          <t>90339-40</t>
        </is>
      </c>
      <c r="B1038" s="28" t="inlineStr">
        <is>
          <t>StudyRoom</t>
        </is>
      </c>
      <c r="C1038" s="29" t="n">
        <v>0.2179446484479808</v>
      </c>
      <c r="D1038" s="30" t="n">
        <v>3.861266714656545</v>
      </c>
      <c r="E1038" s="31" t="inlineStr">
        <is>
          <t/>
        </is>
      </c>
      <c r="F1038" s="32" t="n">
        <v>190.0</v>
      </c>
      <c r="G1038" s="33" t="n">
        <v>2161.0</v>
      </c>
      <c r="H1038" s="34" t="n">
        <v>862.0</v>
      </c>
      <c r="I1038" s="35" t="n">
        <v>29.0</v>
      </c>
      <c r="J1038" s="36" t="n">
        <v>0.1</v>
      </c>
      <c r="K1038" s="37" t="inlineStr">
        <is>
          <t>Application Software</t>
        </is>
      </c>
      <c r="L1038" s="38" t="inlineStr">
        <is>
          <t>Developer of an online platform for connecting classmates. The company develops an online platform that enable s students to share notes, study guides and find study groups with other students.</t>
        </is>
      </c>
      <c r="M1038" s="39" t="inlineStr">
        <is>
          <t>Alan Louie, Brian Marks, Geoff Ralston, Imagine K12, Kevin Moore, Tim Brady</t>
        </is>
      </c>
      <c r="N1038" s="40" t="inlineStr">
        <is>
          <t>Accelerator/Incubator Backed</t>
        </is>
      </c>
      <c r="O1038" s="41" t="inlineStr">
        <is>
          <t>Privately Held (backing)</t>
        </is>
      </c>
      <c r="P1038" s="42" t="inlineStr">
        <is>
          <t>Mountain View, CA</t>
        </is>
      </c>
      <c r="Q1038" s="43" t="inlineStr">
        <is>
          <t>www.getstudyroom.com</t>
        </is>
      </c>
      <c r="R1038" s="114">
        <f>HYPERLINK("https://my.pitchbook.com?c=90339-40", "View company online")</f>
      </c>
    </row>
    <row r="1039">
      <c r="A1039" s="9" t="inlineStr">
        <is>
          <t>92553-49</t>
        </is>
      </c>
      <c r="B1039" s="10" t="inlineStr">
        <is>
          <t>StudyPad</t>
        </is>
      </c>
      <c r="C1039" s="11" t="n">
        <v>0.245100408676196</v>
      </c>
      <c r="D1039" s="12" t="n">
        <v>14.737529317927255</v>
      </c>
      <c r="E1039" s="13" t="inlineStr">
        <is>
          <t/>
        </is>
      </c>
      <c r="F1039" s="14" t="n">
        <v>963.0</v>
      </c>
      <c r="G1039" s="15" t="n">
        <v>5208.0</v>
      </c>
      <c r="H1039" s="16" t="n">
        <v>74.0</v>
      </c>
      <c r="I1039" s="17" t="n">
        <v>41.0</v>
      </c>
      <c r="J1039" s="18" t="n">
        <v>0.2</v>
      </c>
      <c r="K1039" s="19" t="inlineStr">
        <is>
          <t>Educational Software</t>
        </is>
      </c>
      <c r="L1039" s="20" t="inlineStr">
        <is>
          <t>Provider of an educational application. The company provides grade K - 5 maths application for iPhone, iPad and iPod. It contains interactive learning sessions for childern.</t>
        </is>
      </c>
      <c r="M1039" s="21" t="inlineStr">
        <is>
          <t>Aneesh Reddy, Krishna Vedati, Srividhya Ramakrishnan</t>
        </is>
      </c>
      <c r="N1039" s="22" t="inlineStr">
        <is>
          <t>Angel-Backed</t>
        </is>
      </c>
      <c r="O1039" s="23" t="inlineStr">
        <is>
          <t>Privately Held (backing)</t>
        </is>
      </c>
      <c r="P1039" s="24" t="inlineStr">
        <is>
          <t>Redwood City, CA</t>
        </is>
      </c>
      <c r="Q1039" s="25" t="inlineStr">
        <is>
          <t>www.splashmath.com</t>
        </is>
      </c>
      <c r="R1039" s="113">
        <f>HYPERLINK("https://my.pitchbook.com?c=92553-49", "View company online")</f>
      </c>
    </row>
    <row r="1040">
      <c r="A1040" s="27" t="inlineStr">
        <is>
          <t>98444-89</t>
        </is>
      </c>
      <c r="B1040" s="28" t="inlineStr">
        <is>
          <t>Study Notes</t>
        </is>
      </c>
      <c r="C1040" s="29" t="n">
        <v>-1.2937154874228707</v>
      </c>
      <c r="D1040" s="30" t="n">
        <v>10.461857601890763</v>
      </c>
      <c r="E1040" s="31" t="inlineStr">
        <is>
          <t/>
        </is>
      </c>
      <c r="F1040" s="32" t="n">
        <v>647.0</v>
      </c>
      <c r="G1040" s="33" t="n">
        <v>91.0</v>
      </c>
      <c r="H1040" s="34" t="n">
        <v>2317.0</v>
      </c>
      <c r="I1040" s="35" t="inlineStr">
        <is>
          <t/>
        </is>
      </c>
      <c r="J1040" s="36" t="inlineStr">
        <is>
          <t/>
        </is>
      </c>
      <c r="K1040" s="37" t="inlineStr">
        <is>
          <t>Educational and Training Services (B2C)</t>
        </is>
      </c>
      <c r="L1040" s="38" t="inlineStr">
        <is>
          <t>Provider of an online platform offering study resources to students. The company offers a web platform offering free study material and notes for classes and exams.</t>
        </is>
      </c>
      <c r="M1040" s="39" t="inlineStr">
        <is>
          <t>StartX</t>
        </is>
      </c>
      <c r="N1040" s="40" t="inlineStr">
        <is>
          <t>Accelerator/Incubator Backed</t>
        </is>
      </c>
      <c r="O1040" s="41" t="inlineStr">
        <is>
          <t>Privately Held (backing)</t>
        </is>
      </c>
      <c r="P1040" s="42" t="inlineStr">
        <is>
          <t>Stanford, CA</t>
        </is>
      </c>
      <c r="Q1040" s="43" t="inlineStr">
        <is>
          <t>www.apstudynotes.org</t>
        </is>
      </c>
      <c r="R1040" s="114">
        <f>HYPERLINK("https://my.pitchbook.com?c=98444-89", "View company online")</f>
      </c>
    </row>
    <row r="1041">
      <c r="A1041" s="9" t="inlineStr">
        <is>
          <t>98926-21</t>
        </is>
      </c>
      <c r="B1041" s="10" t="inlineStr">
        <is>
          <t>Studio Dental</t>
        </is>
      </c>
      <c r="C1041" s="11" t="n">
        <v>0.022302304025680744</v>
      </c>
      <c r="D1041" s="12" t="n">
        <v>1.1106093671311061</v>
      </c>
      <c r="E1041" s="13" t="inlineStr">
        <is>
          <t/>
        </is>
      </c>
      <c r="F1041" s="14" t="n">
        <v>49.0</v>
      </c>
      <c r="G1041" s="15" t="n">
        <v>722.0</v>
      </c>
      <c r="H1041" s="16" t="inlineStr">
        <is>
          <t/>
        </is>
      </c>
      <c r="I1041" s="17" t="inlineStr">
        <is>
          <t/>
        </is>
      </c>
      <c r="J1041" s="18" t="n">
        <v>0.1</v>
      </c>
      <c r="K1041" s="19" t="inlineStr">
        <is>
          <t>Other Healthcare Services</t>
        </is>
      </c>
      <c r="L1041" s="20" t="inlineStr">
        <is>
          <t>Provider of dental services. The company offers a technology-led mobile dental practice that is on the wheels and reaches the patient's doorstep when called for.</t>
        </is>
      </c>
      <c r="M1041" s="21" t="inlineStr">
        <is>
          <t>Rock Health</t>
        </is>
      </c>
      <c r="N1041" s="22" t="inlineStr">
        <is>
          <t>Accelerator/Incubator Backed</t>
        </is>
      </c>
      <c r="O1041" s="23" t="inlineStr">
        <is>
          <t>Privately Held (backing)</t>
        </is>
      </c>
      <c r="P1041" s="24" t="inlineStr">
        <is>
          <t>San Francisco, CA</t>
        </is>
      </c>
      <c r="Q1041" s="25" t="inlineStr">
        <is>
          <t>www.studiodental.com</t>
        </is>
      </c>
      <c r="R1041" s="113">
        <f>HYPERLINK("https://my.pitchbook.com?c=98926-21", "View company online")</f>
      </c>
    </row>
    <row r="1042">
      <c r="A1042" s="27" t="inlineStr">
        <is>
          <t>177444-46</t>
        </is>
      </c>
      <c r="B1042" s="28" t="inlineStr">
        <is>
          <t>Stryde Men</t>
        </is>
      </c>
      <c r="C1042" s="86">
        <f>HYPERLINK("https://my.pitchbook.com?rrp=177444-46&amp;type=c", "This Company's information is not available to download. Need this Company? Request availability")</f>
      </c>
      <c r="D1042" s="30" t="inlineStr">
        <is>
          <t/>
        </is>
      </c>
      <c r="E1042" s="31" t="inlineStr">
        <is>
          <t/>
        </is>
      </c>
      <c r="F1042" s="32" t="inlineStr">
        <is>
          <t/>
        </is>
      </c>
      <c r="G1042" s="33" t="inlineStr">
        <is>
          <t/>
        </is>
      </c>
      <c r="H1042" s="34" t="inlineStr">
        <is>
          <t/>
        </is>
      </c>
      <c r="I1042" s="35" t="inlineStr">
        <is>
          <t/>
        </is>
      </c>
      <c r="J1042" s="36" t="inlineStr">
        <is>
          <t/>
        </is>
      </c>
      <c r="K1042" s="37" t="inlineStr">
        <is>
          <t/>
        </is>
      </c>
      <c r="L1042" s="38" t="inlineStr">
        <is>
          <t/>
        </is>
      </c>
      <c r="M1042" s="39" t="inlineStr">
        <is>
          <t/>
        </is>
      </c>
      <c r="N1042" s="40" t="inlineStr">
        <is>
          <t/>
        </is>
      </c>
      <c r="O1042" s="41" t="inlineStr">
        <is>
          <t/>
        </is>
      </c>
      <c r="P1042" s="42" t="inlineStr">
        <is>
          <t/>
        </is>
      </c>
      <c r="Q1042" s="43" t="inlineStr">
        <is>
          <t/>
        </is>
      </c>
      <c r="R1042" s="44" t="inlineStr">
        <is>
          <t/>
        </is>
      </c>
    </row>
    <row r="1043">
      <c r="A1043" s="9" t="inlineStr">
        <is>
          <t>95344-75</t>
        </is>
      </c>
      <c r="B1043" s="10" t="inlineStr">
        <is>
          <t>STRV</t>
        </is>
      </c>
      <c r="C1043" s="11" t="n">
        <v>0.5718977499433407</v>
      </c>
      <c r="D1043" s="12" t="n">
        <v>15.862097432731181</v>
      </c>
      <c r="E1043" s="13" t="inlineStr">
        <is>
          <t/>
        </is>
      </c>
      <c r="F1043" s="14" t="n">
        <v>343.0</v>
      </c>
      <c r="G1043" s="15" t="n">
        <v>6885.0</v>
      </c>
      <c r="H1043" s="16" t="n">
        <v>12834.0</v>
      </c>
      <c r="I1043" s="17" t="n">
        <v>150.0</v>
      </c>
      <c r="J1043" s="18" t="inlineStr">
        <is>
          <t/>
        </is>
      </c>
      <c r="K1043" s="19" t="inlineStr">
        <is>
          <t>Application Software</t>
        </is>
      </c>
      <c r="L1043" s="20" t="inlineStr">
        <is>
          <t>Operator of a mobile app development shop. The company provides codes and designs for various startups.</t>
        </is>
      </c>
      <c r="M1043" s="21" t="inlineStr">
        <is>
          <t>Runway Incubator</t>
        </is>
      </c>
      <c r="N1043" s="22" t="inlineStr">
        <is>
          <t>Accelerator/Incubator Backed</t>
        </is>
      </c>
      <c r="O1043" s="23" t="inlineStr">
        <is>
          <t>Privately Held (backing)</t>
        </is>
      </c>
      <c r="P1043" s="24" t="inlineStr">
        <is>
          <t>San Francisco, CA</t>
        </is>
      </c>
      <c r="Q1043" s="25" t="inlineStr">
        <is>
          <t>www.strv.com</t>
        </is>
      </c>
      <c r="R1043" s="113">
        <f>HYPERLINK("https://my.pitchbook.com?c=95344-75", "View company online")</f>
      </c>
    </row>
    <row r="1044">
      <c r="A1044" s="27" t="inlineStr">
        <is>
          <t>155952-64</t>
        </is>
      </c>
      <c r="B1044" s="28" t="inlineStr">
        <is>
          <t>StrongIntro</t>
        </is>
      </c>
      <c r="C1044" s="29" t="n">
        <v>0.0</v>
      </c>
      <c r="D1044" s="30" t="n">
        <v>0.029671354689777683</v>
      </c>
      <c r="E1044" s="31" t="inlineStr">
        <is>
          <t/>
        </is>
      </c>
      <c r="F1044" s="32" t="n">
        <v>1.0</v>
      </c>
      <c r="G1044" s="33" t="n">
        <v>2.0</v>
      </c>
      <c r="H1044" s="34" t="n">
        <v>22.0</v>
      </c>
      <c r="I1044" s="35" t="inlineStr">
        <is>
          <t/>
        </is>
      </c>
      <c r="J1044" s="36" t="n">
        <v>0.12</v>
      </c>
      <c r="K1044" s="37" t="inlineStr">
        <is>
          <t>Human Capital Services</t>
        </is>
      </c>
      <c r="L1044" s="38" t="inlineStr">
        <is>
          <t>Provider of an employee referrals platform. The company develops a recruiting tool which offers employers to hire people from employee referrals.</t>
        </is>
      </c>
      <c r="M1044" s="39" t="inlineStr">
        <is>
          <t>Thiel Fellowship, Y Combinator</t>
        </is>
      </c>
      <c r="N1044" s="40" t="inlineStr">
        <is>
          <t>Accelerator/Incubator Backed</t>
        </is>
      </c>
      <c r="O1044" s="41" t="inlineStr">
        <is>
          <t>Privately Held (backing)</t>
        </is>
      </c>
      <c r="P1044" s="42" t="inlineStr">
        <is>
          <t>San Francisco, CA</t>
        </is>
      </c>
      <c r="Q1044" s="43" t="inlineStr">
        <is>
          <t>www.strongintro.com</t>
        </is>
      </c>
      <c r="R1044" s="114">
        <f>HYPERLINK("https://my.pitchbook.com?c=155952-64", "View company online")</f>
      </c>
    </row>
    <row r="1045">
      <c r="A1045" s="9" t="inlineStr">
        <is>
          <t>95005-90</t>
        </is>
      </c>
      <c r="B1045" s="10" t="inlineStr">
        <is>
          <t>Stroll</t>
        </is>
      </c>
      <c r="C1045" s="11" t="n">
        <v>0.23521840794344304</v>
      </c>
      <c r="D1045" s="12" t="n">
        <v>0.41790437400238434</v>
      </c>
      <c r="E1045" s="13" t="inlineStr">
        <is>
          <t/>
        </is>
      </c>
      <c r="F1045" s="14" t="n">
        <v>10.0</v>
      </c>
      <c r="G1045" s="15" t="n">
        <v>317.0</v>
      </c>
      <c r="H1045" s="16" t="n">
        <v>260.0</v>
      </c>
      <c r="I1045" s="17" t="n">
        <v>17.0</v>
      </c>
      <c r="J1045" s="18" t="n">
        <v>0.03</v>
      </c>
      <c r="K1045" s="19" t="inlineStr">
        <is>
          <t>Application Software</t>
        </is>
      </c>
      <c r="L1045" s="20" t="inlineStr">
        <is>
          <t>Developer of a mobile application for physicians designed to make healthcare more transparent and personalized. The company's mobile application helps doctors and patients with transparency in treatment options and enables them to make the optimal personalized choice in their healthcare treatment.</t>
        </is>
      </c>
      <c r="M1045" s="21" t="inlineStr">
        <is>
          <t>Business Association of Stanford Entrepreneurial Students, Elevar, Prebacked, Skydeck | Berkeley, TMCx Innovation</t>
        </is>
      </c>
      <c r="N1045" s="22" t="inlineStr">
        <is>
          <t>Accelerator/Incubator Backed</t>
        </is>
      </c>
      <c r="O1045" s="23" t="inlineStr">
        <is>
          <t>Privately Held (backing)</t>
        </is>
      </c>
      <c r="P1045" s="24" t="inlineStr">
        <is>
          <t>San Francisco, CA</t>
        </is>
      </c>
      <c r="Q1045" s="25" t="inlineStr">
        <is>
          <t>www.strollhealth.com</t>
        </is>
      </c>
      <c r="R1045" s="113">
        <f>HYPERLINK("https://my.pitchbook.com?c=95005-90", "View company online")</f>
      </c>
    </row>
    <row r="1046">
      <c r="A1046" s="27" t="inlineStr">
        <is>
          <t>97269-49</t>
        </is>
      </c>
      <c r="B1046" s="28" t="inlineStr">
        <is>
          <t>Striker Solutions</t>
        </is>
      </c>
      <c r="C1046" s="29" t="n">
        <v>-0.003798903656874837</v>
      </c>
      <c r="D1046" s="30" t="n">
        <v>1.2199188819306728</v>
      </c>
      <c r="E1046" s="31" t="inlineStr">
        <is>
          <t/>
        </is>
      </c>
      <c r="F1046" s="32" t="n">
        <v>41.0</v>
      </c>
      <c r="G1046" s="33" t="n">
        <v>1995.0</v>
      </c>
      <c r="H1046" s="34" t="n">
        <v>66.0</v>
      </c>
      <c r="I1046" s="35" t="inlineStr">
        <is>
          <t/>
        </is>
      </c>
      <c r="J1046" s="36" t="inlineStr">
        <is>
          <t/>
        </is>
      </c>
      <c r="K1046" s="37" t="inlineStr">
        <is>
          <t>Business/Productivity Software</t>
        </is>
      </c>
      <c r="L1046" s="38" t="inlineStr">
        <is>
          <t>Provider of an online marketing tool. The company provides its users with tools to create Craiglist, eBay or Backpage ads.</t>
        </is>
      </c>
      <c r="M1046" s="39" t="inlineStr">
        <is>
          <t>John Gibbs, Steve Callendrela</t>
        </is>
      </c>
      <c r="N1046" s="40" t="inlineStr">
        <is>
          <t>Angel-Backed</t>
        </is>
      </c>
      <c r="O1046" s="41" t="inlineStr">
        <is>
          <t>Privately Held (backing)</t>
        </is>
      </c>
      <c r="P1046" s="42" t="inlineStr">
        <is>
          <t>Chico, CA</t>
        </is>
      </c>
      <c r="Q1046" s="43" t="inlineStr">
        <is>
          <t>www.postmaven.com</t>
        </is>
      </c>
      <c r="R1046" s="114">
        <f>HYPERLINK("https://my.pitchbook.com?c=97269-49", "View company online")</f>
      </c>
    </row>
    <row r="1047">
      <c r="A1047" s="9" t="inlineStr">
        <is>
          <t>115412-77</t>
        </is>
      </c>
      <c r="B1047" s="10" t="inlineStr">
        <is>
          <t>Strike Brewing Company</t>
        </is>
      </c>
      <c r="C1047" s="11" t="n">
        <v>-0.4763400281553551</v>
      </c>
      <c r="D1047" s="12" t="n">
        <v>3.9819056344480073</v>
      </c>
      <c r="E1047" s="13" t="inlineStr">
        <is>
          <t/>
        </is>
      </c>
      <c r="F1047" s="14" t="n">
        <v>99.0</v>
      </c>
      <c r="G1047" s="15" t="inlineStr">
        <is>
          <t/>
        </is>
      </c>
      <c r="H1047" s="16" t="n">
        <v>1873.0</v>
      </c>
      <c r="I1047" s="17" t="n">
        <v>11.0</v>
      </c>
      <c r="J1047" s="18" t="n">
        <v>1.54</v>
      </c>
      <c r="K1047" s="19" t="inlineStr">
        <is>
          <t>Beverages</t>
        </is>
      </c>
      <c r="L1047" s="20" t="inlineStr">
        <is>
          <t>Owner and operator of a alcohol brewing company. The company offers wine, gin, whiskey and other related alcoholic and hard drinks and beverages to their customers.</t>
        </is>
      </c>
      <c r="M1047" s="21" t="inlineStr">
        <is>
          <t>Houston Angel Network, Texas Angel Fund</t>
        </is>
      </c>
      <c r="N1047" s="22" t="inlineStr">
        <is>
          <t>Angel-Backed</t>
        </is>
      </c>
      <c r="O1047" s="23" t="inlineStr">
        <is>
          <t>Privately Held (backing)</t>
        </is>
      </c>
      <c r="P1047" s="24" t="inlineStr">
        <is>
          <t>San Jose, CA</t>
        </is>
      </c>
      <c r="Q1047" s="25" t="inlineStr">
        <is>
          <t>www.strikebrewingco.com</t>
        </is>
      </c>
      <c r="R1047" s="113">
        <f>HYPERLINK("https://my.pitchbook.com?c=115412-77", "View company online")</f>
      </c>
    </row>
    <row r="1048">
      <c r="A1048" s="27" t="inlineStr">
        <is>
          <t>163624-24</t>
        </is>
      </c>
      <c r="B1048" s="28" t="inlineStr">
        <is>
          <t>StrideSpark</t>
        </is>
      </c>
      <c r="C1048" s="29" t="inlineStr">
        <is>
          <t/>
        </is>
      </c>
      <c r="D1048" s="30" t="inlineStr">
        <is>
          <t/>
        </is>
      </c>
      <c r="E1048" s="31" t="inlineStr">
        <is>
          <t/>
        </is>
      </c>
      <c r="F1048" s="32" t="inlineStr">
        <is>
          <t/>
        </is>
      </c>
      <c r="G1048" s="33" t="inlineStr">
        <is>
          <t/>
        </is>
      </c>
      <c r="H1048" s="34" t="inlineStr">
        <is>
          <t/>
        </is>
      </c>
      <c r="I1048" s="35" t="inlineStr">
        <is>
          <t/>
        </is>
      </c>
      <c r="J1048" s="36" t="n">
        <v>2.73</v>
      </c>
      <c r="K1048" s="37" t="inlineStr">
        <is>
          <t>Media and Information Services (B2B)</t>
        </is>
      </c>
      <c r="L1048" s="38" t="inlineStr">
        <is>
          <t>Provider of an intelligent retention marketing engine. The company operates an intelligent retention marketing engine that rethinks the marketing stack from the ground up and makes data-driven customer engagement easy.</t>
        </is>
      </c>
      <c r="M1048" s="39" t="inlineStr">
        <is>
          <t/>
        </is>
      </c>
      <c r="N1048" s="40" t="inlineStr">
        <is>
          <t>Angel-Backed</t>
        </is>
      </c>
      <c r="O1048" s="41" t="inlineStr">
        <is>
          <t>Privately Held (backing)</t>
        </is>
      </c>
      <c r="P1048" s="42" t="inlineStr">
        <is>
          <t>Palo Alto, CA</t>
        </is>
      </c>
      <c r="Q1048" s="43" t="inlineStr">
        <is>
          <t>www.stridespark.com</t>
        </is>
      </c>
      <c r="R1048" s="114">
        <f>HYPERLINK("https://my.pitchbook.com?c=163624-24", "View company online")</f>
      </c>
    </row>
    <row r="1049">
      <c r="A1049" s="9" t="inlineStr">
        <is>
          <t>119768-59</t>
        </is>
      </c>
      <c r="B1049" s="10" t="inlineStr">
        <is>
          <t>Stride Travel</t>
        </is>
      </c>
      <c r="C1049" s="11" t="n">
        <v>-0.18280424393825156</v>
      </c>
      <c r="D1049" s="12" t="n">
        <v>8.722049807993066</v>
      </c>
      <c r="E1049" s="13" t="inlineStr">
        <is>
          <t/>
        </is>
      </c>
      <c r="F1049" s="14" t="n">
        <v>299.0</v>
      </c>
      <c r="G1049" s="15" t="n">
        <v>10672.0</v>
      </c>
      <c r="H1049" s="16" t="n">
        <v>1798.0</v>
      </c>
      <c r="I1049" s="17" t="n">
        <v>15.0</v>
      </c>
      <c r="J1049" s="18" t="n">
        <v>0.5</v>
      </c>
      <c r="K1049" s="19" t="inlineStr">
        <is>
          <t>Leisure Facilities</t>
        </is>
      </c>
      <c r="L1049" s="20" t="inlineStr">
        <is>
          <t>Operator of a meta-search platform for professionally planned vacations. The company offers a platform enabling users to search for tours, small ship cruises, safaris, and adventure packages.</t>
        </is>
      </c>
      <c r="M1049" s="21" t="inlineStr">
        <is>
          <t>Adam Goldstein, Baris Gultekin, John Owen</t>
        </is>
      </c>
      <c r="N1049" s="22" t="inlineStr">
        <is>
          <t>Angel-Backed</t>
        </is>
      </c>
      <c r="O1049" s="23" t="inlineStr">
        <is>
          <t>Privately Held (backing)</t>
        </is>
      </c>
      <c r="P1049" s="24" t="inlineStr">
        <is>
          <t>San Francisco, CA</t>
        </is>
      </c>
      <c r="Q1049" s="25" t="inlineStr">
        <is>
          <t>www.stridetravel.com</t>
        </is>
      </c>
      <c r="R1049" s="113">
        <f>HYPERLINK("https://my.pitchbook.com?c=119768-59", "View company online")</f>
      </c>
    </row>
    <row r="1050">
      <c r="A1050" s="27" t="inlineStr">
        <is>
          <t>108479-35</t>
        </is>
      </c>
      <c r="B1050" s="28" t="inlineStr">
        <is>
          <t>StrictlyRock.com</t>
        </is>
      </c>
      <c r="C1050" s="86">
        <f>HYPERLINK("https://my.pitchbook.com?rrp=108479-35&amp;type=c", "This Company's information is not available to download. Need this Company? Request availability")</f>
      </c>
      <c r="D1050" s="30" t="inlineStr">
        <is>
          <t/>
        </is>
      </c>
      <c r="E1050" s="31" t="inlineStr">
        <is>
          <t/>
        </is>
      </c>
      <c r="F1050" s="32" t="inlineStr">
        <is>
          <t/>
        </is>
      </c>
      <c r="G1050" s="33" t="inlineStr">
        <is>
          <t/>
        </is>
      </c>
      <c r="H1050" s="34" t="inlineStr">
        <is>
          <t/>
        </is>
      </c>
      <c r="I1050" s="35" t="inlineStr">
        <is>
          <t/>
        </is>
      </c>
      <c r="J1050" s="36" t="inlineStr">
        <is>
          <t/>
        </is>
      </c>
      <c r="K1050" s="37" t="inlineStr">
        <is>
          <t/>
        </is>
      </c>
      <c r="L1050" s="38" t="inlineStr">
        <is>
          <t/>
        </is>
      </c>
      <c r="M1050" s="39" t="inlineStr">
        <is>
          <t/>
        </is>
      </c>
      <c r="N1050" s="40" t="inlineStr">
        <is>
          <t/>
        </is>
      </c>
      <c r="O1050" s="41" t="inlineStr">
        <is>
          <t/>
        </is>
      </c>
      <c r="P1050" s="42" t="inlineStr">
        <is>
          <t/>
        </is>
      </c>
      <c r="Q1050" s="43" t="inlineStr">
        <is>
          <t/>
        </is>
      </c>
      <c r="R1050" s="44" t="inlineStr">
        <is>
          <t/>
        </is>
      </c>
    </row>
    <row r="1051">
      <c r="A1051" s="9" t="inlineStr">
        <is>
          <t>88700-05</t>
        </is>
      </c>
      <c r="B1051" s="10" t="inlineStr">
        <is>
          <t>StrengthPortal</t>
        </is>
      </c>
      <c r="C1051" s="11" t="n">
        <v>-0.05657691770312021</v>
      </c>
      <c r="D1051" s="12" t="n">
        <v>0.9968033619470613</v>
      </c>
      <c r="E1051" s="13" t="inlineStr">
        <is>
          <t/>
        </is>
      </c>
      <c r="F1051" s="14" t="n">
        <v>35.0</v>
      </c>
      <c r="G1051" s="15" t="n">
        <v>770.0</v>
      </c>
      <c r="H1051" s="16" t="n">
        <v>383.0</v>
      </c>
      <c r="I1051" s="17" t="n">
        <v>3.0</v>
      </c>
      <c r="J1051" s="18" t="n">
        <v>0.6</v>
      </c>
      <c r="K1051" s="19" t="inlineStr">
        <is>
          <t>Other Software</t>
        </is>
      </c>
      <c r="L1051" s="20" t="inlineStr">
        <is>
          <t>Developer of fitness management software. The company develops a fitness management software that allows fitness professionals to train their clients online.</t>
        </is>
      </c>
      <c r="M1051" s="21" t="inlineStr">
        <is>
          <t>Boost VC, John Konrad, Zack Chichelo</t>
        </is>
      </c>
      <c r="N1051" s="22" t="inlineStr">
        <is>
          <t>Accelerator/Incubator Backed</t>
        </is>
      </c>
      <c r="O1051" s="23" t="inlineStr">
        <is>
          <t>Privately Held (backing)</t>
        </is>
      </c>
      <c r="P1051" s="24" t="inlineStr">
        <is>
          <t>San Mateo, CA</t>
        </is>
      </c>
      <c r="Q1051" s="25" t="inlineStr">
        <is>
          <t>www.strengthportal.com</t>
        </is>
      </c>
      <c r="R1051" s="113">
        <f>HYPERLINK("https://my.pitchbook.com?c=88700-05", "View company online")</f>
      </c>
    </row>
    <row r="1052">
      <c r="A1052" s="27" t="inlineStr">
        <is>
          <t>123273-82</t>
        </is>
      </c>
      <c r="B1052" s="28" t="inlineStr">
        <is>
          <t>Streetmix</t>
        </is>
      </c>
      <c r="C1052" s="29" t="n">
        <v>0.28549678877257373</v>
      </c>
      <c r="D1052" s="30" t="n">
        <v>2.8173385249656437</v>
      </c>
      <c r="E1052" s="31" t="inlineStr">
        <is>
          <t/>
        </is>
      </c>
      <c r="F1052" s="32" t="n">
        <v>84.0</v>
      </c>
      <c r="G1052" s="33" t="inlineStr">
        <is>
          <t/>
        </is>
      </c>
      <c r="H1052" s="34" t="n">
        <v>1188.0</v>
      </c>
      <c r="I1052" s="35" t="inlineStr">
        <is>
          <t/>
        </is>
      </c>
      <c r="J1052" s="36" t="inlineStr">
        <is>
          <t/>
        </is>
      </c>
      <c r="K1052" s="37" t="inlineStr">
        <is>
          <t>Application Software</t>
        </is>
      </c>
      <c r="L1052" s="38" t="inlineStr">
        <is>
          <t>Developer of an online platform for street design. The company develops a web-based application software where citizens and planners can provide street designs.</t>
        </is>
      </c>
      <c r="M1052" s="39" t="inlineStr">
        <is>
          <t>Code For America</t>
        </is>
      </c>
      <c r="N1052" s="40" t="inlineStr">
        <is>
          <t>Accelerator/Incubator Backed</t>
        </is>
      </c>
      <c r="O1052" s="41" t="inlineStr">
        <is>
          <t>Privately Held (backing)</t>
        </is>
      </c>
      <c r="P1052" s="42" t="inlineStr">
        <is>
          <t>San Francisco, CA</t>
        </is>
      </c>
      <c r="Q1052" s="43" t="inlineStr">
        <is>
          <t>www.streetmix.net</t>
        </is>
      </c>
      <c r="R1052" s="114">
        <f>HYPERLINK("https://my.pitchbook.com?c=123273-82", "View company online")</f>
      </c>
    </row>
    <row r="1053">
      <c r="A1053" s="9" t="inlineStr">
        <is>
          <t>117485-74</t>
        </is>
      </c>
      <c r="B1053" s="10" t="inlineStr">
        <is>
          <t>Streek By Wauw</t>
        </is>
      </c>
      <c r="C1053" s="85">
        <f>HYPERLINK("https://my.pitchbook.com?rrp=117485-74&amp;type=c", "This Company's information is not available to download. Need this Company? Request availability")</f>
      </c>
      <c r="D1053" s="12" t="inlineStr">
        <is>
          <t/>
        </is>
      </c>
      <c r="E1053" s="13" t="inlineStr">
        <is>
          <t/>
        </is>
      </c>
      <c r="F1053" s="14" t="inlineStr">
        <is>
          <t/>
        </is>
      </c>
      <c r="G1053" s="15" t="inlineStr">
        <is>
          <t/>
        </is>
      </c>
      <c r="H1053" s="16" t="inlineStr">
        <is>
          <t/>
        </is>
      </c>
      <c r="I1053" s="17" t="inlineStr">
        <is>
          <t/>
        </is>
      </c>
      <c r="J1053" s="18" t="inlineStr">
        <is>
          <t/>
        </is>
      </c>
      <c r="K1053" s="19" t="inlineStr">
        <is>
          <t/>
        </is>
      </c>
      <c r="L1053" s="20" t="inlineStr">
        <is>
          <t/>
        </is>
      </c>
      <c r="M1053" s="21" t="inlineStr">
        <is>
          <t/>
        </is>
      </c>
      <c r="N1053" s="22" t="inlineStr">
        <is>
          <t/>
        </is>
      </c>
      <c r="O1053" s="23" t="inlineStr">
        <is>
          <t/>
        </is>
      </c>
      <c r="P1053" s="24" t="inlineStr">
        <is>
          <t/>
        </is>
      </c>
      <c r="Q1053" s="25" t="inlineStr">
        <is>
          <t/>
        </is>
      </c>
      <c r="R1053" s="26" t="inlineStr">
        <is>
          <t/>
        </is>
      </c>
    </row>
    <row r="1054">
      <c r="A1054" s="27" t="inlineStr">
        <is>
          <t>94007-71</t>
        </is>
      </c>
      <c r="B1054" s="28" t="inlineStr">
        <is>
          <t>Streamworks Products Group</t>
        </is>
      </c>
      <c r="C1054" s="29" t="n">
        <v>0.0</v>
      </c>
      <c r="D1054" s="30" t="n">
        <v>0.10810810810810811</v>
      </c>
      <c r="E1054" s="31" t="inlineStr">
        <is>
          <t/>
        </is>
      </c>
      <c r="F1054" s="32" t="n">
        <v>4.0</v>
      </c>
      <c r="G1054" s="33" t="inlineStr">
        <is>
          <t/>
        </is>
      </c>
      <c r="H1054" s="34" t="inlineStr">
        <is>
          <t/>
        </is>
      </c>
      <c r="I1054" s="35" t="inlineStr">
        <is>
          <t/>
        </is>
      </c>
      <c r="J1054" s="36" t="n">
        <v>2.26</v>
      </c>
      <c r="K1054" s="37" t="inlineStr">
        <is>
          <t>Other Services (B2C Non-Financial)</t>
        </is>
      </c>
      <c r="L1054" s="38" t="inlineStr">
        <is>
          <t>Operator of a consumer products development organization. The company provides product development that has built an extensive platform of new products targeting a variety of consumer markets.</t>
        </is>
      </c>
      <c r="M1054" s="39" t="inlineStr">
        <is>
          <t/>
        </is>
      </c>
      <c r="N1054" s="40" t="inlineStr">
        <is>
          <t>Angel-Backed</t>
        </is>
      </c>
      <c r="O1054" s="41" t="inlineStr">
        <is>
          <t>Privately Held (backing)</t>
        </is>
      </c>
      <c r="P1054" s="42" t="inlineStr">
        <is>
          <t>Stockton, CA</t>
        </is>
      </c>
      <c r="Q1054" s="43" t="inlineStr">
        <is>
          <t>www.streamworksproducts.com</t>
        </is>
      </c>
      <c r="R1054" s="114">
        <f>HYPERLINK("https://my.pitchbook.com?c=94007-71", "View company online")</f>
      </c>
    </row>
    <row r="1055">
      <c r="A1055" s="9" t="inlineStr">
        <is>
          <t>118205-47</t>
        </is>
      </c>
      <c r="B1055" s="10" t="inlineStr">
        <is>
          <t>Streamlyzer</t>
        </is>
      </c>
      <c r="C1055" s="85">
        <f>HYPERLINK("https://my.pitchbook.com?rrp=118205-47&amp;type=c", "This Company's information is not available to download. Need this Company? Request availability")</f>
      </c>
      <c r="D1055" s="12" t="inlineStr">
        <is>
          <t/>
        </is>
      </c>
      <c r="E1055" s="13" t="inlineStr">
        <is>
          <t/>
        </is>
      </c>
      <c r="F1055" s="14" t="inlineStr">
        <is>
          <t/>
        </is>
      </c>
      <c r="G1055" s="15" t="inlineStr">
        <is>
          <t/>
        </is>
      </c>
      <c r="H1055" s="16" t="inlineStr">
        <is>
          <t/>
        </is>
      </c>
      <c r="I1055" s="17" t="inlineStr">
        <is>
          <t/>
        </is>
      </c>
      <c r="J1055" s="18" t="inlineStr">
        <is>
          <t/>
        </is>
      </c>
      <c r="K1055" s="19" t="inlineStr">
        <is>
          <t/>
        </is>
      </c>
      <c r="L1055" s="20" t="inlineStr">
        <is>
          <t/>
        </is>
      </c>
      <c r="M1055" s="21" t="inlineStr">
        <is>
          <t/>
        </is>
      </c>
      <c r="N1055" s="22" t="inlineStr">
        <is>
          <t/>
        </is>
      </c>
      <c r="O1055" s="23" t="inlineStr">
        <is>
          <t/>
        </is>
      </c>
      <c r="P1055" s="24" t="inlineStr">
        <is>
          <t/>
        </is>
      </c>
      <c r="Q1055" s="25" t="inlineStr">
        <is>
          <t/>
        </is>
      </c>
      <c r="R1055" s="26" t="inlineStr">
        <is>
          <t/>
        </is>
      </c>
    </row>
    <row r="1056">
      <c r="A1056" s="27" t="inlineStr">
        <is>
          <t>163575-82</t>
        </is>
      </c>
      <c r="B1056" s="28" t="inlineStr">
        <is>
          <t>StreamLoan</t>
        </is>
      </c>
      <c r="C1056" s="29" t="n">
        <v>0.20479918165669758</v>
      </c>
      <c r="D1056" s="30" t="n">
        <v>0.9994981453713951</v>
      </c>
      <c r="E1056" s="31" t="inlineStr">
        <is>
          <t/>
        </is>
      </c>
      <c r="F1056" s="32" t="n">
        <v>65.0</v>
      </c>
      <c r="G1056" s="33" t="n">
        <v>58.0</v>
      </c>
      <c r="H1056" s="34" t="n">
        <v>145.0</v>
      </c>
      <c r="I1056" s="35" t="inlineStr">
        <is>
          <t/>
        </is>
      </c>
      <c r="J1056" s="36" t="n">
        <v>0.13</v>
      </c>
      <c r="K1056" s="37" t="inlineStr">
        <is>
          <t>Social/Platform Software</t>
        </is>
      </c>
      <c r="L1056" s="38" t="inlineStr">
        <is>
          <t>Provider of an online workflow for residential home purchases. The company's platform enables property buyers to collaborate with banks and financial institutions to secure home and property loans.</t>
        </is>
      </c>
      <c r="M1056" s="39" t="inlineStr">
        <is>
          <t>500 Startups, Gelt Venture Capital</t>
        </is>
      </c>
      <c r="N1056" s="40" t="inlineStr">
        <is>
          <t>Accelerator/Incubator Backed</t>
        </is>
      </c>
      <c r="O1056" s="41" t="inlineStr">
        <is>
          <t>Privately Held (backing)</t>
        </is>
      </c>
      <c r="P1056" s="42" t="inlineStr">
        <is>
          <t>San Francisco, CA</t>
        </is>
      </c>
      <c r="Q1056" s="43" t="inlineStr">
        <is>
          <t>www.streamloan.io</t>
        </is>
      </c>
      <c r="R1056" s="114">
        <f>HYPERLINK("https://my.pitchbook.com?c=163575-82", "View company online")</f>
      </c>
    </row>
    <row r="1057">
      <c r="A1057" s="9" t="inlineStr">
        <is>
          <t>92538-64</t>
        </is>
      </c>
      <c r="B1057" s="10" t="inlineStr">
        <is>
          <t>Streamline Alliance</t>
        </is>
      </c>
      <c r="C1057" s="11" t="n">
        <v>-2.32608446005133</v>
      </c>
      <c r="D1057" s="12" t="n">
        <v>3.891891891891892</v>
      </c>
      <c r="E1057" s="13" t="inlineStr">
        <is>
          <t/>
        </is>
      </c>
      <c r="F1057" s="14" t="n">
        <v>144.0</v>
      </c>
      <c r="G1057" s="15" t="inlineStr">
        <is>
          <t/>
        </is>
      </c>
      <c r="H1057" s="16" t="inlineStr">
        <is>
          <t/>
        </is>
      </c>
      <c r="I1057" s="17" t="n">
        <v>4.0</v>
      </c>
      <c r="J1057" s="18" t="n">
        <v>1.0</v>
      </c>
      <c r="K1057" s="19" t="inlineStr">
        <is>
          <t>Other Commercial Services</t>
        </is>
      </c>
      <c r="L1057" s="20" t="inlineStr">
        <is>
          <t>Provider of supply chain management services. The company provides supply chain management, high value design, engineering and manufacturing services through the conception to mass production.</t>
        </is>
      </c>
      <c r="M1057" s="21" t="inlineStr">
        <is>
          <t/>
        </is>
      </c>
      <c r="N1057" s="22" t="inlineStr">
        <is>
          <t>Angel-Backed</t>
        </is>
      </c>
      <c r="O1057" s="23" t="inlineStr">
        <is>
          <t>Privately Held (backing)</t>
        </is>
      </c>
      <c r="P1057" s="24" t="inlineStr">
        <is>
          <t>San Francisco, CA</t>
        </is>
      </c>
      <c r="Q1057" s="25" t="inlineStr">
        <is>
          <t>streamline-alliance.com</t>
        </is>
      </c>
      <c r="R1057" s="113">
        <f>HYPERLINK("https://my.pitchbook.com?c=92538-64", "View company online")</f>
      </c>
    </row>
    <row r="1058">
      <c r="A1058" s="27" t="inlineStr">
        <is>
          <t>180625-33</t>
        </is>
      </c>
      <c r="B1058" s="28" t="inlineStr">
        <is>
          <t>Streakwave</t>
        </is>
      </c>
      <c r="C1058" s="29" t="inlineStr">
        <is>
          <t/>
        </is>
      </c>
      <c r="D1058" s="30" t="inlineStr">
        <is>
          <t/>
        </is>
      </c>
      <c r="E1058" s="31" t="inlineStr">
        <is>
          <t/>
        </is>
      </c>
      <c r="F1058" s="32" t="inlineStr">
        <is>
          <t/>
        </is>
      </c>
      <c r="G1058" s="33" t="inlineStr">
        <is>
          <t/>
        </is>
      </c>
      <c r="H1058" s="34" t="inlineStr">
        <is>
          <t/>
        </is>
      </c>
      <c r="I1058" s="35" t="inlineStr">
        <is>
          <t/>
        </is>
      </c>
      <c r="J1058" s="36" t="n">
        <v>0.1</v>
      </c>
      <c r="K1058" s="37" t="inlineStr">
        <is>
          <t>Other Commercial Services</t>
        </is>
      </c>
      <c r="L1058" s="38" t="inlineStr">
        <is>
          <t>Provider of wireless broadband networking equipment intended to help companies in their networking sector. The company offers point-to-point backhauls, point-to-multipoint systems, two-way radio equipment along with related antennas and accessories, IP video equipment, green power management systems, equipment for all other types of wireless and wired network applications and premier pricing programs, partner programs, and technical support, enabling clients to achieve success in their own businesses.</t>
        </is>
      </c>
      <c r="M1058" s="39" t="inlineStr">
        <is>
          <t/>
        </is>
      </c>
      <c r="N1058" s="40" t="inlineStr">
        <is>
          <t>Angel-Backed</t>
        </is>
      </c>
      <c r="O1058" s="41" t="inlineStr">
        <is>
          <t>Privately Held (backing)</t>
        </is>
      </c>
      <c r="P1058" s="42" t="inlineStr">
        <is>
          <t>San Jose, CA</t>
        </is>
      </c>
      <c r="Q1058" s="43" t="inlineStr">
        <is>
          <t>www.streakwave.com</t>
        </is>
      </c>
      <c r="R1058" s="114">
        <f>HYPERLINK("https://my.pitchbook.com?c=180625-33", "View company online")</f>
      </c>
    </row>
    <row r="1059">
      <c r="A1059" s="9" t="inlineStr">
        <is>
          <t>88698-61</t>
        </is>
      </c>
      <c r="B1059" s="10" t="inlineStr">
        <is>
          <t>Stratosec</t>
        </is>
      </c>
      <c r="C1059" s="11" t="n">
        <v>0.0</v>
      </c>
      <c r="D1059" s="12" t="n">
        <v>0.12650786379599938</v>
      </c>
      <c r="E1059" s="13" t="inlineStr">
        <is>
          <t/>
        </is>
      </c>
      <c r="F1059" s="14" t="n">
        <v>1.0</v>
      </c>
      <c r="G1059" s="15" t="inlineStr">
        <is>
          <t/>
        </is>
      </c>
      <c r="H1059" s="16" t="n">
        <v>79.0</v>
      </c>
      <c r="I1059" s="17" t="n">
        <v>4.0</v>
      </c>
      <c r="J1059" s="18" t="inlineStr">
        <is>
          <t/>
        </is>
      </c>
      <c r="K1059" s="19" t="inlineStr">
        <is>
          <t>Internet Software</t>
        </is>
      </c>
      <c r="L1059" s="20" t="inlineStr">
        <is>
          <t>Provider of a cloud security service. The company provides a secure cloud infrastructure service for risk-sensitive companies and their vendors which allows them to focus on their core business.</t>
        </is>
      </c>
      <c r="M1059" s="21" t="inlineStr">
        <is>
          <t>Janet Peterson</t>
        </is>
      </c>
      <c r="N1059" s="22" t="inlineStr">
        <is>
          <t>Angel-Backed</t>
        </is>
      </c>
      <c r="O1059" s="23" t="inlineStr">
        <is>
          <t>Privately Held (backing)</t>
        </is>
      </c>
      <c r="P1059" s="24" t="inlineStr">
        <is>
          <t>San Francisco, CA</t>
        </is>
      </c>
      <c r="Q1059" s="25" t="inlineStr">
        <is>
          <t>www.stratosec.co</t>
        </is>
      </c>
      <c r="R1059" s="113">
        <f>HYPERLINK("https://my.pitchbook.com?c=88698-61", "View company online")</f>
      </c>
    </row>
    <row r="1060">
      <c r="A1060" s="27" t="inlineStr">
        <is>
          <t>112510-81</t>
        </is>
      </c>
      <c r="B1060" s="28" t="inlineStr">
        <is>
          <t>Strategic Districts</t>
        </is>
      </c>
      <c r="C1060" s="29" t="n">
        <v>0.0</v>
      </c>
      <c r="D1060" s="30" t="n">
        <v>0.02702702702702703</v>
      </c>
      <c r="E1060" s="31" t="inlineStr">
        <is>
          <t/>
        </is>
      </c>
      <c r="F1060" s="32" t="n">
        <v>1.0</v>
      </c>
      <c r="G1060" s="33" t="inlineStr">
        <is>
          <t/>
        </is>
      </c>
      <c r="H1060" s="34" t="inlineStr">
        <is>
          <t/>
        </is>
      </c>
      <c r="I1060" s="35" t="inlineStr">
        <is>
          <t/>
        </is>
      </c>
      <c r="J1060" s="36" t="inlineStr">
        <is>
          <t/>
        </is>
      </c>
      <c r="K1060" s="37" t="inlineStr">
        <is>
          <t>Other Software</t>
        </is>
      </c>
      <c r="L1060" s="38" t="inlineStr">
        <is>
          <t>Provider of a redistricting software. The company offers a cloud-based automatic redistricting software.</t>
        </is>
      </c>
      <c r="M1060" s="39" t="inlineStr">
        <is>
          <t>New Media Ventures</t>
        </is>
      </c>
      <c r="N1060" s="40" t="inlineStr">
        <is>
          <t>Angel-Backed</t>
        </is>
      </c>
      <c r="O1060" s="41" t="inlineStr">
        <is>
          <t>Privately Held (backing)</t>
        </is>
      </c>
      <c r="P1060" s="42" t="inlineStr">
        <is>
          <t>San Francisco, CA</t>
        </is>
      </c>
      <c r="Q1060" s="43" t="inlineStr">
        <is>
          <t>www.strategicdistricts.com</t>
        </is>
      </c>
      <c r="R1060" s="114">
        <f>HYPERLINK("https://my.pitchbook.com?c=112510-81", "View company online")</f>
      </c>
    </row>
    <row r="1061">
      <c r="A1061" s="9" t="inlineStr">
        <is>
          <t>168830-29</t>
        </is>
      </c>
      <c r="B1061" s="10" t="inlineStr">
        <is>
          <t>Stowk</t>
        </is>
      </c>
      <c r="C1061" s="11" t="n">
        <v>0.013352793497217928</v>
      </c>
      <c r="D1061" s="12" t="n">
        <v>0.12587797293029424</v>
      </c>
      <c r="E1061" s="13" t="inlineStr">
        <is>
          <t/>
        </is>
      </c>
      <c r="F1061" s="14" t="n">
        <v>1.0</v>
      </c>
      <c r="G1061" s="15" t="n">
        <v>48.0</v>
      </c>
      <c r="H1061" s="16" t="n">
        <v>136.0</v>
      </c>
      <c r="I1061" s="17" t="inlineStr">
        <is>
          <t/>
        </is>
      </c>
      <c r="J1061" s="18" t="inlineStr">
        <is>
          <t/>
        </is>
      </c>
      <c r="K1061" s="19" t="inlineStr">
        <is>
          <t>Social/Platform Software</t>
        </is>
      </c>
      <c r="L1061" s="20" t="inlineStr">
        <is>
          <t>Developer of an on-demand vehicle logistics platform. The company's cloud-based platform is integrated with machine learning technology that enables businesses to connect with fleet owners and independent carriers directly for transporting vehicles and also allows them to customize the routes.</t>
        </is>
      </c>
      <c r="M1061" s="21" t="inlineStr">
        <is>
          <t>Skydeck | Berkeley</t>
        </is>
      </c>
      <c r="N1061" s="22" t="inlineStr">
        <is>
          <t>Accelerator/Incubator Backed</t>
        </is>
      </c>
      <c r="O1061" s="23" t="inlineStr">
        <is>
          <t>Privately Held (backing)</t>
        </is>
      </c>
      <c r="P1061" s="24" t="inlineStr">
        <is>
          <t>San Francisco, CA</t>
        </is>
      </c>
      <c r="Q1061" s="25" t="inlineStr">
        <is>
          <t>www.stowk.com</t>
        </is>
      </c>
      <c r="R1061" s="113">
        <f>HYPERLINK("https://my.pitchbook.com?c=168830-29", "View company online")</f>
      </c>
    </row>
    <row r="1062">
      <c r="A1062" s="27" t="inlineStr">
        <is>
          <t>112548-52</t>
        </is>
      </c>
      <c r="B1062" s="28" t="inlineStr">
        <is>
          <t>StorReduce</t>
        </is>
      </c>
      <c r="C1062" s="29" t="n">
        <v>0.08617856130268357</v>
      </c>
      <c r="D1062" s="30" t="n">
        <v>0.5048098946404032</v>
      </c>
      <c r="E1062" s="31" t="inlineStr">
        <is>
          <t/>
        </is>
      </c>
      <c r="F1062" s="32" t="n">
        <v>6.0</v>
      </c>
      <c r="G1062" s="33" t="inlineStr">
        <is>
          <t/>
        </is>
      </c>
      <c r="H1062" s="34" t="n">
        <v>298.0</v>
      </c>
      <c r="I1062" s="35" t="n">
        <v>4.0</v>
      </c>
      <c r="J1062" s="36" t="n">
        <v>0.39</v>
      </c>
      <c r="K1062" s="37" t="inlineStr">
        <is>
          <t>Database Software</t>
        </is>
      </c>
      <c r="L1062" s="38" t="inlineStr">
        <is>
          <t>Developer of a cloud storage technology. The comp0any offers on-cloud deduplication software for companies storing large amounts of block data like backups, archives, big data and general file data on AWS S3 or AWS Glacier and helps in reducing cloud storage volume of data and cost.</t>
        </is>
      </c>
      <c r="M1062" s="39" t="inlineStr">
        <is>
          <t>Andrey Shirben, Ben Kepes, Innovation Bay</t>
        </is>
      </c>
      <c r="N1062" s="40" t="inlineStr">
        <is>
          <t>Angel-Backed</t>
        </is>
      </c>
      <c r="O1062" s="41" t="inlineStr">
        <is>
          <t>Privately Held (backing)</t>
        </is>
      </c>
      <c r="P1062" s="42" t="inlineStr">
        <is>
          <t>Sunnyvale, CA</t>
        </is>
      </c>
      <c r="Q1062" s="43" t="inlineStr">
        <is>
          <t>www.storreduce.com</t>
        </is>
      </c>
      <c r="R1062" s="114">
        <f>HYPERLINK("https://my.pitchbook.com?c=112548-52", "View company online")</f>
      </c>
    </row>
    <row r="1063">
      <c r="A1063" s="9" t="inlineStr">
        <is>
          <t>97266-79</t>
        </is>
      </c>
      <c r="B1063" s="10" t="inlineStr">
        <is>
          <t>Storq</t>
        </is>
      </c>
      <c r="C1063" s="11" t="n">
        <v>0.04583452820199044</v>
      </c>
      <c r="D1063" s="12" t="n">
        <v>1.531245678776998</v>
      </c>
      <c r="E1063" s="13" t="inlineStr">
        <is>
          <t/>
        </is>
      </c>
      <c r="F1063" s="14" t="n">
        <v>17.0</v>
      </c>
      <c r="G1063" s="15" t="n">
        <v>2309.0</v>
      </c>
      <c r="H1063" s="16" t="n">
        <v>828.0</v>
      </c>
      <c r="I1063" s="17" t="n">
        <v>1.0</v>
      </c>
      <c r="J1063" s="18" t="inlineStr">
        <is>
          <t/>
        </is>
      </c>
      <c r="K1063" s="19" t="inlineStr">
        <is>
          <t>Internet Retail</t>
        </is>
      </c>
      <c r="L1063" s="20" t="inlineStr">
        <is>
          <t>Provider of an online retail platform. The company operates an online store providing dresses, accessories and cosmetics for pregnant women.</t>
        </is>
      </c>
      <c r="M1063" s="21" t="inlineStr">
        <is>
          <t>Dennis Crowley</t>
        </is>
      </c>
      <c r="N1063" s="22" t="inlineStr">
        <is>
          <t>Angel-Backed</t>
        </is>
      </c>
      <c r="O1063" s="23" t="inlineStr">
        <is>
          <t>Privately Held (backing)</t>
        </is>
      </c>
      <c r="P1063" s="24" t="inlineStr">
        <is>
          <t>San Francisco, CA</t>
        </is>
      </c>
      <c r="Q1063" s="25" t="inlineStr">
        <is>
          <t>www.storq.com</t>
        </is>
      </c>
      <c r="R1063" s="113">
        <f>HYPERLINK("https://my.pitchbook.com?c=97266-79", "View company online")</f>
      </c>
    </row>
    <row r="1064">
      <c r="A1064" s="27" t="inlineStr">
        <is>
          <t>96767-74</t>
        </is>
      </c>
      <c r="B1064" s="28" t="inlineStr">
        <is>
          <t>Storitz</t>
        </is>
      </c>
      <c r="C1064" s="29" t="n">
        <v>-0.09787825764203044</v>
      </c>
      <c r="D1064" s="30" t="n">
        <v>3.5873415788670027</v>
      </c>
      <c r="E1064" s="31" t="inlineStr">
        <is>
          <t/>
        </is>
      </c>
      <c r="F1064" s="32" t="n">
        <v>79.0</v>
      </c>
      <c r="G1064" s="33" t="inlineStr">
        <is>
          <t/>
        </is>
      </c>
      <c r="H1064" s="34" t="n">
        <v>1786.0</v>
      </c>
      <c r="I1064" s="35" t="n">
        <v>6.0</v>
      </c>
      <c r="J1064" s="36" t="n">
        <v>1.55</v>
      </c>
      <c r="K1064" s="37" t="inlineStr">
        <is>
          <t>Social/Platform Software</t>
        </is>
      </c>
      <c r="L1064" s="38" t="inlineStr">
        <is>
          <t>Provider of a self-storage rental marketplace. The company offers a web-based rental marketplace that enables the consumers to to find and rent self-storage units online.</t>
        </is>
      </c>
      <c r="M1064" s="39" t="inlineStr">
        <is>
          <t>Todd Pollack</t>
        </is>
      </c>
      <c r="N1064" s="40" t="inlineStr">
        <is>
          <t>Angel-Backed</t>
        </is>
      </c>
      <c r="O1064" s="41" t="inlineStr">
        <is>
          <t>Privately Held (backing)</t>
        </is>
      </c>
      <c r="P1064" s="42" t="inlineStr">
        <is>
          <t>Los Angeles, CA</t>
        </is>
      </c>
      <c r="Q1064" s="43" t="inlineStr">
        <is>
          <t>www.storitz.com</t>
        </is>
      </c>
      <c r="R1064" s="114">
        <f>HYPERLINK("https://my.pitchbook.com?c=96767-74", "View company online")</f>
      </c>
    </row>
    <row r="1065">
      <c r="A1065" s="9" t="inlineStr">
        <is>
          <t>166264-75</t>
        </is>
      </c>
      <c r="B1065" s="10" t="inlineStr">
        <is>
          <t>Stoodnt</t>
        </is>
      </c>
      <c r="C1065" s="11" t="n">
        <v>2.1557874696601638</v>
      </c>
      <c r="D1065" s="12" t="n">
        <v>2.5435944418995264</v>
      </c>
      <c r="E1065" s="13" t="inlineStr">
        <is>
          <t/>
        </is>
      </c>
      <c r="F1065" s="14" t="n">
        <v>181.0</v>
      </c>
      <c r="G1065" s="15" t="inlineStr">
        <is>
          <t/>
        </is>
      </c>
      <c r="H1065" s="16" t="n">
        <v>49.0</v>
      </c>
      <c r="I1065" s="17" t="inlineStr">
        <is>
          <t/>
        </is>
      </c>
      <c r="J1065" s="18" t="n">
        <v>0.3</v>
      </c>
      <c r="K1065" s="19" t="inlineStr">
        <is>
          <t>Social/Platform Software</t>
        </is>
      </c>
      <c r="L1065" s="20" t="inlineStr">
        <is>
          <t>Provider of a college admission counseling platform. The company's platform connects parents and students to US colleges and counselors and enables them to receive guidance, counseling and insights.</t>
        </is>
      </c>
      <c r="M1065" s="21" t="inlineStr">
        <is>
          <t>Rajan Anandan</t>
        </is>
      </c>
      <c r="N1065" s="22" t="inlineStr">
        <is>
          <t>Angel-Backed</t>
        </is>
      </c>
      <c r="O1065" s="23" t="inlineStr">
        <is>
          <t>Privately Held (backing)</t>
        </is>
      </c>
      <c r="P1065" s="24" t="inlineStr">
        <is>
          <t>Palo Alto, CA</t>
        </is>
      </c>
      <c r="Q1065" s="25" t="inlineStr">
        <is>
          <t>www.stoodnt.com</t>
        </is>
      </c>
      <c r="R1065" s="113">
        <f>HYPERLINK("https://my.pitchbook.com?c=166264-75", "View company online")</f>
      </c>
    </row>
    <row r="1066">
      <c r="A1066" s="27" t="inlineStr">
        <is>
          <t>104722-39</t>
        </is>
      </c>
      <c r="B1066" s="28" t="inlineStr">
        <is>
          <t>StockShield</t>
        </is>
      </c>
      <c r="C1066" s="29" t="n">
        <v>0.0</v>
      </c>
      <c r="D1066" s="30" t="n">
        <v>0.16216216216216217</v>
      </c>
      <c r="E1066" s="31" t="inlineStr">
        <is>
          <t/>
        </is>
      </c>
      <c r="F1066" s="32" t="n">
        <v>6.0</v>
      </c>
      <c r="G1066" s="33" t="inlineStr">
        <is>
          <t/>
        </is>
      </c>
      <c r="H1066" s="34" t="inlineStr">
        <is>
          <t/>
        </is>
      </c>
      <c r="I1066" s="35" t="inlineStr">
        <is>
          <t/>
        </is>
      </c>
      <c r="J1066" s="36" t="n">
        <v>1.97</v>
      </c>
      <c r="K1066" s="37" t="inlineStr">
        <is>
          <t>Other Financial Services</t>
        </is>
      </c>
      <c r="L1066" s="38" t="inlineStr">
        <is>
          <t>Provider of employer stock protection services. The company provides services to ESOP companies protect the value of employer stock in their ESOPs for the benefit of all ESOP Participants.</t>
        </is>
      </c>
      <c r="M1066" s="39" t="inlineStr">
        <is>
          <t/>
        </is>
      </c>
      <c r="N1066" s="40" t="inlineStr">
        <is>
          <t>Angel-Backed</t>
        </is>
      </c>
      <c r="O1066" s="41" t="inlineStr">
        <is>
          <t>Privately Held (backing)</t>
        </is>
      </c>
      <c r="P1066" s="42" t="inlineStr">
        <is>
          <t>Los Angeles, CA</t>
        </is>
      </c>
      <c r="Q1066" s="43" t="inlineStr">
        <is>
          <t>www.stockshield.com</t>
        </is>
      </c>
      <c r="R1066" s="114">
        <f>HYPERLINK("https://my.pitchbook.com?c=104722-39", "View company online")</f>
      </c>
    </row>
    <row r="1067">
      <c r="A1067" s="9" t="inlineStr">
        <is>
          <t>173885-32</t>
        </is>
      </c>
      <c r="B1067" s="10" t="inlineStr">
        <is>
          <t>Stitzii</t>
        </is>
      </c>
      <c r="C1067" s="85">
        <f>HYPERLINK("https://my.pitchbook.com?rrp=173885-32&amp;type=c", "This Company's information is not available to download. Need this Company? Request availability")</f>
      </c>
      <c r="D1067" s="12" t="inlineStr">
        <is>
          <t/>
        </is>
      </c>
      <c r="E1067" s="13" t="inlineStr">
        <is>
          <t/>
        </is>
      </c>
      <c r="F1067" s="14" t="inlineStr">
        <is>
          <t/>
        </is>
      </c>
      <c r="G1067" s="15" t="inlineStr">
        <is>
          <t/>
        </is>
      </c>
      <c r="H1067" s="16" t="inlineStr">
        <is>
          <t/>
        </is>
      </c>
      <c r="I1067" s="17" t="inlineStr">
        <is>
          <t/>
        </is>
      </c>
      <c r="J1067" s="18" t="inlineStr">
        <is>
          <t/>
        </is>
      </c>
      <c r="K1067" s="19" t="inlineStr">
        <is>
          <t/>
        </is>
      </c>
      <c r="L1067" s="20" t="inlineStr">
        <is>
          <t/>
        </is>
      </c>
      <c r="M1067" s="21" t="inlineStr">
        <is>
          <t/>
        </is>
      </c>
      <c r="N1067" s="22" t="inlineStr">
        <is>
          <t/>
        </is>
      </c>
      <c r="O1067" s="23" t="inlineStr">
        <is>
          <t/>
        </is>
      </c>
      <c r="P1067" s="24" t="inlineStr">
        <is>
          <t/>
        </is>
      </c>
      <c r="Q1067" s="25" t="inlineStr">
        <is>
          <t/>
        </is>
      </c>
      <c r="R1067" s="26" t="inlineStr">
        <is>
          <t/>
        </is>
      </c>
    </row>
    <row r="1068">
      <c r="A1068" s="27" t="inlineStr">
        <is>
          <t>124477-93</t>
        </is>
      </c>
      <c r="B1068" s="28" t="inlineStr">
        <is>
          <t>Stitch (Software Application)</t>
        </is>
      </c>
      <c r="C1068" s="29" t="n">
        <v>0.0</v>
      </c>
      <c r="D1068" s="30" t="n">
        <v>0.44315926095587116</v>
      </c>
      <c r="E1068" s="31" t="inlineStr">
        <is>
          <t/>
        </is>
      </c>
      <c r="F1068" s="32" t="n">
        <v>26.0</v>
      </c>
      <c r="G1068" s="33" t="inlineStr">
        <is>
          <t/>
        </is>
      </c>
      <c r="H1068" s="34" t="n">
        <v>65.0</v>
      </c>
      <c r="I1068" s="35" t="inlineStr">
        <is>
          <t/>
        </is>
      </c>
      <c r="J1068" s="36" t="n">
        <v>0.12</v>
      </c>
      <c r="K1068" s="37" t="inlineStr">
        <is>
          <t>Medical Records Systems</t>
        </is>
      </c>
      <c r="L1068" s="38" t="inlineStr">
        <is>
          <t>Developer of a messaging application for the healthcare sector. The company offers a mobile platform that acts like a central messaging hub through which healthcare providers can communicate, share electronic health records, patient information and databases.</t>
        </is>
      </c>
      <c r="M1068" s="39" t="inlineStr">
        <is>
          <t>Y Combinator</t>
        </is>
      </c>
      <c r="N1068" s="40" t="inlineStr">
        <is>
          <t>Accelerator/Incubator Backed</t>
        </is>
      </c>
      <c r="O1068" s="41" t="inlineStr">
        <is>
          <t>Privately Held (backing)</t>
        </is>
      </c>
      <c r="P1068" s="42" t="inlineStr">
        <is>
          <t>San Francisco, CA</t>
        </is>
      </c>
      <c r="Q1068" s="43" t="inlineStr">
        <is>
          <t>www.teamstitch.com</t>
        </is>
      </c>
      <c r="R1068" s="114">
        <f>HYPERLINK("https://my.pitchbook.com?c=124477-93", "View company online")</f>
      </c>
    </row>
    <row r="1069">
      <c r="A1069" s="9" t="inlineStr">
        <is>
          <t>114481-99</t>
        </is>
      </c>
      <c r="B1069" s="10" t="inlineStr">
        <is>
          <t>Stir Market Beverly</t>
        </is>
      </c>
      <c r="C1069" s="11" t="n">
        <v>0.06609818080585647</v>
      </c>
      <c r="D1069" s="12" t="n">
        <v>2.6917948925870814</v>
      </c>
      <c r="E1069" s="13" t="inlineStr">
        <is>
          <t/>
        </is>
      </c>
      <c r="F1069" s="14" t="n">
        <v>137.0</v>
      </c>
      <c r="G1069" s="15" t="n">
        <v>1719.0</v>
      </c>
      <c r="H1069" s="16" t="n">
        <v>414.0</v>
      </c>
      <c r="I1069" s="17" t="inlineStr">
        <is>
          <t/>
        </is>
      </c>
      <c r="J1069" s="18" t="n">
        <v>1.28</v>
      </c>
      <c r="K1069" s="19" t="inlineStr">
        <is>
          <t>Food Products</t>
        </is>
      </c>
      <c r="L1069" s="20" t="inlineStr">
        <is>
          <t>Operator of restaurant chain. The company offers European food, bakery products, bar counters, market salad and cafeteria.</t>
        </is>
      </c>
      <c r="M1069" s="21" t="inlineStr">
        <is>
          <t/>
        </is>
      </c>
      <c r="N1069" s="22" t="inlineStr">
        <is>
          <t>Angel-Backed</t>
        </is>
      </c>
      <c r="O1069" s="23" t="inlineStr">
        <is>
          <t>Privately Held (backing)</t>
        </is>
      </c>
      <c r="P1069" s="24" t="inlineStr">
        <is>
          <t>Los Angeles, CA</t>
        </is>
      </c>
      <c r="Q1069" s="25" t="inlineStr">
        <is>
          <t>www.stirmarket.com</t>
        </is>
      </c>
      <c r="R1069" s="113">
        <f>HYPERLINK("https://my.pitchbook.com?c=114481-99", "View company online")</f>
      </c>
    </row>
    <row r="1070">
      <c r="A1070" s="27" t="inlineStr">
        <is>
          <t>155873-44</t>
        </is>
      </c>
      <c r="B1070" s="28" t="inlineStr">
        <is>
          <t>Stilt</t>
        </is>
      </c>
      <c r="C1070" s="29" t="n">
        <v>0.0</v>
      </c>
      <c r="D1070" s="30" t="n">
        <v>0.5427927927927928</v>
      </c>
      <c r="E1070" s="31" t="inlineStr">
        <is>
          <t/>
        </is>
      </c>
      <c r="F1070" s="32" t="n">
        <v>34.0</v>
      </c>
      <c r="G1070" s="33" t="inlineStr">
        <is>
          <t/>
        </is>
      </c>
      <c r="H1070" s="34" t="n">
        <v>58.0</v>
      </c>
      <c r="I1070" s="35" t="inlineStr">
        <is>
          <t/>
        </is>
      </c>
      <c r="J1070" s="36" t="n">
        <v>2.41</v>
      </c>
      <c r="K1070" s="37" t="inlineStr">
        <is>
          <t>Consumer Finance</t>
        </is>
      </c>
      <c r="L1070" s="38" t="inlineStr">
        <is>
          <t>Provider of a peer-to-peer lending platform designed to offer short term personal loans. The company's lending platform offers short term loans to expatriates and non-citizens with limited credit history at lower interest rates enabling them to access capital and receive credit.</t>
        </is>
      </c>
      <c r="M1070" s="39" t="inlineStr">
        <is>
          <t>Investo, Y Combinator</t>
        </is>
      </c>
      <c r="N1070" s="40" t="inlineStr">
        <is>
          <t>Accelerator/Incubator Backed</t>
        </is>
      </c>
      <c r="O1070" s="41" t="inlineStr">
        <is>
          <t>Privately Held (backing)</t>
        </is>
      </c>
      <c r="P1070" s="42" t="inlineStr">
        <is>
          <t>San Francisco, CA</t>
        </is>
      </c>
      <c r="Q1070" s="43" t="inlineStr">
        <is>
          <t>www.stilt.co</t>
        </is>
      </c>
      <c r="R1070" s="114">
        <f>HYPERLINK("https://my.pitchbook.com?c=155873-44", "View company online")</f>
      </c>
    </row>
    <row r="1071">
      <c r="A1071" s="9" t="inlineStr">
        <is>
          <t>95358-43</t>
        </is>
      </c>
      <c r="B1071" s="10" t="inlineStr">
        <is>
          <t>Stillwater Supercomputing</t>
        </is>
      </c>
      <c r="C1071" s="11" t="n">
        <v>0.0</v>
      </c>
      <c r="D1071" s="12" t="n">
        <v>0.8918918918918919</v>
      </c>
      <c r="E1071" s="13" t="inlineStr">
        <is>
          <t/>
        </is>
      </c>
      <c r="F1071" s="14" t="n">
        <v>32.0</v>
      </c>
      <c r="G1071" s="15" t="inlineStr">
        <is>
          <t/>
        </is>
      </c>
      <c r="H1071" s="16" t="inlineStr">
        <is>
          <t/>
        </is>
      </c>
      <c r="I1071" s="17" t="n">
        <v>11.0</v>
      </c>
      <c r="J1071" s="18" t="n">
        <v>0.25</v>
      </c>
      <c r="K1071" s="19" t="inlineStr">
        <is>
          <t>Other Commercial Products</t>
        </is>
      </c>
      <c r="L1071" s="20" t="inlineStr">
        <is>
          <t>Designer and manufacturer of a hardware-accelerated device. The company designs and manufactures a hardware-accelerated server that connects to an NGS instrument to create a high productivity workflow.</t>
        </is>
      </c>
      <c r="M1071" s="21" t="inlineStr">
        <is>
          <t/>
        </is>
      </c>
      <c r="N1071" s="22" t="inlineStr">
        <is>
          <t>Angel-Backed</t>
        </is>
      </c>
      <c r="O1071" s="23" t="inlineStr">
        <is>
          <t>Privately Held (backing)</t>
        </is>
      </c>
      <c r="P1071" s="24" t="inlineStr">
        <is>
          <t>El Dorado Hills, CA</t>
        </is>
      </c>
      <c r="Q1071" s="25" t="inlineStr">
        <is>
          <t>www.stillwater-sc.com</t>
        </is>
      </c>
      <c r="R1071" s="113">
        <f>HYPERLINK("https://my.pitchbook.com?c=95358-43", "View company online")</f>
      </c>
    </row>
    <row r="1072">
      <c r="A1072" s="27" t="inlineStr">
        <is>
          <t>118176-31</t>
        </is>
      </c>
      <c r="B1072" s="28" t="inlineStr">
        <is>
          <t>Stigma</t>
        </is>
      </c>
      <c r="C1072" s="29" t="n">
        <v>0.9211315425902558</v>
      </c>
      <c r="D1072" s="30" t="n">
        <v>1.0009161704076959</v>
      </c>
      <c r="E1072" s="31" t="inlineStr">
        <is>
          <t/>
        </is>
      </c>
      <c r="F1072" s="32" t="n">
        <v>53.0</v>
      </c>
      <c r="G1072" s="33" t="inlineStr">
        <is>
          <t/>
        </is>
      </c>
      <c r="H1072" s="34" t="n">
        <v>191.0</v>
      </c>
      <c r="I1072" s="35" t="inlineStr">
        <is>
          <t/>
        </is>
      </c>
      <c r="J1072" s="36" t="n">
        <v>0.02</v>
      </c>
      <c r="K1072" s="37" t="inlineStr">
        <is>
          <t>Other Media</t>
        </is>
      </c>
      <c r="L1072" s="38" t="inlineStr">
        <is>
          <t>Developer and provider of a journalism platform. The company offers a micro-journal tool that enables users to catalog and reflect on the activities that affect their moods.</t>
        </is>
      </c>
      <c r="M1072" s="39" t="inlineStr">
        <is>
          <t>Tumml</t>
        </is>
      </c>
      <c r="N1072" s="40" t="inlineStr">
        <is>
          <t>Accelerator/Incubator Backed</t>
        </is>
      </c>
      <c r="O1072" s="41" t="inlineStr">
        <is>
          <t>Privately Held (backing)</t>
        </is>
      </c>
      <c r="P1072" s="42" t="inlineStr">
        <is>
          <t>San Francisco, CA</t>
        </is>
      </c>
      <c r="Q1072" s="43" t="inlineStr">
        <is>
          <t>www.getstigma.com</t>
        </is>
      </c>
      <c r="R1072" s="114">
        <f>HYPERLINK("https://my.pitchbook.com?c=118176-31", "View company online")</f>
      </c>
    </row>
    <row r="1073">
      <c r="A1073" s="9" t="inlineStr">
        <is>
          <t>124877-89</t>
        </is>
      </c>
      <c r="B1073" s="10" t="inlineStr">
        <is>
          <t>Sterile Air</t>
        </is>
      </c>
      <c r="C1073" s="11" t="inlineStr">
        <is>
          <t/>
        </is>
      </c>
      <c r="D1073" s="12" t="inlineStr">
        <is>
          <t/>
        </is>
      </c>
      <c r="E1073" s="13" t="inlineStr">
        <is>
          <t/>
        </is>
      </c>
      <c r="F1073" s="14" t="inlineStr">
        <is>
          <t/>
        </is>
      </c>
      <c r="G1073" s="15" t="inlineStr">
        <is>
          <t/>
        </is>
      </c>
      <c r="H1073" s="16" t="inlineStr">
        <is>
          <t/>
        </is>
      </c>
      <c r="I1073" s="17" t="inlineStr">
        <is>
          <t/>
        </is>
      </c>
      <c r="J1073" s="18" t="n">
        <v>0.03</v>
      </c>
      <c r="K1073" s="19" t="inlineStr">
        <is>
          <t>Operating Systems Software</t>
        </is>
      </c>
      <c r="L1073" s="20" t="inlineStr">
        <is>
          <t>Developer of an operating system software. The company's platform enables computerized and sterilized surgical operations.</t>
        </is>
      </c>
      <c r="M1073" s="21" t="inlineStr">
        <is>
          <t>LEAP.Axlr8r</t>
        </is>
      </c>
      <c r="N1073" s="22" t="inlineStr">
        <is>
          <t>Accelerator/Incubator Backed</t>
        </is>
      </c>
      <c r="O1073" s="23" t="inlineStr">
        <is>
          <t>Privately Held (backing)</t>
        </is>
      </c>
      <c r="P1073" s="24" t="inlineStr">
        <is>
          <t>San Francisco, CA</t>
        </is>
      </c>
      <c r="Q1073" s="25" t="inlineStr">
        <is>
          <t/>
        </is>
      </c>
      <c r="R1073" s="113">
        <f>HYPERLINK("https://my.pitchbook.com?c=124877-89", "View company online")</f>
      </c>
    </row>
    <row r="1074">
      <c r="A1074" s="27" t="inlineStr">
        <is>
          <t>102959-65</t>
        </is>
      </c>
      <c r="B1074" s="28" t="inlineStr">
        <is>
          <t>StereoVision Imaging</t>
        </is>
      </c>
      <c r="C1074" s="29" t="n">
        <v>0.0</v>
      </c>
      <c r="D1074" s="30" t="n">
        <v>1.4324324324324325</v>
      </c>
      <c r="E1074" s="31" t="inlineStr">
        <is>
          <t/>
        </is>
      </c>
      <c r="F1074" s="32" t="n">
        <v>53.0</v>
      </c>
      <c r="G1074" s="33" t="inlineStr">
        <is>
          <t/>
        </is>
      </c>
      <c r="H1074" s="34" t="inlineStr">
        <is>
          <t/>
        </is>
      </c>
      <c r="I1074" s="35" t="inlineStr">
        <is>
          <t/>
        </is>
      </c>
      <c r="J1074" s="36" t="n">
        <v>1.69</v>
      </c>
      <c r="K1074" s="37" t="inlineStr">
        <is>
          <t>Other Commercial Products</t>
        </is>
      </c>
      <c r="L1074" s="38" t="inlineStr">
        <is>
          <t>Developer of three dimensional facial recognition technology. The company's technology captures imagery in three dimensional space through binocular optics or commercial fixed camera systems and extracts faces in two dimensional for real time comparison.</t>
        </is>
      </c>
      <c r="M1074" s="39" t="inlineStr">
        <is>
          <t/>
        </is>
      </c>
      <c r="N1074" s="40" t="inlineStr">
        <is>
          <t>Angel-Backed</t>
        </is>
      </c>
      <c r="O1074" s="41" t="inlineStr">
        <is>
          <t>Privately Held (backing)</t>
        </is>
      </c>
      <c r="P1074" s="42" t="inlineStr">
        <is>
          <t>Pasadena, CA</t>
        </is>
      </c>
      <c r="Q1074" s="43" t="inlineStr">
        <is>
          <t>www.stereovisioninc.com</t>
        </is>
      </c>
      <c r="R1074" s="114">
        <f>HYPERLINK("https://my.pitchbook.com?c=102959-65", "View company online")</f>
      </c>
    </row>
    <row r="1075">
      <c r="A1075" s="9" t="inlineStr">
        <is>
          <t>94998-61</t>
        </is>
      </c>
      <c r="B1075" s="10" t="inlineStr">
        <is>
          <t>Stereolabs</t>
        </is>
      </c>
      <c r="C1075" s="11" t="n">
        <v>0.0694618088371905</v>
      </c>
      <c r="D1075" s="12" t="n">
        <v>4.167548931181945</v>
      </c>
      <c r="E1075" s="13" t="inlineStr">
        <is>
          <t/>
        </is>
      </c>
      <c r="F1075" s="14" t="n">
        <v>242.0</v>
      </c>
      <c r="G1075" s="15" t="n">
        <v>214.0</v>
      </c>
      <c r="H1075" s="16" t="n">
        <v>1169.0</v>
      </c>
      <c r="I1075" s="17" t="n">
        <v>9.0</v>
      </c>
      <c r="J1075" s="18" t="inlineStr">
        <is>
          <t/>
        </is>
      </c>
      <c r="K1075" s="19" t="inlineStr">
        <is>
          <t>Broadcasting, Radio and Television</t>
        </is>
      </c>
      <c r="L1075" s="20" t="inlineStr">
        <is>
          <t>Provider of stereo3D analysis software. The company's platform offers control tools to the broadcast and film industry and its flagship product, features live analysis, automatic rig control and advanced image processing of Stereo3D footage.</t>
        </is>
      </c>
      <c r="M1075" s="21" t="inlineStr">
        <is>
          <t>Cap Decisif Management, IncubAlliance</t>
        </is>
      </c>
      <c r="N1075" s="22" t="inlineStr">
        <is>
          <t>Accelerator/Incubator Backed</t>
        </is>
      </c>
      <c r="O1075" s="23" t="inlineStr">
        <is>
          <t>Privately Held (backing)</t>
        </is>
      </c>
      <c r="P1075" s="24" t="inlineStr">
        <is>
          <t>Orsay, France</t>
        </is>
      </c>
      <c r="Q1075" s="25" t="inlineStr">
        <is>
          <t>www.stereolabs.com</t>
        </is>
      </c>
      <c r="R1075" s="113">
        <f>HYPERLINK("https://my.pitchbook.com?c=94998-61", "View company online")</f>
      </c>
    </row>
    <row r="1076">
      <c r="A1076" s="27" t="inlineStr">
        <is>
          <t>90258-31</t>
        </is>
      </c>
      <c r="B1076" s="28" t="inlineStr">
        <is>
          <t>Stereobot</t>
        </is>
      </c>
      <c r="C1076" s="29" t="n">
        <v>0.0</v>
      </c>
      <c r="D1076" s="30" t="n">
        <v>0.19930523744083067</v>
      </c>
      <c r="E1076" s="31" t="inlineStr">
        <is>
          <t/>
        </is>
      </c>
      <c r="F1076" s="32" t="n">
        <v>9.0</v>
      </c>
      <c r="G1076" s="33" t="inlineStr">
        <is>
          <t/>
        </is>
      </c>
      <c r="H1076" s="34" t="n">
        <v>54.0</v>
      </c>
      <c r="I1076" s="35" t="inlineStr">
        <is>
          <t/>
        </is>
      </c>
      <c r="J1076" s="36" t="n">
        <v>0.36</v>
      </c>
      <c r="K1076" s="37" t="inlineStr">
        <is>
          <t>Multimedia and Design Software</t>
        </is>
      </c>
      <c r="L1076" s="38" t="inlineStr">
        <is>
          <t>Developer of 3-dimensional structures and visualization systems. The company specializes in the development of creative visions for the entertainment and marketing industries and provides 3-dimensional structures, dynamic video mapping and printed media into transformative displays featuring creative media.</t>
        </is>
      </c>
      <c r="M1076" s="39" t="inlineStr">
        <is>
          <t/>
        </is>
      </c>
      <c r="N1076" s="40" t="inlineStr">
        <is>
          <t>Angel-Backed</t>
        </is>
      </c>
      <c r="O1076" s="41" t="inlineStr">
        <is>
          <t>Privately Held (backing)</t>
        </is>
      </c>
      <c r="P1076" s="42" t="inlineStr">
        <is>
          <t>Los Angeles, CA</t>
        </is>
      </c>
      <c r="Q1076" s="43" t="inlineStr">
        <is>
          <t>www.stereo-bot.com</t>
        </is>
      </c>
      <c r="R1076" s="114">
        <f>HYPERLINK("https://my.pitchbook.com?c=90258-31", "View company online")</f>
      </c>
    </row>
    <row r="1077">
      <c r="A1077" s="9" t="inlineStr">
        <is>
          <t>113600-89</t>
        </is>
      </c>
      <c r="B1077" s="10" t="inlineStr">
        <is>
          <t>Stepping Stories</t>
        </is>
      </c>
      <c r="C1077" s="85">
        <f>HYPERLINK("https://my.pitchbook.com?rrp=113600-89&amp;type=c", "This Company's information is not available to download. Need this Company? Request availability")</f>
      </c>
      <c r="D1077" s="12" t="inlineStr">
        <is>
          <t/>
        </is>
      </c>
      <c r="E1077" s="13" t="inlineStr">
        <is>
          <t/>
        </is>
      </c>
      <c r="F1077" s="14" t="inlineStr">
        <is>
          <t/>
        </is>
      </c>
      <c r="G1077" s="15" t="inlineStr">
        <is>
          <t/>
        </is>
      </c>
      <c r="H1077" s="16" t="inlineStr">
        <is>
          <t/>
        </is>
      </c>
      <c r="I1077" s="17" t="inlineStr">
        <is>
          <t/>
        </is>
      </c>
      <c r="J1077" s="18" t="inlineStr">
        <is>
          <t/>
        </is>
      </c>
      <c r="K1077" s="19" t="inlineStr">
        <is>
          <t/>
        </is>
      </c>
      <c r="L1077" s="20" t="inlineStr">
        <is>
          <t/>
        </is>
      </c>
      <c r="M1077" s="21" t="inlineStr">
        <is>
          <t/>
        </is>
      </c>
      <c r="N1077" s="22" t="inlineStr">
        <is>
          <t/>
        </is>
      </c>
      <c r="O1077" s="23" t="inlineStr">
        <is>
          <t/>
        </is>
      </c>
      <c r="P1077" s="24" t="inlineStr">
        <is>
          <t/>
        </is>
      </c>
      <c r="Q1077" s="25" t="inlineStr">
        <is>
          <t/>
        </is>
      </c>
      <c r="R1077" s="26" t="inlineStr">
        <is>
          <t/>
        </is>
      </c>
    </row>
    <row r="1078">
      <c r="A1078" s="27" t="inlineStr">
        <is>
          <t>123267-61</t>
        </is>
      </c>
      <c r="B1078" s="28" t="inlineStr">
        <is>
          <t>Stephen Kong Consulting</t>
        </is>
      </c>
      <c r="C1078" s="29" t="inlineStr">
        <is>
          <t/>
        </is>
      </c>
      <c r="D1078" s="30" t="inlineStr">
        <is>
          <t/>
        </is>
      </c>
      <c r="E1078" s="31" t="inlineStr">
        <is>
          <t/>
        </is>
      </c>
      <c r="F1078" s="32" t="inlineStr">
        <is>
          <t/>
        </is>
      </c>
      <c r="G1078" s="33" t="inlineStr">
        <is>
          <t/>
        </is>
      </c>
      <c r="H1078" s="34" t="inlineStr">
        <is>
          <t/>
        </is>
      </c>
      <c r="I1078" s="35" t="inlineStr">
        <is>
          <t/>
        </is>
      </c>
      <c r="J1078" s="36" t="inlineStr">
        <is>
          <t/>
        </is>
      </c>
      <c r="K1078" s="37" t="inlineStr">
        <is>
          <t>Other Business Products and Services</t>
        </is>
      </c>
      <c r="L1078" s="38" t="inlineStr">
        <is>
          <t>The company is currently operating in Stealth mode.</t>
        </is>
      </c>
      <c r="M1078" s="39" t="inlineStr">
        <is>
          <t>California Institute for Quantitative Biosciences</t>
        </is>
      </c>
      <c r="N1078" s="40" t="inlineStr">
        <is>
          <t>Accelerator/Incubator Backed</t>
        </is>
      </c>
      <c r="O1078" s="41" t="inlineStr">
        <is>
          <t>Privately Held (backing)</t>
        </is>
      </c>
      <c r="P1078" s="42" t="inlineStr">
        <is>
          <t>San Francisco, CA</t>
        </is>
      </c>
      <c r="Q1078" s="43" t="inlineStr">
        <is>
          <t/>
        </is>
      </c>
      <c r="R1078" s="114">
        <f>HYPERLINK("https://my.pitchbook.com?c=123267-61", "View company online")</f>
      </c>
    </row>
    <row r="1079">
      <c r="A1079" s="9" t="inlineStr">
        <is>
          <t>113575-24</t>
        </is>
      </c>
      <c r="B1079" s="10" t="inlineStr">
        <is>
          <t>StepBOT</t>
        </is>
      </c>
      <c r="C1079" s="11" t="n">
        <v>0.0</v>
      </c>
      <c r="D1079" s="12" t="n">
        <v>0.04195296991907162</v>
      </c>
      <c r="E1079" s="13" t="inlineStr">
        <is>
          <t/>
        </is>
      </c>
      <c r="F1079" s="14" t="n">
        <v>3.0</v>
      </c>
      <c r="G1079" s="15" t="inlineStr">
        <is>
          <t/>
        </is>
      </c>
      <c r="H1079" s="16" t="n">
        <v>1.0</v>
      </c>
      <c r="I1079" s="17" t="inlineStr">
        <is>
          <t/>
        </is>
      </c>
      <c r="J1079" s="18" t="n">
        <v>0.01</v>
      </c>
      <c r="K1079" s="19" t="inlineStr">
        <is>
          <t>Vertical Market Software</t>
        </is>
      </c>
      <c r="L1079" s="20" t="inlineStr">
        <is>
          <t>Developer of a gamified fitness application. The company offers wearable devices that imports fitness data which is used for the game play.</t>
        </is>
      </c>
      <c r="M1079" s="21" t="inlineStr">
        <is>
          <t>Wearable IoT World</t>
        </is>
      </c>
      <c r="N1079" s="22" t="inlineStr">
        <is>
          <t>Accelerator/Incubator Backed</t>
        </is>
      </c>
      <c r="O1079" s="23" t="inlineStr">
        <is>
          <t>Privately Held (backing)</t>
        </is>
      </c>
      <c r="P1079" s="24" t="inlineStr">
        <is>
          <t>San Francisco, CA</t>
        </is>
      </c>
      <c r="Q1079" s="25" t="inlineStr">
        <is>
          <t>www.stepbot-fitness.com</t>
        </is>
      </c>
      <c r="R1079" s="113">
        <f>HYPERLINK("https://my.pitchbook.com?c=113575-24", "View company online")</f>
      </c>
    </row>
    <row r="1080">
      <c r="A1080" s="27" t="inlineStr">
        <is>
          <t>95356-90</t>
        </is>
      </c>
      <c r="B1080" s="28" t="inlineStr">
        <is>
          <t>Stencyl</t>
        </is>
      </c>
      <c r="C1080" s="29" t="n">
        <v>-0.0282078784150685</v>
      </c>
      <c r="D1080" s="30" t="n">
        <v>38.31765565175661</v>
      </c>
      <c r="E1080" s="31" t="inlineStr">
        <is>
          <t/>
        </is>
      </c>
      <c r="F1080" s="32" t="n">
        <v>2385.0</v>
      </c>
      <c r="G1080" s="33" t="n">
        <v>8438.0</v>
      </c>
      <c r="H1080" s="34" t="n">
        <v>4909.0</v>
      </c>
      <c r="I1080" s="35" t="n">
        <v>1.0</v>
      </c>
      <c r="J1080" s="36" t="inlineStr">
        <is>
          <t/>
        </is>
      </c>
      <c r="K1080" s="37" t="inlineStr">
        <is>
          <t>Software Development Applications</t>
        </is>
      </c>
      <c r="L1080" s="38" t="inlineStr">
        <is>
          <t>Provider of a Web game publishing platform. The company provides a platform to create online games without using code. The games can be designed for use on multiple systems, including iOS, Android, flash and HTML5.</t>
        </is>
      </c>
      <c r="M1080" s="39" t="inlineStr">
        <is>
          <t>Kickstarter</t>
        </is>
      </c>
      <c r="N1080" s="40" t="inlineStr">
        <is>
          <t>Accelerator/Incubator Backed</t>
        </is>
      </c>
      <c r="O1080" s="41" t="inlineStr">
        <is>
          <t>Privately Held (backing)</t>
        </is>
      </c>
      <c r="P1080" s="42" t="inlineStr">
        <is>
          <t>Cupertino, CA</t>
        </is>
      </c>
      <c r="Q1080" s="43" t="inlineStr">
        <is>
          <t>www.stencyl.com</t>
        </is>
      </c>
      <c r="R1080" s="114">
        <f>HYPERLINK("https://my.pitchbook.com?c=95356-90", "View company online")</f>
      </c>
    </row>
    <row r="1081">
      <c r="A1081" s="9" t="inlineStr">
        <is>
          <t>148151-26</t>
        </is>
      </c>
      <c r="B1081" s="10" t="inlineStr">
        <is>
          <t>StemPaks</t>
        </is>
      </c>
      <c r="C1081" s="11" t="n">
        <v>0.026785769479967067</v>
      </c>
      <c r="D1081" s="12" t="n">
        <v>0.5193581780538302</v>
      </c>
      <c r="E1081" s="13" t="inlineStr">
        <is>
          <t/>
        </is>
      </c>
      <c r="F1081" s="14" t="inlineStr">
        <is>
          <t/>
        </is>
      </c>
      <c r="G1081" s="15" t="n">
        <v>702.0</v>
      </c>
      <c r="H1081" s="16" t="n">
        <v>59.0</v>
      </c>
      <c r="I1081" s="17" t="inlineStr">
        <is>
          <t/>
        </is>
      </c>
      <c r="J1081" s="18" t="inlineStr">
        <is>
          <t/>
        </is>
      </c>
      <c r="K1081" s="19" t="inlineStr">
        <is>
          <t>Educational Software</t>
        </is>
      </c>
      <c r="L1081" s="20" t="inlineStr">
        <is>
          <t>Developer and provider of an online discovery platform. The company offers a discovery platform for children for their science and technology based interactive learning and project development.</t>
        </is>
      </c>
      <c r="M1081" s="21" t="inlineStr">
        <is>
          <t>Vet-Tech Accelerator</t>
        </is>
      </c>
      <c r="N1081" s="22" t="inlineStr">
        <is>
          <t>Accelerator/Incubator Backed</t>
        </is>
      </c>
      <c r="O1081" s="23" t="inlineStr">
        <is>
          <t>Privately Held (backing)</t>
        </is>
      </c>
      <c r="P1081" s="24" t="inlineStr">
        <is>
          <t>San Jose, CA</t>
        </is>
      </c>
      <c r="Q1081" s="25" t="inlineStr">
        <is>
          <t>www.stempaks.com</t>
        </is>
      </c>
      <c r="R1081" s="113">
        <f>HYPERLINK("https://my.pitchbook.com?c=148151-26", "View company online")</f>
      </c>
    </row>
    <row r="1082">
      <c r="A1082" s="27" t="inlineStr">
        <is>
          <t>95356-81</t>
        </is>
      </c>
      <c r="B1082" s="28" t="inlineStr">
        <is>
          <t>STEMP</t>
        </is>
      </c>
      <c r="C1082" s="29" t="n">
        <v>0.0</v>
      </c>
      <c r="D1082" s="30" t="n">
        <v>0.8648648648648649</v>
      </c>
      <c r="E1082" s="31" t="inlineStr">
        <is>
          <t/>
        </is>
      </c>
      <c r="F1082" s="32" t="n">
        <v>32.0</v>
      </c>
      <c r="G1082" s="33" t="n">
        <v>402.0</v>
      </c>
      <c r="H1082" s="34" t="n">
        <v>405.0</v>
      </c>
      <c r="I1082" s="35" t="n">
        <v>3.0</v>
      </c>
      <c r="J1082" s="36" t="inlineStr">
        <is>
          <t/>
        </is>
      </c>
      <c r="K1082" s="37" t="inlineStr">
        <is>
          <t>Monitoring Equipment</t>
        </is>
      </c>
      <c r="L1082" s="38" t="inlineStr">
        <is>
          <t>Developer of digital health and sensor products for health improvement and wellness. The company's flagship product, the STEMP sensor, is a smart temperature patch that works alongside their mobile application for immediate and continuous temperature measurement.</t>
        </is>
      </c>
      <c r="M1082" s="39" t="inlineStr">
        <is>
          <t>GSVlabs, Plug and Play Tech Center</t>
        </is>
      </c>
      <c r="N1082" s="40" t="inlineStr">
        <is>
          <t>Accelerator/Incubator Backed</t>
        </is>
      </c>
      <c r="O1082" s="41" t="inlineStr">
        <is>
          <t>Privately Held (backing)</t>
        </is>
      </c>
      <c r="P1082" s="42" t="inlineStr">
        <is>
          <t>Los Angeles, CA</t>
        </is>
      </c>
      <c r="Q1082" s="43" t="inlineStr">
        <is>
          <t>www.getstemp.com</t>
        </is>
      </c>
      <c r="R1082" s="114">
        <f>HYPERLINK("https://my.pitchbook.com?c=95356-81", "View company online")</f>
      </c>
    </row>
    <row r="1083">
      <c r="A1083" s="9" t="inlineStr">
        <is>
          <t>181335-61</t>
        </is>
      </c>
      <c r="B1083" s="10" t="inlineStr">
        <is>
          <t>Stellic</t>
        </is>
      </c>
      <c r="C1083" s="11" t="inlineStr">
        <is>
          <t/>
        </is>
      </c>
      <c r="D1083" s="12" t="inlineStr">
        <is>
          <t/>
        </is>
      </c>
      <c r="E1083" s="13" t="inlineStr">
        <is>
          <t/>
        </is>
      </c>
      <c r="F1083" s="14" t="inlineStr">
        <is>
          <t/>
        </is>
      </c>
      <c r="G1083" s="15" t="inlineStr">
        <is>
          <t/>
        </is>
      </c>
      <c r="H1083" s="16" t="inlineStr">
        <is>
          <t/>
        </is>
      </c>
      <c r="I1083" s="17" t="inlineStr">
        <is>
          <t/>
        </is>
      </c>
      <c r="J1083" s="18" t="n">
        <v>0.04</v>
      </c>
      <c r="K1083" s="19" t="inlineStr">
        <is>
          <t>Application Software</t>
        </is>
      </c>
      <c r="L1083" s="20" t="inlineStr">
        <is>
          <t>Developer of an integrated advising and planning platform designed to enable students to plan their college journey. The company's platform permits undergraduates to plan their upcoming semesters in colleges using data insights, enabling them to tailor their education according to career goals and interest, advisors to identify at-risk students and universities to reduce college drop outs.</t>
        </is>
      </c>
      <c r="M1083" s="21" t="inlineStr">
        <is>
          <t>Alchemist Accelerator, AlFaisal-Carnegie Mellon Innovation Entrepreneurship Centre, Qatar Science &amp; Technology Park</t>
        </is>
      </c>
      <c r="N1083" s="22" t="inlineStr">
        <is>
          <t>Accelerator/Incubator Backed</t>
        </is>
      </c>
      <c r="O1083" s="23" t="inlineStr">
        <is>
          <t>Privately Held (backing)</t>
        </is>
      </c>
      <c r="P1083" s="24" t="inlineStr">
        <is>
          <t>Palo Alto, CA</t>
        </is>
      </c>
      <c r="Q1083" s="25" t="inlineStr">
        <is>
          <t>www.stellic.com</t>
        </is>
      </c>
      <c r="R1083" s="113">
        <f>HYPERLINK("https://my.pitchbook.com?c=181335-61", "View company online")</f>
      </c>
    </row>
    <row r="1084">
      <c r="A1084" s="27" t="inlineStr">
        <is>
          <t>65613-88</t>
        </is>
      </c>
      <c r="B1084" s="28" t="inlineStr">
        <is>
          <t>Stellar</t>
        </is>
      </c>
      <c r="C1084" s="29" t="n">
        <v>2.99362868552513</v>
      </c>
      <c r="D1084" s="30" t="n">
        <v>27.251242876206028</v>
      </c>
      <c r="E1084" s="31" t="inlineStr">
        <is>
          <t/>
        </is>
      </c>
      <c r="F1084" s="32" t="n">
        <v>1091.0</v>
      </c>
      <c r="G1084" s="33" t="n">
        <v>5888.0</v>
      </c>
      <c r="H1084" s="34" t="n">
        <v>14602.0</v>
      </c>
      <c r="I1084" s="35" t="n">
        <v>13.0</v>
      </c>
      <c r="J1084" s="36" t="inlineStr">
        <is>
          <t/>
        </is>
      </c>
      <c r="K1084" s="37" t="inlineStr">
        <is>
          <t>Other Financial Services</t>
        </is>
      </c>
      <c r="L1084" s="38" t="inlineStr">
        <is>
          <t>Operator of a payments network. The company is a decentralised protocol that allows people to send and receive money in any pair of currencies. It allows to send one kind of currency and convert it to another currency.</t>
        </is>
      </c>
      <c r="M1084" s="39" t="inlineStr">
        <is>
          <t>Fast Forward (Consulting Services), Plug and Play Tech Center, Stripe</t>
        </is>
      </c>
      <c r="N1084" s="40" t="inlineStr">
        <is>
          <t>Accelerator/Incubator Backed</t>
        </is>
      </c>
      <c r="O1084" s="41" t="inlineStr">
        <is>
          <t>Privately Held (backing)</t>
        </is>
      </c>
      <c r="P1084" s="42" t="inlineStr">
        <is>
          <t>San Francisco, CA</t>
        </is>
      </c>
      <c r="Q1084" s="43" t="inlineStr">
        <is>
          <t>www.stellar.org</t>
        </is>
      </c>
      <c r="R1084" s="114">
        <f>HYPERLINK("https://my.pitchbook.com?c=65613-88", "View company online")</f>
      </c>
    </row>
    <row r="1085">
      <c r="A1085" s="9" t="inlineStr">
        <is>
          <t>63991-63</t>
        </is>
      </c>
      <c r="B1085" s="10" t="inlineStr">
        <is>
          <t>Steel Wool Entertainment Group</t>
        </is>
      </c>
      <c r="C1085" s="11" t="n">
        <v>0.023701231083429336</v>
      </c>
      <c r="D1085" s="12" t="n">
        <v>1.155440947316408</v>
      </c>
      <c r="E1085" s="13" t="inlineStr">
        <is>
          <t/>
        </is>
      </c>
      <c r="F1085" s="14" t="n">
        <v>58.0</v>
      </c>
      <c r="G1085" s="15" t="n">
        <v>498.0</v>
      </c>
      <c r="H1085" s="16" t="n">
        <v>269.0</v>
      </c>
      <c r="I1085" s="17" t="n">
        <v>7.0</v>
      </c>
      <c r="J1085" s="18" t="n">
        <v>1.5</v>
      </c>
      <c r="K1085" s="19" t="inlineStr">
        <is>
          <t>Movies, Music and Entertainment</t>
        </is>
      </c>
      <c r="L1085" s="20" t="inlineStr">
        <is>
          <t>Provider of music and entertainment management services to artist. The company offers artists multiple services such management, record label, video production and marketing services.</t>
        </is>
      </c>
      <c r="M1085" s="21" t="inlineStr">
        <is>
          <t/>
        </is>
      </c>
      <c r="N1085" s="22" t="inlineStr">
        <is>
          <t>Angel-Backed</t>
        </is>
      </c>
      <c r="O1085" s="23" t="inlineStr">
        <is>
          <t>Privately Held (backing)</t>
        </is>
      </c>
      <c r="P1085" s="24" t="inlineStr">
        <is>
          <t>Los Angeles, CA</t>
        </is>
      </c>
      <c r="Q1085" s="25" t="inlineStr">
        <is>
          <t>www.steelwoolentertainment.com</t>
        </is>
      </c>
      <c r="R1085" s="113">
        <f>HYPERLINK("https://my.pitchbook.com?c=63991-63", "View company online")</f>
      </c>
    </row>
    <row r="1086">
      <c r="A1086" s="27" t="inlineStr">
        <is>
          <t>94996-72</t>
        </is>
      </c>
      <c r="B1086" s="28" t="inlineStr">
        <is>
          <t>Staytuned App</t>
        </is>
      </c>
      <c r="C1086" s="29" t="n">
        <v>-0.04131891980500999</v>
      </c>
      <c r="D1086" s="30" t="n">
        <v>0.906016399070931</v>
      </c>
      <c r="E1086" s="31" t="inlineStr">
        <is>
          <t/>
        </is>
      </c>
      <c r="F1086" s="32" t="n">
        <v>14.0</v>
      </c>
      <c r="G1086" s="33" t="n">
        <v>1984.0</v>
      </c>
      <c r="H1086" s="34" t="n">
        <v>143.0</v>
      </c>
      <c r="I1086" s="35" t="inlineStr">
        <is>
          <t/>
        </is>
      </c>
      <c r="J1086" s="36" t="n">
        <v>0.03</v>
      </c>
      <c r="K1086" s="37" t="inlineStr">
        <is>
          <t>Application Software</t>
        </is>
      </c>
      <c r="L1086" s="38" t="inlineStr">
        <is>
          <t>Developer of a personal application concierge. The company develops a context aware user interface that provides its users with the right applications at the right moment, directly on their lock screen. It enables its users to access tools that are useful at specific moments, such as the flashlight, voice-commanded navigation, parking pin and others on their lock screens.</t>
        </is>
      </c>
      <c r="M1086" s="39" t="inlineStr">
        <is>
          <t>Alireza Masrour, Plug and Play Tech Center</t>
        </is>
      </c>
      <c r="N1086" s="40" t="inlineStr">
        <is>
          <t>Accelerator/Incubator Backed</t>
        </is>
      </c>
      <c r="O1086" s="41" t="inlineStr">
        <is>
          <t>Privately Held (backing)</t>
        </is>
      </c>
      <c r="P1086" s="42" t="inlineStr">
        <is>
          <t>Palo Alto, CA</t>
        </is>
      </c>
      <c r="Q1086" s="43" t="inlineStr">
        <is>
          <t>www.staytuned-app.com</t>
        </is>
      </c>
      <c r="R1086" s="114">
        <f>HYPERLINK("https://my.pitchbook.com?c=94996-72", "View company online")</f>
      </c>
    </row>
    <row r="1087">
      <c r="A1087" s="9" t="inlineStr">
        <is>
          <t>109032-85</t>
        </is>
      </c>
      <c r="B1087" s="10" t="inlineStr">
        <is>
          <t>Stationfy</t>
        </is>
      </c>
      <c r="C1087" s="85">
        <f>HYPERLINK("https://my.pitchbook.com?rrp=109032-85&amp;type=c", "This Company's information is not available to download. Need this Company? Request availability")</f>
      </c>
      <c r="D1087" s="12" t="inlineStr">
        <is>
          <t/>
        </is>
      </c>
      <c r="E1087" s="13" t="inlineStr">
        <is>
          <t/>
        </is>
      </c>
      <c r="F1087" s="14" t="inlineStr">
        <is>
          <t/>
        </is>
      </c>
      <c r="G1087" s="15" t="inlineStr">
        <is>
          <t/>
        </is>
      </c>
      <c r="H1087" s="16" t="inlineStr">
        <is>
          <t/>
        </is>
      </c>
      <c r="I1087" s="17" t="inlineStr">
        <is>
          <t/>
        </is>
      </c>
      <c r="J1087" s="18" t="inlineStr">
        <is>
          <t/>
        </is>
      </c>
      <c r="K1087" s="19" t="inlineStr">
        <is>
          <t/>
        </is>
      </c>
      <c r="L1087" s="20" t="inlineStr">
        <is>
          <t/>
        </is>
      </c>
      <c r="M1087" s="21" t="inlineStr">
        <is>
          <t/>
        </is>
      </c>
      <c r="N1087" s="22" t="inlineStr">
        <is>
          <t/>
        </is>
      </c>
      <c r="O1087" s="23" t="inlineStr">
        <is>
          <t/>
        </is>
      </c>
      <c r="P1087" s="24" t="inlineStr">
        <is>
          <t/>
        </is>
      </c>
      <c r="Q1087" s="25" t="inlineStr">
        <is>
          <t/>
        </is>
      </c>
      <c r="R1087" s="26" t="inlineStr">
        <is>
          <t/>
        </is>
      </c>
    </row>
    <row r="1088">
      <c r="A1088" s="27" t="inlineStr">
        <is>
          <t>176945-77</t>
        </is>
      </c>
      <c r="B1088" s="28" t="inlineStr">
        <is>
          <t>Station</t>
        </is>
      </c>
      <c r="C1088" s="86">
        <f>HYPERLINK("https://my.pitchbook.com?rrp=176945-77&amp;type=c", "This Company's information is not available to download. Need this Company? Request availability")</f>
      </c>
      <c r="D1088" s="30" t="inlineStr">
        <is>
          <t/>
        </is>
      </c>
      <c r="E1088" s="31" t="inlineStr">
        <is>
          <t/>
        </is>
      </c>
      <c r="F1088" s="32" t="inlineStr">
        <is>
          <t/>
        </is>
      </c>
      <c r="G1088" s="33" t="inlineStr">
        <is>
          <t/>
        </is>
      </c>
      <c r="H1088" s="34" t="inlineStr">
        <is>
          <t/>
        </is>
      </c>
      <c r="I1088" s="35" t="inlineStr">
        <is>
          <t/>
        </is>
      </c>
      <c r="J1088" s="36" t="inlineStr">
        <is>
          <t/>
        </is>
      </c>
      <c r="K1088" s="37" t="inlineStr">
        <is>
          <t/>
        </is>
      </c>
      <c r="L1088" s="38" t="inlineStr">
        <is>
          <t/>
        </is>
      </c>
      <c r="M1088" s="39" t="inlineStr">
        <is>
          <t/>
        </is>
      </c>
      <c r="N1088" s="40" t="inlineStr">
        <is>
          <t/>
        </is>
      </c>
      <c r="O1088" s="41" t="inlineStr">
        <is>
          <t/>
        </is>
      </c>
      <c r="P1088" s="42" t="inlineStr">
        <is>
          <t/>
        </is>
      </c>
      <c r="Q1088" s="43" t="inlineStr">
        <is>
          <t/>
        </is>
      </c>
      <c r="R1088" s="44" t="inlineStr">
        <is>
          <t/>
        </is>
      </c>
    </row>
    <row r="1089">
      <c r="A1089" s="9" t="inlineStr">
        <is>
          <t>92529-73</t>
        </is>
      </c>
      <c r="B1089" s="10" t="inlineStr">
        <is>
          <t>StartupSocials</t>
        </is>
      </c>
      <c r="C1089" s="11" t="n">
        <v>-0.18227441884086326</v>
      </c>
      <c r="D1089" s="12" t="n">
        <v>12.65005929974611</v>
      </c>
      <c r="E1089" s="13" t="inlineStr">
        <is>
          <t/>
        </is>
      </c>
      <c r="F1089" s="14" t="n">
        <v>99.0</v>
      </c>
      <c r="G1089" s="15" t="n">
        <v>5205.0</v>
      </c>
      <c r="H1089" s="16" t="n">
        <v>13670.0</v>
      </c>
      <c r="I1089" s="17" t="n">
        <v>4.0</v>
      </c>
      <c r="J1089" s="18" t="inlineStr">
        <is>
          <t/>
        </is>
      </c>
      <c r="K1089" s="19" t="inlineStr">
        <is>
          <t>Other Services (B2C Non-Financial)</t>
        </is>
      </c>
      <c r="L1089" s="20" t="inlineStr">
        <is>
          <t>Provider of a socialising platform. The company offers a space for entrepreneurs, investors, startups, professionals to meet, network and party in non-formal environment.</t>
        </is>
      </c>
      <c r="M1089" s="21" t="inlineStr">
        <is>
          <t>Startup Monthly</t>
        </is>
      </c>
      <c r="N1089" s="22" t="inlineStr">
        <is>
          <t>Accelerator/Incubator Backed</t>
        </is>
      </c>
      <c r="O1089" s="23" t="inlineStr">
        <is>
          <t>Privately Held (backing)</t>
        </is>
      </c>
      <c r="P1089" s="24" t="inlineStr">
        <is>
          <t>San Francisco, CA</t>
        </is>
      </c>
      <c r="Q1089" s="25" t="inlineStr">
        <is>
          <t>www.startupsocials.com</t>
        </is>
      </c>
      <c r="R1089" s="113">
        <f>HYPERLINK("https://my.pitchbook.com?c=92529-73", "View company online")</f>
      </c>
    </row>
    <row r="1090">
      <c r="A1090" s="27" t="inlineStr">
        <is>
          <t>94964-95</t>
        </is>
      </c>
      <c r="B1090" s="28" t="inlineStr">
        <is>
          <t>StartupHouse</t>
        </is>
      </c>
      <c r="C1090" s="29" t="n">
        <v>0.0481719220119556</v>
      </c>
      <c r="D1090" s="30" t="n">
        <v>5.707318314208513</v>
      </c>
      <c r="E1090" s="31" t="inlineStr">
        <is>
          <t/>
        </is>
      </c>
      <c r="F1090" s="32" t="n">
        <v>37.0</v>
      </c>
      <c r="G1090" s="33" t="n">
        <v>3689.0</v>
      </c>
      <c r="H1090" s="34" t="n">
        <v>5752.0</v>
      </c>
      <c r="I1090" s="35" t="n">
        <v>7.0</v>
      </c>
      <c r="J1090" s="36" t="n">
        <v>0.25</v>
      </c>
      <c r="K1090" s="37" t="inlineStr">
        <is>
          <t>Other Commercial Services</t>
        </is>
      </c>
      <c r="L1090" s="38" t="inlineStr">
        <is>
          <t>Provider of space that support to early stage entrepreneurs. The company offers co-working and co-living space for bootstrappers, builders and disrupters in San Francisco.</t>
        </is>
      </c>
      <c r="M1090" s="39" t="inlineStr">
        <is>
          <t>500 Startups, Matt Cameron, Naval Ravikant, Steve Outtrim, Zachary Aarons</t>
        </is>
      </c>
      <c r="N1090" s="40" t="inlineStr">
        <is>
          <t>Accelerator/Incubator Backed</t>
        </is>
      </c>
      <c r="O1090" s="41" t="inlineStr">
        <is>
          <t>Privately Held (backing)</t>
        </is>
      </c>
      <c r="P1090" s="42" t="inlineStr">
        <is>
          <t>San Francisco, CA</t>
        </is>
      </c>
      <c r="Q1090" s="43" t="inlineStr">
        <is>
          <t>www.startuphouse.com</t>
        </is>
      </c>
      <c r="R1090" s="114">
        <f>HYPERLINK("https://my.pitchbook.com?c=94964-95", "View company online")</f>
      </c>
    </row>
    <row r="1091">
      <c r="A1091" s="9" t="inlineStr">
        <is>
          <t>126533-08</t>
        </is>
      </c>
      <c r="B1091" s="10" t="inlineStr">
        <is>
          <t>Startup Policy Lab</t>
        </is>
      </c>
      <c r="C1091" s="11" t="n">
        <v>0.22518132448302108</v>
      </c>
      <c r="D1091" s="12" t="n">
        <v>1.1097502676905773</v>
      </c>
      <c r="E1091" s="13" t="inlineStr">
        <is>
          <t/>
        </is>
      </c>
      <c r="F1091" s="14" t="n">
        <v>41.0</v>
      </c>
      <c r="G1091" s="15" t="n">
        <v>218.0</v>
      </c>
      <c r="H1091" s="16" t="n">
        <v>687.0</v>
      </c>
      <c r="I1091" s="17" t="inlineStr">
        <is>
          <t/>
        </is>
      </c>
      <c r="J1091" s="18" t="inlineStr">
        <is>
          <t/>
        </is>
      </c>
      <c r="K1091" s="19" t="inlineStr">
        <is>
          <t>Other Commercial Services</t>
        </is>
      </c>
      <c r="L1091" s="20" t="inlineStr">
        <is>
          <t>Operator of a non-profit organization to connect startups with policymakers. The company operates a non-profit organization to connect and represent startups in policy making initiatives and promote innovation.</t>
        </is>
      </c>
      <c r="M1091" s="21" t="inlineStr">
        <is>
          <t>John S. and James L. Knight Foundation, Runway Incubator</t>
        </is>
      </c>
      <c r="N1091" s="22" t="inlineStr">
        <is>
          <t>Accelerator/Incubator Backed</t>
        </is>
      </c>
      <c r="O1091" s="23" t="inlineStr">
        <is>
          <t>Privately Held (backing)</t>
        </is>
      </c>
      <c r="P1091" s="24" t="inlineStr">
        <is>
          <t>San Francisco, CA</t>
        </is>
      </c>
      <c r="Q1091" s="25" t="inlineStr">
        <is>
          <t>www.startuppolicylab.org</t>
        </is>
      </c>
      <c r="R1091" s="113">
        <f>HYPERLINK("https://my.pitchbook.com?c=126533-08", "View company online")</f>
      </c>
    </row>
    <row r="1092">
      <c r="A1092" s="27" t="inlineStr">
        <is>
          <t>58457-26</t>
        </is>
      </c>
      <c r="B1092" s="28" t="inlineStr">
        <is>
          <t>Startup Grind</t>
        </is>
      </c>
      <c r="C1092" s="29" t="n">
        <v>1.313148244216778</v>
      </c>
      <c r="D1092" s="30" t="n">
        <v>455.2457575667045</v>
      </c>
      <c r="E1092" s="31" t="inlineStr">
        <is>
          <t/>
        </is>
      </c>
      <c r="F1092" s="32" t="n">
        <v>3586.0</v>
      </c>
      <c r="G1092" s="33" t="n">
        <v>44102.0</v>
      </c>
      <c r="H1092" s="34" t="n">
        <v>556203.0</v>
      </c>
      <c r="I1092" s="35" t="n">
        <v>378.0</v>
      </c>
      <c r="J1092" s="36" t="inlineStr">
        <is>
          <t/>
        </is>
      </c>
      <c r="K1092" s="37" t="inlineStr">
        <is>
          <t>Other Commercial Services</t>
        </is>
      </c>
      <c r="L1092" s="38" t="inlineStr">
        <is>
          <t>Owner and operator company offering of global startup community. The company organizes various global events and conferences to educate, train and connect entrepreneurs to investors and other business angels.</t>
        </is>
      </c>
      <c r="M1092" s="39" t="inlineStr">
        <is>
          <t>Fishbowl Labs</t>
        </is>
      </c>
      <c r="N1092" s="40" t="inlineStr">
        <is>
          <t>Accelerator/Incubator Backed</t>
        </is>
      </c>
      <c r="O1092" s="41" t="inlineStr">
        <is>
          <t>Privately Held (backing)</t>
        </is>
      </c>
      <c r="P1092" s="42" t="inlineStr">
        <is>
          <t>Palo Alto, CA</t>
        </is>
      </c>
      <c r="Q1092" s="43" t="inlineStr">
        <is>
          <t>www.startupgrind.com</t>
        </is>
      </c>
      <c r="R1092" s="114">
        <f>HYPERLINK("https://my.pitchbook.com?c=58457-26", "View company online")</f>
      </c>
    </row>
    <row r="1093">
      <c r="A1093" s="9" t="inlineStr">
        <is>
          <t>151576-39</t>
        </is>
      </c>
      <c r="B1093" s="10" t="inlineStr">
        <is>
          <t>Startup Genius</t>
        </is>
      </c>
      <c r="C1093" s="11" t="n">
        <v>0.0</v>
      </c>
      <c r="D1093" s="12" t="n">
        <v>0.02702702702702703</v>
      </c>
      <c r="E1093" s="13" t="inlineStr">
        <is>
          <t/>
        </is>
      </c>
      <c r="F1093" s="14" t="n">
        <v>1.0</v>
      </c>
      <c r="G1093" s="15" t="inlineStr">
        <is>
          <t/>
        </is>
      </c>
      <c r="H1093" s="16" t="inlineStr">
        <is>
          <t/>
        </is>
      </c>
      <c r="I1093" s="17" t="inlineStr">
        <is>
          <t/>
        </is>
      </c>
      <c r="J1093" s="18" t="n">
        <v>1.0</v>
      </c>
      <c r="K1093" s="19" t="inlineStr">
        <is>
          <t>Other Business Products and Services</t>
        </is>
      </c>
      <c r="L1093" s="20" t="inlineStr">
        <is>
          <t>The company is currently operating in Stealth mode.</t>
        </is>
      </c>
      <c r="M1093" s="21" t="inlineStr">
        <is>
          <t/>
        </is>
      </c>
      <c r="N1093" s="22" t="inlineStr">
        <is>
          <t>Angel-Backed</t>
        </is>
      </c>
      <c r="O1093" s="23" t="inlineStr">
        <is>
          <t>Privately Held (backing)</t>
        </is>
      </c>
      <c r="P1093" s="24" t="inlineStr">
        <is>
          <t>Pleasanton, CA</t>
        </is>
      </c>
      <c r="Q1093" s="25" t="inlineStr">
        <is>
          <t>www.startup-genius.com</t>
        </is>
      </c>
      <c r="R1093" s="113">
        <f>HYPERLINK("https://my.pitchbook.com?c=151576-39", "View company online")</f>
      </c>
    </row>
    <row r="1094">
      <c r="A1094" s="27" t="inlineStr">
        <is>
          <t>92539-72</t>
        </is>
      </c>
      <c r="B1094" s="28" t="inlineStr">
        <is>
          <t>StartSpanish</t>
        </is>
      </c>
      <c r="C1094" s="86">
        <f>HYPERLINK("https://my.pitchbook.com?rrp=92539-72&amp;type=c", "This Company's information is not available to download. Need this Company? Request availability")</f>
      </c>
      <c r="D1094" s="30" t="inlineStr">
        <is>
          <t/>
        </is>
      </c>
      <c r="E1094" s="31" t="inlineStr">
        <is>
          <t/>
        </is>
      </c>
      <c r="F1094" s="32" t="inlineStr">
        <is>
          <t/>
        </is>
      </c>
      <c r="G1094" s="33" t="inlineStr">
        <is>
          <t/>
        </is>
      </c>
      <c r="H1094" s="34" t="inlineStr">
        <is>
          <t/>
        </is>
      </c>
      <c r="I1094" s="35" t="inlineStr">
        <is>
          <t/>
        </is>
      </c>
      <c r="J1094" s="36" t="inlineStr">
        <is>
          <t/>
        </is>
      </c>
      <c r="K1094" s="37" t="inlineStr">
        <is>
          <t/>
        </is>
      </c>
      <c r="L1094" s="38" t="inlineStr">
        <is>
          <t/>
        </is>
      </c>
      <c r="M1094" s="39" t="inlineStr">
        <is>
          <t/>
        </is>
      </c>
      <c r="N1094" s="40" t="inlineStr">
        <is>
          <t/>
        </is>
      </c>
      <c r="O1094" s="41" t="inlineStr">
        <is>
          <t/>
        </is>
      </c>
      <c r="P1094" s="42" t="inlineStr">
        <is>
          <t/>
        </is>
      </c>
      <c r="Q1094" s="43" t="inlineStr">
        <is>
          <t/>
        </is>
      </c>
      <c r="R1094" s="44" t="inlineStr">
        <is>
          <t/>
        </is>
      </c>
    </row>
    <row r="1095">
      <c r="A1095" s="9" t="inlineStr">
        <is>
          <t>93671-20</t>
        </is>
      </c>
      <c r="B1095" s="10" t="inlineStr">
        <is>
          <t>StartitUp</t>
        </is>
      </c>
      <c r="C1095" s="11" t="n">
        <v>2.0660445635374883E-5</v>
      </c>
      <c r="D1095" s="12" t="n">
        <v>0.6772367930621431</v>
      </c>
      <c r="E1095" s="13" t="inlineStr">
        <is>
          <t/>
        </is>
      </c>
      <c r="F1095" s="14" t="n">
        <v>20.0</v>
      </c>
      <c r="G1095" s="15" t="n">
        <v>62.0</v>
      </c>
      <c r="H1095" s="16" t="n">
        <v>549.0</v>
      </c>
      <c r="I1095" s="17" t="inlineStr">
        <is>
          <t/>
        </is>
      </c>
      <c r="J1095" s="18" t="n">
        <v>0.01</v>
      </c>
      <c r="K1095" s="19" t="inlineStr">
        <is>
          <t>Social/Platform Software</t>
        </is>
      </c>
      <c r="L1095" s="20" t="inlineStr">
        <is>
          <t>Provider of an online startup guide. The company's platform offers an open source startup guide, for its users, with action items to take a startup from idea, to minimum viable product, to traction, and funding. It creates a virtual incubator/accelerator that helps startups to build and grow.</t>
        </is>
      </c>
      <c r="M1095" s="21" t="inlineStr">
        <is>
          <t>StartupYard</t>
        </is>
      </c>
      <c r="N1095" s="22" t="inlineStr">
        <is>
          <t>Accelerator/Incubator Backed</t>
        </is>
      </c>
      <c r="O1095" s="23" t="inlineStr">
        <is>
          <t>Privately Held (backing)</t>
        </is>
      </c>
      <c r="P1095" s="24" t="inlineStr">
        <is>
          <t>Palo Alto, CA</t>
        </is>
      </c>
      <c r="Q1095" s="25" t="inlineStr">
        <is>
          <t>www.startitup.co</t>
        </is>
      </c>
      <c r="R1095" s="113">
        <f>HYPERLINK("https://my.pitchbook.com?c=93671-20", "View company online")</f>
      </c>
    </row>
    <row r="1096">
      <c r="A1096" s="27" t="inlineStr">
        <is>
          <t>92416-69</t>
        </is>
      </c>
      <c r="B1096" s="28" t="inlineStr">
        <is>
          <t>StarsVu</t>
        </is>
      </c>
      <c r="C1096" s="29" t="n">
        <v>0.0</v>
      </c>
      <c r="D1096" s="30" t="n">
        <v>0.5945945945945946</v>
      </c>
      <c r="E1096" s="31" t="inlineStr">
        <is>
          <t/>
        </is>
      </c>
      <c r="F1096" s="32" t="n">
        <v>22.0</v>
      </c>
      <c r="G1096" s="33" t="inlineStr">
        <is>
          <t/>
        </is>
      </c>
      <c r="H1096" s="34" t="inlineStr">
        <is>
          <t/>
        </is>
      </c>
      <c r="I1096" s="35" t="inlineStr">
        <is>
          <t/>
        </is>
      </c>
      <c r="J1096" s="36" t="n">
        <v>0.15</v>
      </c>
      <c r="K1096" s="37" t="inlineStr">
        <is>
          <t>Multimedia and Design Software</t>
        </is>
      </c>
      <c r="L1096" s="38" t="inlineStr">
        <is>
          <t>Provider of cloud based video production services. The company provides tools for video production including script writing, video editing and collaboration as a cloud service for the purpose of making videos online.</t>
        </is>
      </c>
      <c r="M1096" s="39" t="inlineStr">
        <is>
          <t>QUALCOMM Executive</t>
        </is>
      </c>
      <c r="N1096" s="40" t="inlineStr">
        <is>
          <t>Angel-Backed</t>
        </is>
      </c>
      <c r="O1096" s="41" t="inlineStr">
        <is>
          <t>Privately Held (backing)</t>
        </is>
      </c>
      <c r="P1096" s="42" t="inlineStr">
        <is>
          <t>San Diego, CA</t>
        </is>
      </c>
      <c r="Q1096" s="43" t="inlineStr">
        <is>
          <t>www.starsvu.com</t>
        </is>
      </c>
      <c r="R1096" s="114">
        <f>HYPERLINK("https://my.pitchbook.com?c=92416-69", "View company online")</f>
      </c>
    </row>
    <row r="1097">
      <c r="A1097" s="9" t="inlineStr">
        <is>
          <t>93935-17</t>
        </is>
      </c>
      <c r="B1097" s="10" t="inlineStr">
        <is>
          <t>StarGreetz</t>
        </is>
      </c>
      <c r="C1097" s="11" t="n">
        <v>0.0029559338607967334</v>
      </c>
      <c r="D1097" s="12" t="n">
        <v>5.8091202582728005</v>
      </c>
      <c r="E1097" s="13" t="inlineStr">
        <is>
          <t/>
        </is>
      </c>
      <c r="F1097" s="14" t="inlineStr">
        <is>
          <t/>
        </is>
      </c>
      <c r="G1097" s="15" t="n">
        <v>8631.0</v>
      </c>
      <c r="H1097" s="16" t="n">
        <v>318.0</v>
      </c>
      <c r="I1097" s="17" t="n">
        <v>11.0</v>
      </c>
      <c r="J1097" s="18" t="n">
        <v>6.4</v>
      </c>
      <c r="K1097" s="19" t="inlineStr">
        <is>
          <t>Social/Platform Software</t>
        </is>
      </c>
      <c r="L1097" s="20" t="inlineStr">
        <is>
          <t>Developer and provider of a cloud-based video personalization platform. The company offers digital content platform that enables users to create marketing massages and video marketing campaigns.</t>
        </is>
      </c>
      <c r="M1097" s="21" t="inlineStr">
        <is>
          <t>Britt Fletcher, Bruce Rauner, David Spiegelman, Dick Cook, Garth Ancier, Jason Knapp, Jeff Sagansky, Joe Roth, Michael Fuchs, Richard R. Janssen, Richard Sondheimer, Skip Brittenham, Zen Ziffren</t>
        </is>
      </c>
      <c r="N1097" s="22" t="inlineStr">
        <is>
          <t>Angel-Backed</t>
        </is>
      </c>
      <c r="O1097" s="23" t="inlineStr">
        <is>
          <t>Privately Held (backing)</t>
        </is>
      </c>
      <c r="P1097" s="24" t="inlineStr">
        <is>
          <t>Los Angeles, CA</t>
        </is>
      </c>
      <c r="Q1097" s="25" t="inlineStr">
        <is>
          <t>corp.adgreetz.com</t>
        </is>
      </c>
      <c r="R1097" s="113">
        <f>HYPERLINK("https://my.pitchbook.com?c=93935-17", "View company online")</f>
      </c>
    </row>
    <row r="1098">
      <c r="A1098" s="27" t="inlineStr">
        <is>
          <t>172870-12</t>
        </is>
      </c>
      <c r="B1098" s="28" t="inlineStr">
        <is>
          <t>Stardust + Gravity</t>
        </is>
      </c>
      <c r="C1098" s="86">
        <f>HYPERLINK("https://my.pitchbook.com?rrp=172870-12&amp;type=c", "This Company's information is not available to download. Need this Company? Request availability")</f>
      </c>
      <c r="D1098" s="30" t="inlineStr">
        <is>
          <t/>
        </is>
      </c>
      <c r="E1098" s="31" t="inlineStr">
        <is>
          <t/>
        </is>
      </c>
      <c r="F1098" s="32" t="inlineStr">
        <is>
          <t/>
        </is>
      </c>
      <c r="G1098" s="33" t="inlineStr">
        <is>
          <t/>
        </is>
      </c>
      <c r="H1098" s="34" t="inlineStr">
        <is>
          <t/>
        </is>
      </c>
      <c r="I1098" s="35" t="inlineStr">
        <is>
          <t/>
        </is>
      </c>
      <c r="J1098" s="36" t="inlineStr">
        <is>
          <t/>
        </is>
      </c>
      <c r="K1098" s="37" t="inlineStr">
        <is>
          <t/>
        </is>
      </c>
      <c r="L1098" s="38" t="inlineStr">
        <is>
          <t/>
        </is>
      </c>
      <c r="M1098" s="39" t="inlineStr">
        <is>
          <t/>
        </is>
      </c>
      <c r="N1098" s="40" t="inlineStr">
        <is>
          <t/>
        </is>
      </c>
      <c r="O1098" s="41" t="inlineStr">
        <is>
          <t/>
        </is>
      </c>
      <c r="P1098" s="42" t="inlineStr">
        <is>
          <t/>
        </is>
      </c>
      <c r="Q1098" s="43" t="inlineStr">
        <is>
          <t/>
        </is>
      </c>
      <c r="R1098" s="44" t="inlineStr">
        <is>
          <t/>
        </is>
      </c>
    </row>
    <row r="1099">
      <c r="A1099" s="9" t="inlineStr">
        <is>
          <t>166797-01</t>
        </is>
      </c>
      <c r="B1099" s="10" t="inlineStr">
        <is>
          <t>Starbird Chicken</t>
        </is>
      </c>
      <c r="C1099" s="11" t="n">
        <v>0.12000266715666734</v>
      </c>
      <c r="D1099" s="12" t="n">
        <v>0.5642843865025148</v>
      </c>
      <c r="E1099" s="13" t="inlineStr">
        <is>
          <t/>
        </is>
      </c>
      <c r="F1099" s="14" t="n">
        <v>7.0</v>
      </c>
      <c r="G1099" s="15" t="n">
        <v>1285.0</v>
      </c>
      <c r="H1099" s="16" t="n">
        <v>99.0</v>
      </c>
      <c r="I1099" s="17" t="inlineStr">
        <is>
          <t/>
        </is>
      </c>
      <c r="J1099" s="18" t="n">
        <v>5.0</v>
      </c>
      <c r="K1099" s="19" t="inlineStr">
        <is>
          <t>Food Products</t>
        </is>
      </c>
      <c r="L1099" s="20" t="inlineStr">
        <is>
          <t>Owner and operator of a fast food restaurant chain in California. The company offers Chicken and the Egg sandwiches, Maple Bacon Breakfast Taco, Chicken and Waffle Sticks, Breakfast Burrito, Daybreaker Taco and other similar chicken and bread items.</t>
        </is>
      </c>
      <c r="M1099" s="21" t="inlineStr">
        <is>
          <t>Greg Dollarhyde, The Culinary Edge Ventures</t>
        </is>
      </c>
      <c r="N1099" s="22" t="inlineStr">
        <is>
          <t>Accelerator/Incubator Backed</t>
        </is>
      </c>
      <c r="O1099" s="23" t="inlineStr">
        <is>
          <t>Privately Held (backing)</t>
        </is>
      </c>
      <c r="P1099" s="24" t="inlineStr">
        <is>
          <t>Sunnyvale, CA</t>
        </is>
      </c>
      <c r="Q1099" s="25" t="inlineStr">
        <is>
          <t>www.starbirdchicken.com</t>
        </is>
      </c>
      <c r="R1099" s="113">
        <f>HYPERLINK("https://my.pitchbook.com?c=166797-01", "View company online")</f>
      </c>
    </row>
    <row r="1100">
      <c r="A1100" s="27" t="inlineStr">
        <is>
          <t>114464-35</t>
        </is>
      </c>
      <c r="B1100" s="28" t="inlineStr">
        <is>
          <t>Stanson Health</t>
        </is>
      </c>
      <c r="C1100" s="29" t="n">
        <v>0.5349277172279275</v>
      </c>
      <c r="D1100" s="30" t="n">
        <v>0.621888837990533</v>
      </c>
      <c r="E1100" s="31" t="inlineStr">
        <is>
          <t/>
        </is>
      </c>
      <c r="F1100" s="32" t="n">
        <v>33.0</v>
      </c>
      <c r="G1100" s="33" t="inlineStr">
        <is>
          <t/>
        </is>
      </c>
      <c r="H1100" s="34" t="n">
        <v>113.0</v>
      </c>
      <c r="I1100" s="35" t="n">
        <v>20.0</v>
      </c>
      <c r="J1100" s="36" t="n">
        <v>9.2</v>
      </c>
      <c r="K1100" s="37" t="inlineStr">
        <is>
          <t>Other Healthcare</t>
        </is>
      </c>
      <c r="L1100" s="38" t="inlineStr">
        <is>
          <t>Developer of a platform for guiding physicians. The company develops a platform that provides time alerts and relevant analytics to guide and influence physician's decisions.</t>
        </is>
      </c>
      <c r="M1100" s="39" t="inlineStr">
        <is>
          <t/>
        </is>
      </c>
      <c r="N1100" s="40" t="inlineStr">
        <is>
          <t>Angel-Backed</t>
        </is>
      </c>
      <c r="O1100" s="41" t="inlineStr">
        <is>
          <t>Privately Held (backing)</t>
        </is>
      </c>
      <c r="P1100" s="42" t="inlineStr">
        <is>
          <t>Los Angeles, CA</t>
        </is>
      </c>
      <c r="Q1100" s="43" t="inlineStr">
        <is>
          <t>www.stansonhealth.com</t>
        </is>
      </c>
      <c r="R1100" s="114">
        <f>HYPERLINK("https://my.pitchbook.com?c=114464-35", "View company online")</f>
      </c>
    </row>
    <row r="1101">
      <c r="A1101" s="9" t="inlineStr">
        <is>
          <t>59105-89</t>
        </is>
      </c>
      <c r="B1101" s="10" t="inlineStr">
        <is>
          <t>Standing Kitchen</t>
        </is>
      </c>
      <c r="C1101" s="11" t="inlineStr">
        <is>
          <t/>
        </is>
      </c>
      <c r="D1101" s="12" t="inlineStr">
        <is>
          <t/>
        </is>
      </c>
      <c r="E1101" s="13" t="inlineStr">
        <is>
          <t/>
        </is>
      </c>
      <c r="F1101" s="14" t="inlineStr">
        <is>
          <t/>
        </is>
      </c>
      <c r="G1101" s="15" t="inlineStr">
        <is>
          <t/>
        </is>
      </c>
      <c r="H1101" s="16" t="inlineStr">
        <is>
          <t/>
        </is>
      </c>
      <c r="I1101" s="17" t="inlineStr">
        <is>
          <t/>
        </is>
      </c>
      <c r="J1101" s="18" t="n">
        <v>1.02</v>
      </c>
      <c r="K1101" s="19" t="inlineStr">
        <is>
          <t>Restaurants and Bars</t>
        </is>
      </c>
      <c r="L1101" s="20" t="inlineStr">
        <is>
          <t>Operator of restaurant in Los Angeles. The company owns and operates a restaurant offering food products and beverages in Los Angeles, California.</t>
        </is>
      </c>
      <c r="M1101" s="21" t="inlineStr">
        <is>
          <t/>
        </is>
      </c>
      <c r="N1101" s="22" t="inlineStr">
        <is>
          <t>Angel-Backed</t>
        </is>
      </c>
      <c r="O1101" s="23" t="inlineStr">
        <is>
          <t>Privately Held (backing)</t>
        </is>
      </c>
      <c r="P1101" s="24" t="inlineStr">
        <is>
          <t>Los Angeles, CA</t>
        </is>
      </c>
      <c r="Q1101" s="25" t="inlineStr">
        <is>
          <t/>
        </is>
      </c>
      <c r="R1101" s="113">
        <f>HYPERLINK("https://my.pitchbook.com?c=59105-89", "View company online")</f>
      </c>
    </row>
    <row r="1102">
      <c r="A1102" s="27" t="inlineStr">
        <is>
          <t>173987-74</t>
        </is>
      </c>
      <c r="B1102" s="28" t="inlineStr">
        <is>
          <t>Standard Luxury Group</t>
        </is>
      </c>
      <c r="C1102" s="86">
        <f>HYPERLINK("https://my.pitchbook.com?rrp=173987-74&amp;type=c", "This Company's information is not available to download. Need this Company? Request availability")</f>
      </c>
      <c r="D1102" s="30" t="inlineStr">
        <is>
          <t/>
        </is>
      </c>
      <c r="E1102" s="31" t="inlineStr">
        <is>
          <t/>
        </is>
      </c>
      <c r="F1102" s="32" t="inlineStr">
        <is>
          <t/>
        </is>
      </c>
      <c r="G1102" s="33" t="inlineStr">
        <is>
          <t/>
        </is>
      </c>
      <c r="H1102" s="34" t="inlineStr">
        <is>
          <t/>
        </is>
      </c>
      <c r="I1102" s="35" t="inlineStr">
        <is>
          <t/>
        </is>
      </c>
      <c r="J1102" s="36" t="inlineStr">
        <is>
          <t/>
        </is>
      </c>
      <c r="K1102" s="37" t="inlineStr">
        <is>
          <t/>
        </is>
      </c>
      <c r="L1102" s="38" t="inlineStr">
        <is>
          <t/>
        </is>
      </c>
      <c r="M1102" s="39" t="inlineStr">
        <is>
          <t/>
        </is>
      </c>
      <c r="N1102" s="40" t="inlineStr">
        <is>
          <t/>
        </is>
      </c>
      <c r="O1102" s="41" t="inlineStr">
        <is>
          <t/>
        </is>
      </c>
      <c r="P1102" s="42" t="inlineStr">
        <is>
          <t/>
        </is>
      </c>
      <c r="Q1102" s="43" t="inlineStr">
        <is>
          <t/>
        </is>
      </c>
      <c r="R1102" s="44" t="inlineStr">
        <is>
          <t/>
        </is>
      </c>
    </row>
    <row r="1103">
      <c r="A1103" s="9" t="inlineStr">
        <is>
          <t>53405-20</t>
        </is>
      </c>
      <c r="B1103" s="10" t="inlineStr">
        <is>
          <t>Stagee.com</t>
        </is>
      </c>
      <c r="C1103" s="11" t="n">
        <v>0.0</v>
      </c>
      <c r="D1103" s="12" t="n">
        <v>0.15674148724996184</v>
      </c>
      <c r="E1103" s="13" t="inlineStr">
        <is>
          <t/>
        </is>
      </c>
      <c r="F1103" s="14" t="n">
        <v>7.0</v>
      </c>
      <c r="G1103" s="15" t="inlineStr">
        <is>
          <t/>
        </is>
      </c>
      <c r="H1103" s="16" t="n">
        <v>44.0</v>
      </c>
      <c r="I1103" s="17" t="inlineStr">
        <is>
          <t/>
        </is>
      </c>
      <c r="J1103" s="18" t="n">
        <v>0.33</v>
      </c>
      <c r="K1103" s="19" t="inlineStr">
        <is>
          <t>Social/Platform Software</t>
        </is>
      </c>
      <c r="L1103" s="20" t="inlineStr">
        <is>
          <t>Provider of a professional platform for entertainers. The company help entertainers reach new audiences and find professional opportunities by allowing users to upload videos, show reels, tracks, photo spreads, and blog posts; manage social tools and build their audience while earning points for views, votes and ratings.</t>
        </is>
      </c>
      <c r="M1103" s="21" t="inlineStr">
        <is>
          <t>Individual Investor</t>
        </is>
      </c>
      <c r="N1103" s="22" t="inlineStr">
        <is>
          <t>Angel-Backed</t>
        </is>
      </c>
      <c r="O1103" s="23" t="inlineStr">
        <is>
          <t>Privately Held (backing)</t>
        </is>
      </c>
      <c r="P1103" s="24" t="inlineStr">
        <is>
          <t>Palo Alto, CA</t>
        </is>
      </c>
      <c r="Q1103" s="25" t="inlineStr">
        <is>
          <t>www.stagee.com</t>
        </is>
      </c>
      <c r="R1103" s="113">
        <f>HYPERLINK("https://my.pitchbook.com?c=53405-20", "View company online")</f>
      </c>
    </row>
    <row r="1104">
      <c r="A1104" s="27" t="inlineStr">
        <is>
          <t>102983-32</t>
        </is>
      </c>
      <c r="B1104" s="28" t="inlineStr">
        <is>
          <t>Stage Stream</t>
        </is>
      </c>
      <c r="C1104" s="29" t="n">
        <v>-0.04197427565242717</v>
      </c>
      <c r="D1104" s="30" t="n">
        <v>0.8315009925179417</v>
      </c>
      <c r="E1104" s="31" t="inlineStr">
        <is>
          <t/>
        </is>
      </c>
      <c r="F1104" s="32" t="n">
        <v>3.0</v>
      </c>
      <c r="G1104" s="33" t="n">
        <v>228.0</v>
      </c>
      <c r="H1104" s="34" t="n">
        <v>558.0</v>
      </c>
      <c r="I1104" s="35" t="inlineStr">
        <is>
          <t/>
        </is>
      </c>
      <c r="J1104" s="36" t="inlineStr">
        <is>
          <t/>
        </is>
      </c>
      <c r="K1104" s="37" t="inlineStr">
        <is>
          <t>Entertainment Software</t>
        </is>
      </c>
      <c r="L1104" s="38" t="inlineStr">
        <is>
          <t>Owner and operator of an online theatre video marketplace. The company allows audiences to browse theatrical content and makes plays and musicals commercially viable and globally accessible.</t>
        </is>
      </c>
      <c r="M1104" s="39" t="inlineStr">
        <is>
          <t>Wharton Venture Initiation Program</t>
        </is>
      </c>
      <c r="N1104" s="40" t="inlineStr">
        <is>
          <t>Accelerator/Incubator Backed</t>
        </is>
      </c>
      <c r="O1104" s="41" t="inlineStr">
        <is>
          <t>Privately Held (backing)</t>
        </is>
      </c>
      <c r="P1104" s="42" t="inlineStr">
        <is>
          <t>Los Angeles, CA</t>
        </is>
      </c>
      <c r="Q1104" s="43" t="inlineStr">
        <is>
          <t>www.mystagestream.com</t>
        </is>
      </c>
      <c r="R1104" s="114">
        <f>HYPERLINK("https://my.pitchbook.com?c=102983-32", "View company online")</f>
      </c>
    </row>
    <row r="1105">
      <c r="A1105" s="9" t="inlineStr">
        <is>
          <t>89774-38</t>
        </is>
      </c>
      <c r="B1105" s="10" t="inlineStr">
        <is>
          <t>Stage 32</t>
        </is>
      </c>
      <c r="C1105" s="85">
        <f>HYPERLINK("https://my.pitchbook.com?rrp=89774-38&amp;type=c", "This Company's information is not available to download. Need this Company? Request availability")</f>
      </c>
      <c r="D1105" s="12" t="inlineStr">
        <is>
          <t/>
        </is>
      </c>
      <c r="E1105" s="13" t="inlineStr">
        <is>
          <t/>
        </is>
      </c>
      <c r="F1105" s="14" t="inlineStr">
        <is>
          <t/>
        </is>
      </c>
      <c r="G1105" s="15" t="inlineStr">
        <is>
          <t/>
        </is>
      </c>
      <c r="H1105" s="16" t="inlineStr">
        <is>
          <t/>
        </is>
      </c>
      <c r="I1105" s="17" t="inlineStr">
        <is>
          <t/>
        </is>
      </c>
      <c r="J1105" s="18" t="inlineStr">
        <is>
          <t/>
        </is>
      </c>
      <c r="K1105" s="19" t="inlineStr">
        <is>
          <t/>
        </is>
      </c>
      <c r="L1105" s="20" t="inlineStr">
        <is>
          <t/>
        </is>
      </c>
      <c r="M1105" s="21" t="inlineStr">
        <is>
          <t/>
        </is>
      </c>
      <c r="N1105" s="22" t="inlineStr">
        <is>
          <t/>
        </is>
      </c>
      <c r="O1105" s="23" t="inlineStr">
        <is>
          <t/>
        </is>
      </c>
      <c r="P1105" s="24" t="inlineStr">
        <is>
          <t/>
        </is>
      </c>
      <c r="Q1105" s="25" t="inlineStr">
        <is>
          <t/>
        </is>
      </c>
      <c r="R1105" s="26" t="inlineStr">
        <is>
          <t/>
        </is>
      </c>
    </row>
    <row r="1106">
      <c r="A1106" s="27" t="inlineStr">
        <is>
          <t>121577-86</t>
        </is>
      </c>
      <c r="B1106" s="28" t="inlineStr">
        <is>
          <t>Stafr</t>
        </is>
      </c>
      <c r="C1106" s="29" t="inlineStr">
        <is>
          <t/>
        </is>
      </c>
      <c r="D1106" s="30" t="inlineStr">
        <is>
          <t/>
        </is>
      </c>
      <c r="E1106" s="31" t="inlineStr">
        <is>
          <t/>
        </is>
      </c>
      <c r="F1106" s="32" t="inlineStr">
        <is>
          <t/>
        </is>
      </c>
      <c r="G1106" s="33" t="inlineStr">
        <is>
          <t/>
        </is>
      </c>
      <c r="H1106" s="34" t="inlineStr">
        <is>
          <t/>
        </is>
      </c>
      <c r="I1106" s="35" t="inlineStr">
        <is>
          <t/>
        </is>
      </c>
      <c r="J1106" s="36" t="n">
        <v>0.1</v>
      </c>
      <c r="K1106" s="37" t="inlineStr">
        <is>
          <t>Social/Platform Software</t>
        </is>
      </c>
      <c r="L1106" s="38" t="inlineStr">
        <is>
          <t>Developer of a platform to provide hiring services. The company helps businesses in hiring, managing and paying temporary staff.</t>
        </is>
      </c>
      <c r="M1106" s="39" t="inlineStr">
        <is>
          <t>Boomtown Accelerator, Sohin Shah, Steve Taylor</t>
        </is>
      </c>
      <c r="N1106" s="40" t="inlineStr">
        <is>
          <t>Accelerator/Incubator Backed</t>
        </is>
      </c>
      <c r="O1106" s="41" t="inlineStr">
        <is>
          <t>Privately Held (backing)</t>
        </is>
      </c>
      <c r="P1106" s="42" t="inlineStr">
        <is>
          <t>San Francisco, CA</t>
        </is>
      </c>
      <c r="Q1106" s="43" t="inlineStr">
        <is>
          <t>www.stafr.co</t>
        </is>
      </c>
      <c r="R1106" s="114">
        <f>HYPERLINK("https://my.pitchbook.com?c=121577-86", "View company online")</f>
      </c>
    </row>
    <row r="1107">
      <c r="A1107" s="9" t="inlineStr">
        <is>
          <t>86501-62</t>
        </is>
      </c>
      <c r="B1107" s="10" t="inlineStr">
        <is>
          <t>Staff'n</t>
        </is>
      </c>
      <c r="C1107" s="11" t="n">
        <v>0.07500328860507184</v>
      </c>
      <c r="D1107" s="12" t="n">
        <v>0.2400333984895518</v>
      </c>
      <c r="E1107" s="13" t="inlineStr">
        <is>
          <t/>
        </is>
      </c>
      <c r="F1107" s="14" t="n">
        <v>8.0</v>
      </c>
      <c r="G1107" s="15" t="n">
        <v>136.0</v>
      </c>
      <c r="H1107" s="16" t="n">
        <v>127.0</v>
      </c>
      <c r="I1107" s="17" t="n">
        <v>2.0</v>
      </c>
      <c r="J1107" s="18" t="inlineStr">
        <is>
          <t/>
        </is>
      </c>
      <c r="K1107" s="19" t="inlineStr">
        <is>
          <t>Other Media</t>
        </is>
      </c>
      <c r="L1107" s="20" t="inlineStr">
        <is>
          <t>Provider of a marketplace for top tier freelance business writers. The company matches business projects to qualified writers and facilitate easy online timelogs and payments. It enables discovery and hiring of top freelance writers.</t>
        </is>
      </c>
      <c r="M1107" s="21" t="inlineStr">
        <is>
          <t>FFL Startup Accelerator, GV, Startup Labs</t>
        </is>
      </c>
      <c r="N1107" s="22" t="inlineStr">
        <is>
          <t>Accelerator/Incubator Backed</t>
        </is>
      </c>
      <c r="O1107" s="23" t="inlineStr">
        <is>
          <t>Privately Held (backing)</t>
        </is>
      </c>
      <c r="P1107" s="24" t="inlineStr">
        <is>
          <t>Palo Alto, CA</t>
        </is>
      </c>
      <c r="Q1107" s="25" t="inlineStr">
        <is>
          <t>www.copywritercentral.com</t>
        </is>
      </c>
      <c r="R1107" s="113">
        <f>HYPERLINK("https://my.pitchbook.com?c=86501-62", "View company online")</f>
      </c>
    </row>
    <row r="1108">
      <c r="A1108" s="27" t="inlineStr">
        <is>
          <t>63596-35</t>
        </is>
      </c>
      <c r="B1108" s="28" t="inlineStr">
        <is>
          <t>Staff Ranker</t>
        </is>
      </c>
      <c r="C1108" s="29" t="n">
        <v>0.0</v>
      </c>
      <c r="D1108" s="30" t="n">
        <v>0.3305848221102458</v>
      </c>
      <c r="E1108" s="31" t="inlineStr">
        <is>
          <t/>
        </is>
      </c>
      <c r="F1108" s="32" t="n">
        <v>23.0</v>
      </c>
      <c r="G1108" s="33" t="inlineStr">
        <is>
          <t/>
        </is>
      </c>
      <c r="H1108" s="34" t="n">
        <v>14.0</v>
      </c>
      <c r="I1108" s="35" t="n">
        <v>5.0</v>
      </c>
      <c r="J1108" s="36" t="n">
        <v>0.67</v>
      </c>
      <c r="K1108" s="37" t="inlineStr">
        <is>
          <t>Business/Productivity Software</t>
        </is>
      </c>
      <c r="L1108" s="38" t="inlineStr">
        <is>
          <t>Developer of performance management technologies. The company provides cloud-based performance management software to track, train and evaluate employees in the retail, hospitality and food service industries.</t>
        </is>
      </c>
      <c r="M1108" s="39" t="inlineStr">
        <is>
          <t>Individual Investor, Pasadena Angels, Richard Chino, Wavemaker Partners</t>
        </is>
      </c>
      <c r="N1108" s="40" t="inlineStr">
        <is>
          <t>Angel-Backed</t>
        </is>
      </c>
      <c r="O1108" s="41" t="inlineStr">
        <is>
          <t>Privately Held (backing)</t>
        </is>
      </c>
      <c r="P1108" s="42" t="inlineStr">
        <is>
          <t>Redondo Beach, CA</t>
        </is>
      </c>
      <c r="Q1108" s="43" t="inlineStr">
        <is>
          <t>www.staffranker.com</t>
        </is>
      </c>
      <c r="R1108" s="114">
        <f>HYPERLINK("https://my.pitchbook.com?c=63596-35", "View company online")</f>
      </c>
    </row>
    <row r="1109">
      <c r="A1109" s="9" t="inlineStr">
        <is>
          <t>122291-47</t>
        </is>
      </c>
      <c r="B1109" s="10" t="inlineStr">
        <is>
          <t>Stadia</t>
        </is>
      </c>
      <c r="C1109" s="11" t="inlineStr">
        <is>
          <t/>
        </is>
      </c>
      <c r="D1109" s="12" t="inlineStr">
        <is>
          <t/>
        </is>
      </c>
      <c r="E1109" s="13" t="inlineStr">
        <is>
          <t/>
        </is>
      </c>
      <c r="F1109" s="14" t="inlineStr">
        <is>
          <t/>
        </is>
      </c>
      <c r="G1109" s="15" t="inlineStr">
        <is>
          <t/>
        </is>
      </c>
      <c r="H1109" s="16" t="inlineStr">
        <is>
          <t/>
        </is>
      </c>
      <c r="I1109" s="17" t="inlineStr">
        <is>
          <t/>
        </is>
      </c>
      <c r="J1109" s="18" t="inlineStr">
        <is>
          <t/>
        </is>
      </c>
      <c r="K1109" s="19" t="inlineStr">
        <is>
          <t>Social/Platform Software</t>
        </is>
      </c>
      <c r="L1109" s="20" t="inlineStr">
        <is>
          <t>Provider of an online sports management platform. The company offers a Web-based platform that enables users to officiate and administrate sports teams and entire leagues online.</t>
        </is>
      </c>
      <c r="M1109" s="21" t="inlineStr">
        <is>
          <t>Founder Institute</t>
        </is>
      </c>
      <c r="N1109" s="22" t="inlineStr">
        <is>
          <t>Accelerator/Incubator Backed</t>
        </is>
      </c>
      <c r="O1109" s="23" t="inlineStr">
        <is>
          <t>Privately Held (backing)</t>
        </is>
      </c>
      <c r="P1109" s="24" t="inlineStr">
        <is>
          <t>San Francisco, CA</t>
        </is>
      </c>
      <c r="Q1109" s="25" t="inlineStr">
        <is>
          <t/>
        </is>
      </c>
      <c r="R1109" s="113">
        <f>HYPERLINK("https://my.pitchbook.com?c=122291-47", "View company online")</f>
      </c>
    </row>
    <row r="1110">
      <c r="A1110" s="27" t="inlineStr">
        <is>
          <t>108545-23</t>
        </is>
      </c>
      <c r="B1110" s="28" t="inlineStr">
        <is>
          <t>StackRox</t>
        </is>
      </c>
      <c r="C1110" s="29" t="n">
        <v>0.5310310130060205</v>
      </c>
      <c r="D1110" s="30" t="n">
        <v>0.4122209876999855</v>
      </c>
      <c r="E1110" s="31" t="inlineStr">
        <is>
          <t/>
        </is>
      </c>
      <c r="F1110" s="32" t="n">
        <v>21.0</v>
      </c>
      <c r="G1110" s="33" t="n">
        <v>52.0</v>
      </c>
      <c r="H1110" s="34" t="n">
        <v>158.0</v>
      </c>
      <c r="I1110" s="35" t="n">
        <v>30.0</v>
      </c>
      <c r="J1110" s="36" t="n">
        <v>10.0</v>
      </c>
      <c r="K1110" s="37" t="inlineStr">
        <is>
          <t>Social/Platform Software</t>
        </is>
      </c>
      <c r="L1110" s="38" t="inlineStr">
        <is>
          <t>Provider of a cloud computing platform providing cyber-security. The company offers a software that provides cyber security and cloud computing services for the enterprises.</t>
        </is>
      </c>
      <c r="M1110" s="39" t="inlineStr">
        <is>
          <t/>
        </is>
      </c>
      <c r="N1110" s="40" t="inlineStr">
        <is>
          <t>Angel-Backed</t>
        </is>
      </c>
      <c r="O1110" s="41" t="inlineStr">
        <is>
          <t>Privately Held (backing)</t>
        </is>
      </c>
      <c r="P1110" s="42" t="inlineStr">
        <is>
          <t>Mountain View, CA</t>
        </is>
      </c>
      <c r="Q1110" s="43" t="inlineStr">
        <is>
          <t>www.stackrox.com</t>
        </is>
      </c>
      <c r="R1110" s="114">
        <f>HYPERLINK("https://my.pitchbook.com?c=108545-23", "View company online")</f>
      </c>
    </row>
    <row r="1111">
      <c r="A1111" s="9" t="inlineStr">
        <is>
          <t>172112-14</t>
        </is>
      </c>
      <c r="B1111" s="10" t="inlineStr">
        <is>
          <t>Stackmasters</t>
        </is>
      </c>
      <c r="C1111" s="11" t="n">
        <v>1.5432773383187213</v>
      </c>
      <c r="D1111" s="12" t="n">
        <v>1.2618368552782702</v>
      </c>
      <c r="E1111" s="13" t="inlineStr">
        <is>
          <t/>
        </is>
      </c>
      <c r="F1111" s="14" t="n">
        <v>25.0</v>
      </c>
      <c r="G1111" s="15" t="n">
        <v>2000.0</v>
      </c>
      <c r="H1111" s="16" t="n">
        <v>418.0</v>
      </c>
      <c r="I1111" s="17" t="inlineStr">
        <is>
          <t/>
        </is>
      </c>
      <c r="J1111" s="18" t="inlineStr">
        <is>
          <t/>
        </is>
      </c>
      <c r="K1111" s="19" t="inlineStr">
        <is>
          <t>Business/Productivity Software</t>
        </is>
      </c>
      <c r="L1111" s="20" t="inlineStr">
        <is>
          <t>Provider of a cloud-based platform designed to deliver end-to-end services for growing businesses and enterprises. The company's platform offer a range of services that build end-to-end cloud infrastructures for customers and provides innovative cloud computing services, enabling clients to deal with migration, scale, availability and disaster recovery in the cloud.</t>
        </is>
      </c>
      <c r="M1111" s="21" t="inlineStr">
        <is>
          <t>Starttech Ventures</t>
        </is>
      </c>
      <c r="N1111" s="22" t="inlineStr">
        <is>
          <t>Accelerator/Incubator Backed</t>
        </is>
      </c>
      <c r="O1111" s="23" t="inlineStr">
        <is>
          <t>Privately Held (backing)</t>
        </is>
      </c>
      <c r="P1111" s="24" t="inlineStr">
        <is>
          <t>San Francisco, CA</t>
        </is>
      </c>
      <c r="Q1111" s="25" t="inlineStr">
        <is>
          <t>www.stackmasters.eu</t>
        </is>
      </c>
      <c r="R1111" s="113">
        <f>HYPERLINK("https://my.pitchbook.com?c=172112-14", "View company online")</f>
      </c>
    </row>
    <row r="1112">
      <c r="A1112" s="27" t="inlineStr">
        <is>
          <t>102920-86</t>
        </is>
      </c>
      <c r="B1112" s="28" t="inlineStr">
        <is>
          <t>Stack Labs</t>
        </is>
      </c>
      <c r="C1112" s="29" t="n">
        <v>0.016755527373593503</v>
      </c>
      <c r="D1112" s="30" t="n">
        <v>1.3919049089093303</v>
      </c>
      <c r="E1112" s="31" t="inlineStr">
        <is>
          <t/>
        </is>
      </c>
      <c r="F1112" s="32" t="n">
        <v>39.0</v>
      </c>
      <c r="G1112" s="33" t="n">
        <v>1018.0</v>
      </c>
      <c r="H1112" s="34" t="n">
        <v>776.0</v>
      </c>
      <c r="I1112" s="35" t="n">
        <v>39.0</v>
      </c>
      <c r="J1112" s="36" t="inlineStr">
        <is>
          <t/>
        </is>
      </c>
      <c r="K1112" s="37" t="inlineStr">
        <is>
          <t>Electronics (B2C)</t>
        </is>
      </c>
      <c r="L1112" s="38" t="inlineStr">
        <is>
          <t>Manufacturer of light bulbs with sensors for residential and commercial needs. The company provides real-time motion alert lighting with intuitive controls through smart devices.</t>
        </is>
      </c>
      <c r="M1112" s="39" t="inlineStr">
        <is>
          <t>Bipin Sahni, Plug and Play Tech Center</t>
        </is>
      </c>
      <c r="N1112" s="40" t="inlineStr">
        <is>
          <t>Accelerator/Incubator Backed</t>
        </is>
      </c>
      <c r="O1112" s="41" t="inlineStr">
        <is>
          <t>Privately Held (backing)</t>
        </is>
      </c>
      <c r="P1112" s="42" t="inlineStr">
        <is>
          <t>Menlo Park, CA</t>
        </is>
      </c>
      <c r="Q1112" s="43" t="inlineStr">
        <is>
          <t>www.stacklighting.com</t>
        </is>
      </c>
      <c r="R1112" s="114">
        <f>HYPERLINK("https://my.pitchbook.com?c=102920-86", "View company online")</f>
      </c>
    </row>
    <row r="1113">
      <c r="A1113" s="9" t="inlineStr">
        <is>
          <t>66260-53</t>
        </is>
      </c>
      <c r="B1113" s="10" t="inlineStr">
        <is>
          <t>SRS Acquiom</t>
        </is>
      </c>
      <c r="C1113" s="11" t="n">
        <v>0.44678471438231926</v>
      </c>
      <c r="D1113" s="12" t="n">
        <v>0.3248587570621469</v>
      </c>
      <c r="E1113" s="13" t="inlineStr">
        <is>
          <t/>
        </is>
      </c>
      <c r="F1113" s="14" t="inlineStr">
        <is>
          <t/>
        </is>
      </c>
      <c r="G1113" s="15" t="inlineStr">
        <is>
          <t/>
        </is>
      </c>
      <c r="H1113" s="16" t="inlineStr">
        <is>
          <t/>
        </is>
      </c>
      <c r="I1113" s="17" t="n">
        <v>69.0</v>
      </c>
      <c r="J1113" s="18" t="n">
        <v>6.0</v>
      </c>
      <c r="K1113" s="19" t="inlineStr">
        <is>
          <t>Other Financial Services</t>
        </is>
      </c>
      <c r="L1113" s="20" t="inlineStr">
        <is>
          <t>Provider of shareholder representation, payments administration and escrow investment services to merger parties for managing post-closing activity in private merger and acquisition transactions. The company manages all post-closing matters, including working capital and purchase price adjustments, tax reviews, earnouts, the handling of claims, disputes and litigation, communications with participants, and management and distribution of escrow and expense funds.</t>
        </is>
      </c>
      <c r="M1113" s="21" t="inlineStr">
        <is>
          <t/>
        </is>
      </c>
      <c r="N1113" s="22" t="inlineStr">
        <is>
          <t>Angel-Backed</t>
        </is>
      </c>
      <c r="O1113" s="23" t="inlineStr">
        <is>
          <t>Privately Held (backing)</t>
        </is>
      </c>
      <c r="P1113" s="24" t="inlineStr">
        <is>
          <t>San Francisco, CA</t>
        </is>
      </c>
      <c r="Q1113" s="25" t="inlineStr">
        <is>
          <t/>
        </is>
      </c>
      <c r="R1113" s="113">
        <f>HYPERLINK("https://my.pitchbook.com?c=66260-53", "View company online")</f>
      </c>
    </row>
    <row r="1114">
      <c r="A1114" s="27" t="inlineStr">
        <is>
          <t>90170-38</t>
        </is>
      </c>
      <c r="B1114" s="28" t="inlineStr">
        <is>
          <t>SRECTrade</t>
        </is>
      </c>
      <c r="C1114" s="29" t="n">
        <v>0.24156759769651076</v>
      </c>
      <c r="D1114" s="30" t="n">
        <v>8.589274025051475</v>
      </c>
      <c r="E1114" s="31" t="inlineStr">
        <is>
          <t/>
        </is>
      </c>
      <c r="F1114" s="32" t="n">
        <v>501.0</v>
      </c>
      <c r="G1114" s="33" t="n">
        <v>1009.0</v>
      </c>
      <c r="H1114" s="34" t="n">
        <v>2132.0</v>
      </c>
      <c r="I1114" s="35" t="n">
        <v>23.0</v>
      </c>
      <c r="J1114" s="36" t="n">
        <v>0.5</v>
      </c>
      <c r="K1114" s="37" t="inlineStr">
        <is>
          <t>Other Energy Services</t>
        </is>
      </c>
      <c r="L1114" s="38" t="inlineStr">
        <is>
          <t>Provider of services related to the Solar Renewable Energy Certificate (SREC) markets. The company offers an online marketplace for the transactions, management and auctions of SRECs.</t>
        </is>
      </c>
      <c r="M1114" s="39" t="inlineStr">
        <is>
          <t/>
        </is>
      </c>
      <c r="N1114" s="40" t="inlineStr">
        <is>
          <t>Angel-Backed</t>
        </is>
      </c>
      <c r="O1114" s="41" t="inlineStr">
        <is>
          <t>Privately Held (backing)</t>
        </is>
      </c>
      <c r="P1114" s="42" t="inlineStr">
        <is>
          <t>San Francisco, CA</t>
        </is>
      </c>
      <c r="Q1114" s="43" t="inlineStr">
        <is>
          <t>www.srectrade.com</t>
        </is>
      </c>
      <c r="R1114" s="114">
        <f>HYPERLINK("https://my.pitchbook.com?c=90170-38", "View company online")</f>
      </c>
    </row>
    <row r="1115">
      <c r="A1115" s="9" t="inlineStr">
        <is>
          <t>57455-20</t>
        </is>
      </c>
      <c r="B1115" s="10" t="inlineStr">
        <is>
          <t>SR11 La Pacifica</t>
        </is>
      </c>
      <c r="C1115" s="11" t="inlineStr">
        <is>
          <t/>
        </is>
      </c>
      <c r="D1115" s="12" t="inlineStr">
        <is>
          <t/>
        </is>
      </c>
      <c r="E1115" s="13" t="inlineStr">
        <is>
          <t/>
        </is>
      </c>
      <c r="F1115" s="14" t="inlineStr">
        <is>
          <t/>
        </is>
      </c>
      <c r="G1115" s="15" t="inlineStr">
        <is>
          <t/>
        </is>
      </c>
      <c r="H1115" s="16" t="inlineStr">
        <is>
          <t/>
        </is>
      </c>
      <c r="I1115" s="17" t="inlineStr">
        <is>
          <t/>
        </is>
      </c>
      <c r="J1115" s="18" t="n">
        <v>2.5</v>
      </c>
      <c r="K1115" s="19" t="inlineStr">
        <is>
          <t>Other Business Products and Services</t>
        </is>
      </c>
      <c r="L1115" s="20" t="inlineStr">
        <is>
          <t>The company is currently operating in Stealth mode.</t>
        </is>
      </c>
      <c r="M1115" s="21" t="inlineStr">
        <is>
          <t/>
        </is>
      </c>
      <c r="N1115" s="22" t="inlineStr">
        <is>
          <t>Angel-Backed</t>
        </is>
      </c>
      <c r="O1115" s="23" t="inlineStr">
        <is>
          <t>Privately Held (backing)</t>
        </is>
      </c>
      <c r="P1115" s="24" t="inlineStr">
        <is>
          <t>Solana Beach, CA</t>
        </is>
      </c>
      <c r="Q1115" s="25" t="inlineStr">
        <is>
          <t/>
        </is>
      </c>
      <c r="R1115" s="113">
        <f>HYPERLINK("https://my.pitchbook.com?c=57455-20", "View company online")</f>
      </c>
    </row>
    <row r="1116">
      <c r="A1116" s="27" t="inlineStr">
        <is>
          <t>108872-29</t>
        </is>
      </c>
      <c r="B1116" s="28" t="inlineStr">
        <is>
          <t>SquishClip</t>
        </is>
      </c>
      <c r="C1116" s="29" t="n">
        <v>-0.025448904772759347</v>
      </c>
      <c r="D1116" s="30" t="n">
        <v>0.24081994406239066</v>
      </c>
      <c r="E1116" s="31" t="inlineStr">
        <is>
          <t/>
        </is>
      </c>
      <c r="F1116" s="32" t="n">
        <v>10.0</v>
      </c>
      <c r="G1116" s="33" t="n">
        <v>122.0</v>
      </c>
      <c r="H1116" s="34" t="n">
        <v>96.0</v>
      </c>
      <c r="I1116" s="35" t="inlineStr">
        <is>
          <t/>
        </is>
      </c>
      <c r="J1116" s="36" t="n">
        <v>0.75</v>
      </c>
      <c r="K1116" s="37" t="inlineStr">
        <is>
          <t>Application Software</t>
        </is>
      </c>
      <c r="L1116" s="38" t="inlineStr">
        <is>
          <t>Developer of a collaborative social video application. The company helps in finding, sharing and engaging in video storytelling and collaborative conversations.</t>
        </is>
      </c>
      <c r="M1116" s="39" t="inlineStr">
        <is>
          <t>John Madsen, Julian Lin</t>
        </is>
      </c>
      <c r="N1116" s="40" t="inlineStr">
        <is>
          <t>Angel-Backed</t>
        </is>
      </c>
      <c r="O1116" s="41" t="inlineStr">
        <is>
          <t>Privately Held (backing)</t>
        </is>
      </c>
      <c r="P1116" s="42" t="inlineStr">
        <is>
          <t>San Francisco, CA</t>
        </is>
      </c>
      <c r="Q1116" s="43" t="inlineStr">
        <is>
          <t>www.squishclip.com</t>
        </is>
      </c>
      <c r="R1116" s="114">
        <f>HYPERLINK("https://my.pitchbook.com?c=108872-29", "View company online")</f>
      </c>
    </row>
    <row r="1117">
      <c r="A1117" s="9" t="inlineStr">
        <is>
          <t>66039-94</t>
        </is>
      </c>
      <c r="B1117" s="10" t="inlineStr">
        <is>
          <t>Squawkin</t>
        </is>
      </c>
      <c r="C1117" s="11" t="n">
        <v>-0.011135017093156542</v>
      </c>
      <c r="D1117" s="12" t="n">
        <v>0.4985407899740988</v>
      </c>
      <c r="E1117" s="13" t="inlineStr">
        <is>
          <t/>
        </is>
      </c>
      <c r="F1117" s="14" t="n">
        <v>20.0</v>
      </c>
      <c r="G1117" s="15" t="n">
        <v>519.0</v>
      </c>
      <c r="H1117" s="16" t="n">
        <v>95.0</v>
      </c>
      <c r="I1117" s="17" t="n">
        <v>11.0</v>
      </c>
      <c r="J1117" s="18" t="n">
        <v>2.78</v>
      </c>
      <c r="K1117" s="19" t="inlineStr">
        <is>
          <t>Entertainment Software</t>
        </is>
      </c>
      <c r="L1117" s="20" t="inlineStr">
        <is>
          <t>Provider of a social communication platform. The company allows the users to securely speak the mind through the combination of live audio streaming, photos, text plus location information.</t>
        </is>
      </c>
      <c r="M1117" s="21" t="inlineStr">
        <is>
          <t/>
        </is>
      </c>
      <c r="N1117" s="22" t="inlineStr">
        <is>
          <t>Angel-Backed</t>
        </is>
      </c>
      <c r="O1117" s="23" t="inlineStr">
        <is>
          <t>Privately Held (backing)</t>
        </is>
      </c>
      <c r="P1117" s="24" t="inlineStr">
        <is>
          <t>Pasadena, CA</t>
        </is>
      </c>
      <c r="Q1117" s="25" t="inlineStr">
        <is>
          <t>www.squawkin.com</t>
        </is>
      </c>
      <c r="R1117" s="113">
        <f>HYPERLINK("https://my.pitchbook.com?c=66039-94", "View company online")</f>
      </c>
    </row>
    <row r="1118">
      <c r="A1118" s="27" t="inlineStr">
        <is>
          <t>154979-02</t>
        </is>
      </c>
      <c r="B1118" s="28" t="inlineStr">
        <is>
          <t>Squareggs</t>
        </is>
      </c>
      <c r="C1118" s="29" t="n">
        <v>0.0</v>
      </c>
      <c r="D1118" s="30" t="n">
        <v>0.10810810810810811</v>
      </c>
      <c r="E1118" s="31" t="inlineStr">
        <is>
          <t/>
        </is>
      </c>
      <c r="F1118" s="32" t="n">
        <v>4.0</v>
      </c>
      <c r="G1118" s="33" t="inlineStr">
        <is>
          <t/>
        </is>
      </c>
      <c r="H1118" s="34" t="n">
        <v>23.0</v>
      </c>
      <c r="I1118" s="35" t="inlineStr">
        <is>
          <t/>
        </is>
      </c>
      <c r="J1118" s="36" t="inlineStr">
        <is>
          <t/>
        </is>
      </c>
      <c r="K1118" s="37" t="inlineStr">
        <is>
          <t>Food Products</t>
        </is>
      </c>
      <c r="L1118" s="38" t="inlineStr">
        <is>
          <t>Provider of an online platform for bakery products delivery. The company provides an online platform which offers users to avail bakery products such as breads delivered to their home and connect local bakers to consumers.</t>
        </is>
      </c>
      <c r="M1118" s="39" t="inlineStr">
        <is>
          <t>Plug and Play Tech Center</t>
        </is>
      </c>
      <c r="N1118" s="40" t="inlineStr">
        <is>
          <t>Accelerator/Incubator Backed</t>
        </is>
      </c>
      <c r="O1118" s="41" t="inlineStr">
        <is>
          <t>Privately Held (backing)</t>
        </is>
      </c>
      <c r="P1118" s="42" t="inlineStr">
        <is>
          <t>Alameda, CA</t>
        </is>
      </c>
      <c r="Q1118" s="43" t="inlineStr">
        <is>
          <t>www.squareggs.com</t>
        </is>
      </c>
      <c r="R1118" s="114">
        <f>HYPERLINK("https://my.pitchbook.com?c=154979-02", "View company online")</f>
      </c>
    </row>
    <row r="1119">
      <c r="A1119" s="9" t="inlineStr">
        <is>
          <t>58415-86</t>
        </is>
      </c>
      <c r="B1119" s="10" t="inlineStr">
        <is>
          <t>SquaredOut</t>
        </is>
      </c>
      <c r="C1119" s="11" t="n">
        <v>-0.09182700061966706</v>
      </c>
      <c r="D1119" s="12" t="n">
        <v>2.849179406272258</v>
      </c>
      <c r="E1119" s="13" t="inlineStr">
        <is>
          <t/>
        </is>
      </c>
      <c r="F1119" s="14" t="n">
        <v>122.0</v>
      </c>
      <c r="G1119" s="15" t="n">
        <v>1644.0</v>
      </c>
      <c r="H1119" s="16" t="n">
        <v>977.0</v>
      </c>
      <c r="I1119" s="17" t="n">
        <v>7.0</v>
      </c>
      <c r="J1119" s="18" t="n">
        <v>0.23</v>
      </c>
      <c r="K1119" s="19" t="inlineStr">
        <is>
          <t>Application Software</t>
        </is>
      </c>
      <c r="L1119" s="20" t="inlineStr">
        <is>
          <t>Provider of a social calendaring service for event management. The company develops an online event-driven social calendaring service that allows people and groups of all kinds such as students, businesses and organizations to broadcast their upcoming events and activities through a calendar interface by adding event widgets and distributing across different networks.</t>
        </is>
      </c>
      <c r="M1119" s="21" t="inlineStr">
        <is>
          <t/>
        </is>
      </c>
      <c r="N1119" s="22" t="inlineStr">
        <is>
          <t>Angel-Backed</t>
        </is>
      </c>
      <c r="O1119" s="23" t="inlineStr">
        <is>
          <t>Privately Held (backing)</t>
        </is>
      </c>
      <c r="P1119" s="24" t="inlineStr">
        <is>
          <t>Costa Mesa, CA</t>
        </is>
      </c>
      <c r="Q1119" s="25" t="inlineStr">
        <is>
          <t>www.squaredout.com</t>
        </is>
      </c>
      <c r="R1119" s="113">
        <f>HYPERLINK("https://my.pitchbook.com?c=58415-86", "View company online")</f>
      </c>
    </row>
    <row r="1120">
      <c r="A1120" s="27" t="inlineStr">
        <is>
          <t>110875-42</t>
        </is>
      </c>
      <c r="B1120" s="28" t="inlineStr">
        <is>
          <t>Squamtech</t>
        </is>
      </c>
      <c r="C1120" s="29" t="inlineStr">
        <is>
          <t/>
        </is>
      </c>
      <c r="D1120" s="30" t="inlineStr">
        <is>
          <t/>
        </is>
      </c>
      <c r="E1120" s="31" t="inlineStr">
        <is>
          <t/>
        </is>
      </c>
      <c r="F1120" s="32" t="inlineStr">
        <is>
          <t/>
        </is>
      </c>
      <c r="G1120" s="33" t="inlineStr">
        <is>
          <t/>
        </is>
      </c>
      <c r="H1120" s="34" t="inlineStr">
        <is>
          <t/>
        </is>
      </c>
      <c r="I1120" s="35" t="inlineStr">
        <is>
          <t/>
        </is>
      </c>
      <c r="J1120" s="36" t="n">
        <v>0.01</v>
      </c>
      <c r="K1120" s="37" t="inlineStr">
        <is>
          <t>Logistics</t>
        </is>
      </c>
      <c r="L1120" s="38" t="inlineStr">
        <is>
          <t>Developer of a crowd-sourced logistics and on-demand logistics application. The company allows users to find local businesses nearby that will accept delivery of packages and ship packages on their behalf.</t>
        </is>
      </c>
      <c r="M1120" s="39" t="inlineStr">
        <is>
          <t/>
        </is>
      </c>
      <c r="N1120" s="40" t="inlineStr">
        <is>
          <t>Angel-Backed</t>
        </is>
      </c>
      <c r="O1120" s="41" t="inlineStr">
        <is>
          <t>Privately Held (backing)</t>
        </is>
      </c>
      <c r="P1120" s="42" t="inlineStr">
        <is>
          <t>San Francisco, CA</t>
        </is>
      </c>
      <c r="Q1120" s="43" t="inlineStr">
        <is>
          <t>www.shiploop.com</t>
        </is>
      </c>
      <c r="R1120" s="114">
        <f>HYPERLINK("https://my.pitchbook.com?c=110875-42", "View company online")</f>
      </c>
    </row>
    <row r="1121">
      <c r="A1121" s="9" t="inlineStr">
        <is>
          <t>58971-25</t>
        </is>
      </c>
      <c r="B1121" s="10" t="inlineStr">
        <is>
          <t>SquadUP</t>
        </is>
      </c>
      <c r="C1121" s="11" t="n">
        <v>-0.14004153452889823</v>
      </c>
      <c r="D1121" s="12" t="n">
        <v>19.342257387927987</v>
      </c>
      <c r="E1121" s="13" t="inlineStr">
        <is>
          <t/>
        </is>
      </c>
      <c r="F1121" s="14" t="n">
        <v>964.0</v>
      </c>
      <c r="G1121" s="15" t="n">
        <v>6959.0</v>
      </c>
      <c r="H1121" s="16" t="n">
        <v>5863.0</v>
      </c>
      <c r="I1121" s="17" t="n">
        <v>18.0</v>
      </c>
      <c r="J1121" s="18" t="n">
        <v>1.35</v>
      </c>
      <c r="K1121" s="19" t="inlineStr">
        <is>
          <t>Other Services (B2C Non-Financial)</t>
        </is>
      </c>
      <c r="L1121" s="20" t="inlineStr">
        <is>
          <t>Developer of an event management platform. The company's software allows event planners to host events ranging from bar b ques to poker nights and group dinners for their customers.</t>
        </is>
      </c>
      <c r="M1121" s="21" t="inlineStr">
        <is>
          <t>AlleyNYC</t>
        </is>
      </c>
      <c r="N1121" s="22" t="inlineStr">
        <is>
          <t>Accelerator/Incubator Backed</t>
        </is>
      </c>
      <c r="O1121" s="23" t="inlineStr">
        <is>
          <t>Privately Held (backing)</t>
        </is>
      </c>
      <c r="P1121" s="24" t="inlineStr">
        <is>
          <t>Santa Monica, CA</t>
        </is>
      </c>
      <c r="Q1121" s="25" t="inlineStr">
        <is>
          <t>www.squadup.com</t>
        </is>
      </c>
      <c r="R1121" s="113">
        <f>HYPERLINK("https://my.pitchbook.com?c=58971-25", "View company online")</f>
      </c>
    </row>
    <row r="1122">
      <c r="A1122" s="27" t="inlineStr">
        <is>
          <t>107977-69</t>
        </is>
      </c>
      <c r="B1122" s="28" t="inlineStr">
        <is>
          <t>Squadrone System</t>
        </is>
      </c>
      <c r="C1122" s="29" t="n">
        <v>-0.3122785149491611</v>
      </c>
      <c r="D1122" s="30" t="n">
        <v>15.240733282498205</v>
      </c>
      <c r="E1122" s="31" t="inlineStr">
        <is>
          <t/>
        </is>
      </c>
      <c r="F1122" s="32" t="n">
        <v>157.0</v>
      </c>
      <c r="G1122" s="33" t="n">
        <v>29863.0</v>
      </c>
      <c r="H1122" s="34" t="n">
        <v>5447.0</v>
      </c>
      <c r="I1122" s="35" t="n">
        <v>3.0</v>
      </c>
      <c r="J1122" s="36" t="n">
        <v>5.0</v>
      </c>
      <c r="K1122" s="37" t="inlineStr">
        <is>
          <t>Aerospace and Defense</t>
        </is>
      </c>
      <c r="L1122" s="38" t="inlineStr">
        <is>
          <t>Manufacturer of an autonomous drone for aerial filming. The company manufactures an autonomous drone with a camera that follows its users and films autonomously.</t>
        </is>
      </c>
      <c r="M1122" s="39" t="inlineStr">
        <is>
          <t>Living Water Investment, Startup Maker</t>
        </is>
      </c>
      <c r="N1122" s="40" t="inlineStr">
        <is>
          <t>Accelerator/Incubator Backed</t>
        </is>
      </c>
      <c r="O1122" s="41" t="inlineStr">
        <is>
          <t>Privately Held (backing)</t>
        </is>
      </c>
      <c r="P1122" s="42" t="inlineStr">
        <is>
          <t>Palo Alto, CA</t>
        </is>
      </c>
      <c r="Q1122" s="43" t="inlineStr">
        <is>
          <t>www.hexoplus.com</t>
        </is>
      </c>
      <c r="R1122" s="114">
        <f>HYPERLINK("https://my.pitchbook.com?c=107977-69", "View company online")</f>
      </c>
    </row>
    <row r="1123">
      <c r="A1123" s="9" t="inlineStr">
        <is>
          <t>95323-60</t>
        </is>
      </c>
      <c r="B1123" s="10" t="inlineStr">
        <is>
          <t>Sqeeqee</t>
        </is>
      </c>
      <c r="C1123" s="11" t="n">
        <v>-0.003926195029659077</v>
      </c>
      <c r="D1123" s="12" t="n">
        <v>227.80399008335633</v>
      </c>
      <c r="E1123" s="13" t="inlineStr">
        <is>
          <t/>
        </is>
      </c>
      <c r="F1123" s="14" t="n">
        <v>36.0</v>
      </c>
      <c r="G1123" s="15" t="n">
        <v>7949.0</v>
      </c>
      <c r="H1123" s="16" t="n">
        <v>318437.0</v>
      </c>
      <c r="I1123" s="17" t="n">
        <v>12.0</v>
      </c>
      <c r="J1123" s="18" t="n">
        <v>1.8</v>
      </c>
      <c r="K1123" s="19" t="inlineStr">
        <is>
          <t>Social/Platform Software</t>
        </is>
      </c>
      <c r="L1123" s="20" t="inlineStr">
        <is>
          <t>Developer of a social commerce platform. The company's software allows users to monetize and generate ad revenues from their individual and professional profiles online.</t>
        </is>
      </c>
      <c r="M1123" s="21" t="inlineStr">
        <is>
          <t/>
        </is>
      </c>
      <c r="N1123" s="22" t="inlineStr">
        <is>
          <t>Angel-Backed</t>
        </is>
      </c>
      <c r="O1123" s="23" t="inlineStr">
        <is>
          <t>Privately Held (backing)</t>
        </is>
      </c>
      <c r="P1123" s="24" t="inlineStr">
        <is>
          <t>Irvine, CA</t>
        </is>
      </c>
      <c r="Q1123" s="25" t="inlineStr">
        <is>
          <t>www.sqeeqee.com</t>
        </is>
      </c>
      <c r="R1123" s="113">
        <f>HYPERLINK("https://my.pitchbook.com?c=95323-60", "View company online")</f>
      </c>
    </row>
    <row r="1124">
      <c r="A1124" s="27" t="inlineStr">
        <is>
          <t>96751-99</t>
        </is>
      </c>
      <c r="B1124" s="28" t="inlineStr">
        <is>
          <t>Spyra</t>
        </is>
      </c>
      <c r="C1124" s="29" t="n">
        <v>0.0</v>
      </c>
      <c r="D1124" s="30" t="n">
        <v>0.3416933883035578</v>
      </c>
      <c r="E1124" s="31" t="inlineStr">
        <is>
          <t/>
        </is>
      </c>
      <c r="F1124" s="32" t="n">
        <v>21.0</v>
      </c>
      <c r="G1124" s="33" t="inlineStr">
        <is>
          <t/>
        </is>
      </c>
      <c r="H1124" s="34" t="n">
        <v>41.0</v>
      </c>
      <c r="I1124" s="35" t="n">
        <v>11.0</v>
      </c>
      <c r="J1124" s="36" t="n">
        <v>0.03</v>
      </c>
      <c r="K1124" s="37" t="inlineStr">
        <is>
          <t>Application Software</t>
        </is>
      </c>
      <c r="L1124" s="38" t="inlineStr">
        <is>
          <t>Developer of social strategy games for mobile devices. The company is a mobile gaming studio that creates social strategy games for iPhone, iPad and Android.</t>
        </is>
      </c>
      <c r="M1124" s="39" t="inlineStr">
        <is>
          <t>Plug and Play Tech Center</t>
        </is>
      </c>
      <c r="N1124" s="40" t="inlineStr">
        <is>
          <t>Accelerator/Incubator Backed</t>
        </is>
      </c>
      <c r="O1124" s="41" t="inlineStr">
        <is>
          <t>Privately Held (backing)</t>
        </is>
      </c>
      <c r="P1124" s="42" t="inlineStr">
        <is>
          <t>San Francisco, CA</t>
        </is>
      </c>
      <c r="Q1124" s="43" t="inlineStr">
        <is>
          <t>www.spyragames.com</t>
        </is>
      </c>
      <c r="R1124" s="114">
        <f>HYPERLINK("https://my.pitchbook.com?c=96751-99", "View company online")</f>
      </c>
    </row>
    <row r="1125">
      <c r="A1125" s="9" t="inlineStr">
        <is>
          <t>163506-79</t>
        </is>
      </c>
      <c r="B1125" s="10" t="inlineStr">
        <is>
          <t>Spycob</t>
        </is>
      </c>
      <c r="C1125" s="11" t="n">
        <v>0.0</v>
      </c>
      <c r="D1125" s="12" t="n">
        <v>0.02702702702702703</v>
      </c>
      <c r="E1125" s="13" t="inlineStr">
        <is>
          <t/>
        </is>
      </c>
      <c r="F1125" s="14" t="n">
        <v>1.0</v>
      </c>
      <c r="G1125" s="15" t="inlineStr">
        <is>
          <t/>
        </is>
      </c>
      <c r="H1125" s="16" t="inlineStr">
        <is>
          <t/>
        </is>
      </c>
      <c r="I1125" s="17" t="inlineStr">
        <is>
          <t/>
        </is>
      </c>
      <c r="J1125" s="18" t="inlineStr">
        <is>
          <t/>
        </is>
      </c>
      <c r="K1125" s="19" t="inlineStr">
        <is>
          <t>Social/Platform Software</t>
        </is>
      </c>
      <c r="L1125" s="20" t="inlineStr">
        <is>
          <t>Provider of an online platform for fashion product deals. The company's platform offers big data research for helping sellers research fashion products for resale and increase their revenue.</t>
        </is>
      </c>
      <c r="M1125" s="21" t="inlineStr">
        <is>
          <t>Faster Capital</t>
        </is>
      </c>
      <c r="N1125" s="22" t="inlineStr">
        <is>
          <t>Angel-Backed</t>
        </is>
      </c>
      <c r="O1125" s="23" t="inlineStr">
        <is>
          <t>Privately Held (backing)</t>
        </is>
      </c>
      <c r="P1125" s="24" t="inlineStr">
        <is>
          <t>San Francisco, CA</t>
        </is>
      </c>
      <c r="Q1125" s="25" t="inlineStr">
        <is>
          <t>www.spycob.com</t>
        </is>
      </c>
      <c r="R1125" s="113">
        <f>HYPERLINK("https://my.pitchbook.com?c=163506-79", "View company online")</f>
      </c>
    </row>
    <row r="1126">
      <c r="A1126" s="27" t="inlineStr">
        <is>
          <t>55615-69</t>
        </is>
      </c>
      <c r="B1126" s="28" t="inlineStr">
        <is>
          <t>Spruce Media</t>
        </is>
      </c>
      <c r="C1126" s="29" t="n">
        <v>0.0</v>
      </c>
      <c r="D1126" s="30" t="n">
        <v>1.0810810810810811</v>
      </c>
      <c r="E1126" s="31" t="inlineStr">
        <is>
          <t/>
        </is>
      </c>
      <c r="F1126" s="32" t="n">
        <v>40.0</v>
      </c>
      <c r="G1126" s="33" t="inlineStr">
        <is>
          <t/>
        </is>
      </c>
      <c r="H1126" s="34" t="inlineStr">
        <is>
          <t/>
        </is>
      </c>
      <c r="I1126" s="35" t="n">
        <v>60.0</v>
      </c>
      <c r="J1126" s="36" t="n">
        <v>16.48</v>
      </c>
      <c r="K1126" s="37" t="inlineStr">
        <is>
          <t>Media and Information Services (B2B)</t>
        </is>
      </c>
      <c r="L1126" s="38" t="inlineStr">
        <is>
          <t>Developer of marketing technology specifically for Facebook. The company's marketing technology integrates ad creation, bid management, analytics, and reporting into one interface, which can be licensed or coupled with managed services.</t>
        </is>
      </c>
      <c r="M1126" s="39" t="inlineStr">
        <is>
          <t>Joseph Zawadzki, QED Investors, Shervin Pishevar, Westwood Ventures</t>
        </is>
      </c>
      <c r="N1126" s="40" t="inlineStr">
        <is>
          <t>Angel-Backed</t>
        </is>
      </c>
      <c r="O1126" s="41" t="inlineStr">
        <is>
          <t>Privately Held (backing)</t>
        </is>
      </c>
      <c r="P1126" s="42" t="inlineStr">
        <is>
          <t>San Francisco, CA</t>
        </is>
      </c>
      <c r="Q1126" s="43" t="inlineStr">
        <is>
          <t>sprucemedia.com</t>
        </is>
      </c>
      <c r="R1126" s="114">
        <f>HYPERLINK("https://my.pitchbook.com?c=55615-69", "View company online")</f>
      </c>
    </row>
    <row r="1127">
      <c r="A1127" s="9" t="inlineStr">
        <is>
          <t>123889-33</t>
        </is>
      </c>
      <c r="B1127" s="10" t="inlineStr">
        <is>
          <t>Sprokit</t>
        </is>
      </c>
      <c r="C1127" s="11" t="n">
        <v>0.0</v>
      </c>
      <c r="D1127" s="12" t="n">
        <v>0.2702702702702703</v>
      </c>
      <c r="E1127" s="13" t="inlineStr">
        <is>
          <t/>
        </is>
      </c>
      <c r="F1127" s="14" t="n">
        <v>10.0</v>
      </c>
      <c r="G1127" s="15" t="inlineStr">
        <is>
          <t/>
        </is>
      </c>
      <c r="H1127" s="16" t="inlineStr">
        <is>
          <t/>
        </is>
      </c>
      <c r="I1127" s="17" t="inlineStr">
        <is>
          <t/>
        </is>
      </c>
      <c r="J1127" s="18" t="n">
        <v>0.02</v>
      </c>
      <c r="K1127" s="19" t="inlineStr">
        <is>
          <t>Social/Platform Software</t>
        </is>
      </c>
      <c r="L1127" s="20" t="inlineStr">
        <is>
          <t>Provider of a prisoner rehabilitation platform. The company offers a prisoner rehabilitation platform by managing prisoner communication, helping probation/parole officers with location abilities and helping in lowering recidivism.</t>
        </is>
      </c>
      <c r="M1127" s="21" t="inlineStr">
        <is>
          <t>Ben Jealous, Tumml</t>
        </is>
      </c>
      <c r="N1127" s="22" t="inlineStr">
        <is>
          <t>Accelerator/Incubator Backed</t>
        </is>
      </c>
      <c r="O1127" s="23" t="inlineStr">
        <is>
          <t>Privately Held (backing)</t>
        </is>
      </c>
      <c r="P1127" s="24" t="inlineStr">
        <is>
          <t>San Francisco, CA</t>
        </is>
      </c>
      <c r="Q1127" s="25" t="inlineStr">
        <is>
          <t>www.sprokit.net</t>
        </is>
      </c>
      <c r="R1127" s="113">
        <f>HYPERLINK("https://my.pitchbook.com?c=123889-33", "View company online")</f>
      </c>
    </row>
    <row r="1128">
      <c r="A1128" s="27" t="inlineStr">
        <is>
          <t>161275-24</t>
        </is>
      </c>
      <c r="B1128" s="28" t="inlineStr">
        <is>
          <t>Spritzr</t>
        </is>
      </c>
      <c r="C1128" s="29" t="n">
        <v>-0.038579314563955816</v>
      </c>
      <c r="D1128" s="30" t="n">
        <v>2.2489396939839095</v>
      </c>
      <c r="E1128" s="31" t="inlineStr">
        <is>
          <t/>
        </is>
      </c>
      <c r="F1128" s="32" t="n">
        <v>26.0</v>
      </c>
      <c r="G1128" s="33" t="n">
        <v>2796.0</v>
      </c>
      <c r="H1128" s="34" t="n">
        <v>1458.0</v>
      </c>
      <c r="I1128" s="35" t="inlineStr">
        <is>
          <t/>
        </is>
      </c>
      <c r="J1128" s="36" t="n">
        <v>0.9</v>
      </c>
      <c r="K1128" s="37" t="inlineStr">
        <is>
          <t>Application Software</t>
        </is>
      </c>
      <c r="L1128" s="38" t="inlineStr">
        <is>
          <t>Developer of a matchmaking application. The company's application allows users in a relationship to act as matchmaker and help their friends in finding a date.</t>
        </is>
      </c>
      <c r="M1128" s="39" t="inlineStr">
        <is>
          <t>Brian Goodall, Denise Gitsham, Jeff Griffor, Mario Lazzaroni, Olin Hyde, Sanjit Singh</t>
        </is>
      </c>
      <c r="N1128" s="40" t="inlineStr">
        <is>
          <t>Angel-Backed</t>
        </is>
      </c>
      <c r="O1128" s="41" t="inlineStr">
        <is>
          <t>Privately Held (backing)</t>
        </is>
      </c>
      <c r="P1128" s="42" t="inlineStr">
        <is>
          <t>Carlsbad, CA</t>
        </is>
      </c>
      <c r="Q1128" s="43" t="inlineStr">
        <is>
          <t>www.spritzr.com</t>
        </is>
      </c>
      <c r="R1128" s="114">
        <f>HYPERLINK("https://my.pitchbook.com?c=161275-24", "View company online")</f>
      </c>
    </row>
    <row r="1129">
      <c r="A1129" s="9" t="inlineStr">
        <is>
          <t>118308-52</t>
        </is>
      </c>
      <c r="B1129" s="10" t="inlineStr">
        <is>
          <t>SprintRay</t>
        </is>
      </c>
      <c r="C1129" s="11" t="n">
        <v>0.09220366604824905</v>
      </c>
      <c r="D1129" s="12" t="n">
        <v>3.9073034240683473</v>
      </c>
      <c r="E1129" s="13" t="inlineStr">
        <is>
          <t/>
        </is>
      </c>
      <c r="F1129" s="14" t="n">
        <v>23.0</v>
      </c>
      <c r="G1129" s="15" t="n">
        <v>10333.0</v>
      </c>
      <c r="H1129" s="16" t="n">
        <v>550.0</v>
      </c>
      <c r="I1129" s="17" t="inlineStr">
        <is>
          <t/>
        </is>
      </c>
      <c r="J1129" s="18" t="inlineStr">
        <is>
          <t/>
        </is>
      </c>
      <c r="K1129" s="19" t="inlineStr">
        <is>
          <t>Electronics (B2C)</t>
        </is>
      </c>
      <c r="L1129" s="20" t="inlineStr">
        <is>
          <t>Manufacturer of 3D printers and software. The company manufactures 3D printer which uses UV digital light processing technology for printing. It also offers printing materials and develops a software for 3d printing.</t>
        </is>
      </c>
      <c r="M1129" s="21" t="inlineStr">
        <is>
          <t/>
        </is>
      </c>
      <c r="N1129" s="22" t="inlineStr">
        <is>
          <t>Angel-Backed</t>
        </is>
      </c>
      <c r="O1129" s="23" t="inlineStr">
        <is>
          <t>Privately Held (backing)</t>
        </is>
      </c>
      <c r="P1129" s="24" t="inlineStr">
        <is>
          <t>Los Angeles, CA</t>
        </is>
      </c>
      <c r="Q1129" s="25" t="inlineStr">
        <is>
          <t>www.sprintray.com</t>
        </is>
      </c>
      <c r="R1129" s="113">
        <f>HYPERLINK("https://my.pitchbook.com?c=118308-52", "View company online")</f>
      </c>
    </row>
    <row r="1130">
      <c r="A1130" s="27" t="inlineStr">
        <is>
          <t>57357-73</t>
        </is>
      </c>
      <c r="B1130" s="28" t="inlineStr">
        <is>
          <t>Springshot</t>
        </is>
      </c>
      <c r="C1130" s="29" t="n">
        <v>0.0</v>
      </c>
      <c r="D1130" s="30" t="n">
        <v>0.34352572911894946</v>
      </c>
      <c r="E1130" s="31" t="inlineStr">
        <is>
          <t/>
        </is>
      </c>
      <c r="F1130" s="32" t="n">
        <v>18.0</v>
      </c>
      <c r="G1130" s="33" t="inlineStr">
        <is>
          <t/>
        </is>
      </c>
      <c r="H1130" s="34" t="n">
        <v>70.0</v>
      </c>
      <c r="I1130" s="35" t="n">
        <v>16.0</v>
      </c>
      <c r="J1130" s="36" t="n">
        <v>3.6</v>
      </c>
      <c r="K1130" s="37" t="inlineStr">
        <is>
          <t>Human Capital Services</t>
        </is>
      </c>
      <c r="L1130" s="38" t="inlineStr">
        <is>
          <t>Provider of mobile applications for work schedules and assignments. The company offers task collaboration services and helps in developing mobile applications that deliver training, work schedules and assignments for service employees in the commercial aviation, hospitality, janitorial and private security sectors.</t>
        </is>
      </c>
      <c r="M1130" s="39" t="inlineStr">
        <is>
          <t>Plug and Play Tech Center</t>
        </is>
      </c>
      <c r="N1130" s="40" t="inlineStr">
        <is>
          <t>Angel-Backed</t>
        </is>
      </c>
      <c r="O1130" s="41" t="inlineStr">
        <is>
          <t>Privately Held (backing)</t>
        </is>
      </c>
      <c r="P1130" s="42" t="inlineStr">
        <is>
          <t>San Francisco, CA</t>
        </is>
      </c>
      <c r="Q1130" s="43" t="inlineStr">
        <is>
          <t>www.springshot.com</t>
        </is>
      </c>
      <c r="R1130" s="114">
        <f>HYPERLINK("https://my.pitchbook.com?c=57357-73", "View company online")</f>
      </c>
    </row>
    <row r="1131">
      <c r="A1131" s="9" t="inlineStr">
        <is>
          <t>104408-20</t>
        </is>
      </c>
      <c r="B1131" s="10" t="inlineStr">
        <is>
          <t>Springrole</t>
        </is>
      </c>
      <c r="C1131" s="11" t="n">
        <v>-0.020754371166643554</v>
      </c>
      <c r="D1131" s="12" t="n">
        <v>2.894182412752788</v>
      </c>
      <c r="E1131" s="13" t="inlineStr">
        <is>
          <t/>
        </is>
      </c>
      <c r="F1131" s="14" t="n">
        <v>33.0</v>
      </c>
      <c r="G1131" s="15" t="n">
        <v>5442.0</v>
      </c>
      <c r="H1131" s="16" t="n">
        <v>1054.0</v>
      </c>
      <c r="I1131" s="17" t="n">
        <v>10.0</v>
      </c>
      <c r="J1131" s="18" t="inlineStr">
        <is>
          <t/>
        </is>
      </c>
      <c r="K1131" s="19" t="inlineStr">
        <is>
          <t>Social/Platform Software</t>
        </is>
      </c>
      <c r="L1131" s="20" t="inlineStr">
        <is>
          <t>Provider of an online recruitment platform. The company's database helps its client companies to find candidates matching their requirements via a curated platform, allowing referral system.</t>
        </is>
      </c>
      <c r="M1131" s="21" t="inlineStr">
        <is>
          <t>Bloomberg Beta, Cok Mudde, Mike Jones, Peter Kellner, Ron Mahabir, Science</t>
        </is>
      </c>
      <c r="N1131" s="22" t="inlineStr">
        <is>
          <t>Accelerator/Incubator Backed</t>
        </is>
      </c>
      <c r="O1131" s="23" t="inlineStr">
        <is>
          <t>Privately Held (backing)</t>
        </is>
      </c>
      <c r="P1131" s="24" t="inlineStr">
        <is>
          <t>Santa Monica, CA</t>
        </is>
      </c>
      <c r="Q1131" s="25" t="inlineStr">
        <is>
          <t>www.springrole.com</t>
        </is>
      </c>
      <c r="R1131" s="113">
        <f>HYPERLINK("https://my.pitchbook.com?c=104408-20", "View company online")</f>
      </c>
    </row>
    <row r="1132">
      <c r="A1132" s="27" t="inlineStr">
        <is>
          <t>120489-85</t>
        </is>
      </c>
      <c r="B1132" s="28" t="inlineStr">
        <is>
          <t>Spring Fertility Management</t>
        </is>
      </c>
      <c r="C1132" s="29" t="inlineStr">
        <is>
          <t/>
        </is>
      </c>
      <c r="D1132" s="30" t="inlineStr">
        <is>
          <t/>
        </is>
      </c>
      <c r="E1132" s="31" t="inlineStr">
        <is>
          <t/>
        </is>
      </c>
      <c r="F1132" s="32" t="inlineStr">
        <is>
          <t/>
        </is>
      </c>
      <c r="G1132" s="33" t="inlineStr">
        <is>
          <t/>
        </is>
      </c>
      <c r="H1132" s="34" t="inlineStr">
        <is>
          <t/>
        </is>
      </c>
      <c r="I1132" s="35" t="inlineStr">
        <is>
          <t/>
        </is>
      </c>
      <c r="J1132" s="36" t="n">
        <v>3.0</v>
      </c>
      <c r="K1132" s="37" t="inlineStr">
        <is>
          <t>Other Business Products and Services</t>
        </is>
      </c>
      <c r="L1132" s="38" t="inlineStr">
        <is>
          <t>The company is currently operating in Stealth mode. At time of research, no business description available; please update Business Description.</t>
        </is>
      </c>
      <c r="M1132" s="39" t="inlineStr">
        <is>
          <t/>
        </is>
      </c>
      <c r="N1132" s="40" t="inlineStr">
        <is>
          <t>Angel-Backed</t>
        </is>
      </c>
      <c r="O1132" s="41" t="inlineStr">
        <is>
          <t>Privately Held (backing)</t>
        </is>
      </c>
      <c r="P1132" s="42" t="inlineStr">
        <is>
          <t>San Francisco, CA</t>
        </is>
      </c>
      <c r="Q1132" s="43" t="inlineStr">
        <is>
          <t/>
        </is>
      </c>
      <c r="R1132" s="114">
        <f>HYPERLINK("https://my.pitchbook.com?c=120489-85", "View company online")</f>
      </c>
    </row>
    <row r="1133">
      <c r="A1133" s="9" t="inlineStr">
        <is>
          <t>157222-00</t>
        </is>
      </c>
      <c r="B1133" s="10" t="inlineStr">
        <is>
          <t>Sprimo</t>
        </is>
      </c>
      <c r="C1133" s="11" t="n">
        <v>0.46022037380591185</v>
      </c>
      <c r="D1133" s="12" t="n">
        <v>1.7685778920303608</v>
      </c>
      <c r="E1133" s="13" t="inlineStr">
        <is>
          <t/>
        </is>
      </c>
      <c r="F1133" s="14" t="n">
        <v>75.0</v>
      </c>
      <c r="G1133" s="15" t="n">
        <v>1626.0</v>
      </c>
      <c r="H1133" s="16" t="n">
        <v>333.0</v>
      </c>
      <c r="I1133" s="17" t="inlineStr">
        <is>
          <t/>
        </is>
      </c>
      <c r="J1133" s="18" t="inlineStr">
        <is>
          <t/>
        </is>
      </c>
      <c r="K1133" s="19" t="inlineStr">
        <is>
          <t>Electronics (B2C)</t>
        </is>
      </c>
      <c r="L1133" s="20" t="inlineStr">
        <is>
          <t>Manufacturer of an air purifier designed to purify the cleanliness of the environment. The company's air purifier delivers a blanket of clean air based on data derived from real-world experiments to improve air quality in the spaces where their customers spend the most time, enabling them with clean air for breathing.</t>
        </is>
      </c>
      <c r="M1133" s="21" t="inlineStr">
        <is>
          <t>Plug and Play Tech Center</t>
        </is>
      </c>
      <c r="N1133" s="22" t="inlineStr">
        <is>
          <t>Accelerator/Incubator Backed</t>
        </is>
      </c>
      <c r="O1133" s="23" t="inlineStr">
        <is>
          <t>Privately Held (backing)</t>
        </is>
      </c>
      <c r="P1133" s="24" t="inlineStr">
        <is>
          <t>Santa Clara, CA</t>
        </is>
      </c>
      <c r="Q1133" s="25" t="inlineStr">
        <is>
          <t>www.sprimo.com</t>
        </is>
      </c>
      <c r="R1133" s="113">
        <f>HYPERLINK("https://my.pitchbook.com?c=157222-00", "View company online")</f>
      </c>
    </row>
    <row r="1134">
      <c r="A1134" s="27" t="inlineStr">
        <is>
          <t>120202-84</t>
        </is>
      </c>
      <c r="B1134" s="28" t="inlineStr">
        <is>
          <t>Spray Networks</t>
        </is>
      </c>
      <c r="C1134" s="86">
        <f>HYPERLINK("https://my.pitchbook.com?rrp=120202-84&amp;type=c", "This Company's information is not available to download. Need this Company? Request availability")</f>
      </c>
      <c r="D1134" s="30" t="inlineStr">
        <is>
          <t/>
        </is>
      </c>
      <c r="E1134" s="31" t="inlineStr">
        <is>
          <t/>
        </is>
      </c>
      <c r="F1134" s="32" t="inlineStr">
        <is>
          <t/>
        </is>
      </c>
      <c r="G1134" s="33" t="inlineStr">
        <is>
          <t/>
        </is>
      </c>
      <c r="H1134" s="34" t="inlineStr">
        <is>
          <t/>
        </is>
      </c>
      <c r="I1134" s="35" t="inlineStr">
        <is>
          <t/>
        </is>
      </c>
      <c r="J1134" s="36" t="inlineStr">
        <is>
          <t/>
        </is>
      </c>
      <c r="K1134" s="37" t="inlineStr">
        <is>
          <t/>
        </is>
      </c>
      <c r="L1134" s="38" t="inlineStr">
        <is>
          <t/>
        </is>
      </c>
      <c r="M1134" s="39" t="inlineStr">
        <is>
          <t/>
        </is>
      </c>
      <c r="N1134" s="40" t="inlineStr">
        <is>
          <t/>
        </is>
      </c>
      <c r="O1134" s="41" t="inlineStr">
        <is>
          <t/>
        </is>
      </c>
      <c r="P1134" s="42" t="inlineStr">
        <is>
          <t/>
        </is>
      </c>
      <c r="Q1134" s="43" t="inlineStr">
        <is>
          <t/>
        </is>
      </c>
      <c r="R1134" s="44" t="inlineStr">
        <is>
          <t/>
        </is>
      </c>
    </row>
    <row r="1135">
      <c r="A1135" s="9" t="inlineStr">
        <is>
          <t>99242-20</t>
        </is>
      </c>
      <c r="B1135" s="10" t="inlineStr">
        <is>
          <t>Spracht</t>
        </is>
      </c>
      <c r="C1135" s="11" t="n">
        <v>-0.24419996208574993</v>
      </c>
      <c r="D1135" s="12" t="n">
        <v>3.214334937105755</v>
      </c>
      <c r="E1135" s="13" t="inlineStr">
        <is>
          <t/>
        </is>
      </c>
      <c r="F1135" s="14" t="n">
        <v>129.0</v>
      </c>
      <c r="G1135" s="15" t="n">
        <v>862.0</v>
      </c>
      <c r="H1135" s="16" t="n">
        <v>1705.0</v>
      </c>
      <c r="I1135" s="17" t="n">
        <v>6.0</v>
      </c>
      <c r="J1135" s="18" t="n">
        <v>5.7</v>
      </c>
      <c r="K1135" s="19" t="inlineStr">
        <is>
          <t>Electronics (B2C)</t>
        </is>
      </c>
      <c r="L1135" s="20" t="inlineStr">
        <is>
          <t>Developer of consumer based audio devices. The company develops consumer based audio devices including headphones, speakers, wireless speaker sets and stereo headsets.</t>
        </is>
      </c>
      <c r="M1135" s="21" t="inlineStr">
        <is>
          <t/>
        </is>
      </c>
      <c r="N1135" s="22" t="inlineStr">
        <is>
          <t>Angel-Backed</t>
        </is>
      </c>
      <c r="O1135" s="23" t="inlineStr">
        <is>
          <t>Privately Held (backing)</t>
        </is>
      </c>
      <c r="P1135" s="24" t="inlineStr">
        <is>
          <t>Palo Alto, CA</t>
        </is>
      </c>
      <c r="Q1135" s="25" t="inlineStr">
        <is>
          <t>www.spracht.com</t>
        </is>
      </c>
      <c r="R1135" s="113">
        <f>HYPERLINK("https://my.pitchbook.com?c=99242-20", "View company online")</f>
      </c>
    </row>
    <row r="1136">
      <c r="A1136" s="27" t="inlineStr">
        <is>
          <t>90167-86</t>
        </is>
      </c>
      <c r="B1136" s="28" t="inlineStr">
        <is>
          <t>Spout</t>
        </is>
      </c>
      <c r="C1136" s="29" t="n">
        <v>-0.02770493944069771</v>
      </c>
      <c r="D1136" s="30" t="n">
        <v>0.1709484355394451</v>
      </c>
      <c r="E1136" s="31" t="inlineStr">
        <is>
          <t/>
        </is>
      </c>
      <c r="F1136" s="32" t="n">
        <v>6.0</v>
      </c>
      <c r="G1136" s="33" t="n">
        <v>112.0</v>
      </c>
      <c r="H1136" s="34" t="n">
        <v>78.0</v>
      </c>
      <c r="I1136" s="35" t="n">
        <v>1.0</v>
      </c>
      <c r="J1136" s="36" t="n">
        <v>0.02</v>
      </c>
      <c r="K1136" s="37" t="inlineStr">
        <is>
          <t>Other Financial Services</t>
        </is>
      </c>
      <c r="L1136" s="38" t="inlineStr">
        <is>
          <t>Provider of financial data services. The company enables innovation in finance by providing financial data and pulls in transaction information from banks and credit cards ranging from individual charges to vendors, categories and account information.</t>
        </is>
      </c>
      <c r="M1136" s="39" t="inlineStr">
        <is>
          <t>Mucker Capital</t>
        </is>
      </c>
      <c r="N1136" s="40" t="inlineStr">
        <is>
          <t>Accelerator/Incubator Backed</t>
        </is>
      </c>
      <c r="O1136" s="41" t="inlineStr">
        <is>
          <t>Privately Held (backing)</t>
        </is>
      </c>
      <c r="P1136" s="42" t="inlineStr">
        <is>
          <t>Santa Monica, CA</t>
        </is>
      </c>
      <c r="Q1136" s="43" t="inlineStr">
        <is>
          <t>www.spout.co</t>
        </is>
      </c>
      <c r="R1136" s="114">
        <f>HYPERLINK("https://my.pitchbook.com?c=90167-86", "View company online")</f>
      </c>
    </row>
    <row r="1137">
      <c r="A1137" s="9" t="inlineStr">
        <is>
          <t>160126-66</t>
        </is>
      </c>
      <c r="B1137" s="10" t="inlineStr">
        <is>
          <t>Spotlight: Girls</t>
        </is>
      </c>
      <c r="C1137" s="11" t="n">
        <v>1.1072182299811208</v>
      </c>
      <c r="D1137" s="12" t="n">
        <v>0.83481945467944</v>
      </c>
      <c r="E1137" s="13" t="inlineStr">
        <is>
          <t/>
        </is>
      </c>
      <c r="F1137" s="14" t="inlineStr">
        <is>
          <t/>
        </is>
      </c>
      <c r="G1137" s="15" t="n">
        <v>1076.0</v>
      </c>
      <c r="H1137" s="16" t="n">
        <v>116.0</v>
      </c>
      <c r="I1137" s="17" t="inlineStr">
        <is>
          <t/>
        </is>
      </c>
      <c r="J1137" s="18" t="n">
        <v>0.13</v>
      </c>
      <c r="K1137" s="19" t="inlineStr">
        <is>
          <t>Education and Training Services (B2B)</t>
        </is>
      </c>
      <c r="L1137" s="20" t="inlineStr">
        <is>
          <t>Arranger of multi-media events for girls and Women. The company arranges theater, visual arts, music, and media events to teach girls social and emotional skills and to make them bold, brave and compassionate young women.</t>
        </is>
      </c>
      <c r="M1137" s="21" t="inlineStr">
        <is>
          <t/>
        </is>
      </c>
      <c r="N1137" s="22" t="inlineStr">
        <is>
          <t>Angel-Backed</t>
        </is>
      </c>
      <c r="O1137" s="23" t="inlineStr">
        <is>
          <t>Privately Held (backing)</t>
        </is>
      </c>
      <c r="P1137" s="24" t="inlineStr">
        <is>
          <t>Oakland, CA</t>
        </is>
      </c>
      <c r="Q1137" s="25" t="inlineStr">
        <is>
          <t>www.spotlightgirls.com</t>
        </is>
      </c>
      <c r="R1137" s="113">
        <f>HYPERLINK("https://my.pitchbook.com?c=160126-66", "View company online")</f>
      </c>
    </row>
    <row r="1138">
      <c r="A1138" s="27" t="inlineStr">
        <is>
          <t>96749-92</t>
        </is>
      </c>
      <c r="B1138" s="28" t="inlineStr">
        <is>
          <t>Spotlight Financial</t>
        </is>
      </c>
      <c r="C1138" s="86">
        <f>HYPERLINK("https://my.pitchbook.com?rrp=96749-92&amp;type=c", "This Company's information is not available to download. Need this Company? Request availability")</f>
      </c>
      <c r="D1138" s="30" t="inlineStr">
        <is>
          <t/>
        </is>
      </c>
      <c r="E1138" s="31" t="inlineStr">
        <is>
          <t/>
        </is>
      </c>
      <c r="F1138" s="32" t="inlineStr">
        <is>
          <t/>
        </is>
      </c>
      <c r="G1138" s="33" t="inlineStr">
        <is>
          <t/>
        </is>
      </c>
      <c r="H1138" s="34" t="inlineStr">
        <is>
          <t/>
        </is>
      </c>
      <c r="I1138" s="35" t="inlineStr">
        <is>
          <t/>
        </is>
      </c>
      <c r="J1138" s="36" t="inlineStr">
        <is>
          <t/>
        </is>
      </c>
      <c r="K1138" s="37" t="inlineStr">
        <is>
          <t/>
        </is>
      </c>
      <c r="L1138" s="38" t="inlineStr">
        <is>
          <t/>
        </is>
      </c>
      <c r="M1138" s="39" t="inlineStr">
        <is>
          <t/>
        </is>
      </c>
      <c r="N1138" s="40" t="inlineStr">
        <is>
          <t/>
        </is>
      </c>
      <c r="O1138" s="41" t="inlineStr">
        <is>
          <t/>
        </is>
      </c>
      <c r="P1138" s="42" t="inlineStr">
        <is>
          <t/>
        </is>
      </c>
      <c r="Q1138" s="43" t="inlineStr">
        <is>
          <t/>
        </is>
      </c>
      <c r="R1138" s="44" t="inlineStr">
        <is>
          <t/>
        </is>
      </c>
    </row>
    <row r="1139">
      <c r="A1139" s="9" t="inlineStr">
        <is>
          <t>161563-51</t>
        </is>
      </c>
      <c r="B1139" s="10" t="inlineStr">
        <is>
          <t>Spotlight Education</t>
        </is>
      </c>
      <c r="C1139" s="11" t="n">
        <v>0.0</v>
      </c>
      <c r="D1139" s="12" t="n">
        <v>0.40540540540540543</v>
      </c>
      <c r="E1139" s="13" t="inlineStr">
        <is>
          <t/>
        </is>
      </c>
      <c r="F1139" s="14" t="n">
        <v>15.0</v>
      </c>
      <c r="G1139" s="15" t="inlineStr">
        <is>
          <t/>
        </is>
      </c>
      <c r="H1139" s="16" t="inlineStr">
        <is>
          <t/>
        </is>
      </c>
      <c r="I1139" s="17" t="inlineStr">
        <is>
          <t/>
        </is>
      </c>
      <c r="J1139" s="18" t="n">
        <v>0.25</v>
      </c>
      <c r="K1139" s="19" t="inlineStr">
        <is>
          <t>Educational and Training Services (B2C)</t>
        </is>
      </c>
      <c r="L1139" s="20" t="inlineStr">
        <is>
          <t>Provide of an online education data analytics platform. The company offers a Web-based educational data analytics platform and application that analyzes and converts education data into narrative text-based reports.</t>
        </is>
      </c>
      <c r="M1139" s="21" t="inlineStr">
        <is>
          <t/>
        </is>
      </c>
      <c r="N1139" s="22" t="inlineStr">
        <is>
          <t>Angel-Backed</t>
        </is>
      </c>
      <c r="O1139" s="23" t="inlineStr">
        <is>
          <t>Privately Held (backing)</t>
        </is>
      </c>
      <c r="P1139" s="24" t="inlineStr">
        <is>
          <t>Davis, CA</t>
        </is>
      </c>
      <c r="Q1139" s="25" t="inlineStr">
        <is>
          <t>www.spotlight-education.com</t>
        </is>
      </c>
      <c r="R1139" s="113">
        <f>HYPERLINK("https://my.pitchbook.com?c=161563-51", "View company online")</f>
      </c>
    </row>
    <row r="1140">
      <c r="A1140" s="27" t="inlineStr">
        <is>
          <t>103002-04</t>
        </is>
      </c>
      <c r="B1140" s="28" t="inlineStr">
        <is>
          <t>Spotjournal</t>
        </is>
      </c>
      <c r="C1140" s="29" t="n">
        <v>0.0</v>
      </c>
      <c r="D1140" s="30" t="n">
        <v>0.01977401129943503</v>
      </c>
      <c r="E1140" s="31" t="inlineStr">
        <is>
          <t/>
        </is>
      </c>
      <c r="F1140" s="32" t="n">
        <v>1.0</v>
      </c>
      <c r="G1140" s="33" t="inlineStr">
        <is>
          <t/>
        </is>
      </c>
      <c r="H1140" s="34" t="n">
        <v>7.0</v>
      </c>
      <c r="I1140" s="35" t="inlineStr">
        <is>
          <t/>
        </is>
      </c>
      <c r="J1140" s="36" t="n">
        <v>0.03</v>
      </c>
      <c r="K1140" s="37" t="inlineStr">
        <is>
          <t>Application Software</t>
        </is>
      </c>
      <c r="L1140" s="38" t="inlineStr">
        <is>
          <t>Developer of a media sharing web application. The company helps its users to share media through its web application.</t>
        </is>
      </c>
      <c r="M1140" s="39" t="inlineStr">
        <is>
          <t/>
        </is>
      </c>
      <c r="N1140" s="40" t="inlineStr">
        <is>
          <t>Angel-Backed</t>
        </is>
      </c>
      <c r="O1140" s="41" t="inlineStr">
        <is>
          <t>Privately Held (backing)</t>
        </is>
      </c>
      <c r="P1140" s="42" t="inlineStr">
        <is>
          <t>Sunnyvale, CA</t>
        </is>
      </c>
      <c r="Q1140" s="43" t="inlineStr">
        <is>
          <t>www.spotjournal.me</t>
        </is>
      </c>
      <c r="R1140" s="114">
        <f>HYPERLINK("https://my.pitchbook.com?c=103002-04", "View company online")</f>
      </c>
    </row>
    <row r="1141">
      <c r="A1141" s="9" t="inlineStr">
        <is>
          <t>100338-49</t>
        </is>
      </c>
      <c r="B1141" s="10" t="inlineStr">
        <is>
          <t>SpotDy</t>
        </is>
      </c>
      <c r="C1141" s="11" t="n">
        <v>0.0</v>
      </c>
      <c r="D1141" s="12" t="n">
        <v>0.13673919208185975</v>
      </c>
      <c r="E1141" s="13" t="inlineStr">
        <is>
          <t/>
        </is>
      </c>
      <c r="F1141" s="14" t="n">
        <v>8.0</v>
      </c>
      <c r="G1141" s="15" t="n">
        <v>73.0</v>
      </c>
      <c r="H1141" s="16" t="n">
        <v>8.0</v>
      </c>
      <c r="I1141" s="17" t="inlineStr">
        <is>
          <t/>
        </is>
      </c>
      <c r="J1141" s="18" t="inlineStr">
        <is>
          <t/>
        </is>
      </c>
      <c r="K1141" s="19" t="inlineStr">
        <is>
          <t>Social/Platform Software</t>
        </is>
      </c>
      <c r="L1141" s="20" t="inlineStr">
        <is>
          <t>Operator of a technology company for building a platform to help developers build smart applications. The company empowers developers to build scalable smart applications in hours, not months.</t>
        </is>
      </c>
      <c r="M1141" s="21" t="inlineStr">
        <is>
          <t>MassChallenge, Velocity Indiana</t>
        </is>
      </c>
      <c r="N1141" s="22" t="inlineStr">
        <is>
          <t>Accelerator/Incubator Backed</t>
        </is>
      </c>
      <c r="O1141" s="23" t="inlineStr">
        <is>
          <t>Privately Held (backing)</t>
        </is>
      </c>
      <c r="P1141" s="24" t="inlineStr">
        <is>
          <t>San Jose, CA</t>
        </is>
      </c>
      <c r="Q1141" s="25" t="inlineStr">
        <is>
          <t>www.spotdy.com</t>
        </is>
      </c>
      <c r="R1141" s="113">
        <f>HYPERLINK("https://my.pitchbook.com?c=100338-49", "View company online")</f>
      </c>
    </row>
    <row r="1142">
      <c r="A1142" s="27" t="inlineStr">
        <is>
          <t>156486-43</t>
        </is>
      </c>
      <c r="B1142" s="28" t="inlineStr">
        <is>
          <t>Spotbot</t>
        </is>
      </c>
      <c r="C1142" s="29" t="inlineStr">
        <is>
          <t/>
        </is>
      </c>
      <c r="D1142" s="30" t="inlineStr">
        <is>
          <t/>
        </is>
      </c>
      <c r="E1142" s="31" t="inlineStr">
        <is>
          <t/>
        </is>
      </c>
      <c r="F1142" s="32" t="inlineStr">
        <is>
          <t/>
        </is>
      </c>
      <c r="G1142" s="33" t="inlineStr">
        <is>
          <t/>
        </is>
      </c>
      <c r="H1142" s="34" t="inlineStr">
        <is>
          <t/>
        </is>
      </c>
      <c r="I1142" s="35" t="inlineStr">
        <is>
          <t/>
        </is>
      </c>
      <c r="J1142" s="36" t="n">
        <v>0.02</v>
      </c>
      <c r="K1142" s="37" t="inlineStr">
        <is>
          <t>Application Software</t>
        </is>
      </c>
      <c r="L1142" s="38" t="inlineStr">
        <is>
          <t>Provider of a website monitoring tool. The company offers a tool which monitors website user interface periodically for changes and informs users about the changes using screenshots.</t>
        </is>
      </c>
      <c r="M1142" s="39" t="inlineStr">
        <is>
          <t>Y Combinator</t>
        </is>
      </c>
      <c r="N1142" s="40" t="inlineStr">
        <is>
          <t>Accelerator/Incubator Backed</t>
        </is>
      </c>
      <c r="O1142" s="41" t="inlineStr">
        <is>
          <t>Privately Held (backing)</t>
        </is>
      </c>
      <c r="P1142" s="42" t="inlineStr">
        <is>
          <t>San Francisco, CA</t>
        </is>
      </c>
      <c r="Q1142" s="43" t="inlineStr">
        <is>
          <t>www.spotbot.qa</t>
        </is>
      </c>
      <c r="R1142" s="114">
        <f>HYPERLINK("https://my.pitchbook.com?c=156486-43", "View company online")</f>
      </c>
    </row>
    <row r="1143">
      <c r="A1143" s="9" t="inlineStr">
        <is>
          <t>65164-87</t>
        </is>
      </c>
      <c r="B1143" s="10" t="inlineStr">
        <is>
          <t>Spot On Networks</t>
        </is>
      </c>
      <c r="C1143" s="11" t="n">
        <v>0.0785128244905815</v>
      </c>
      <c r="D1143" s="12" t="n">
        <v>2.6817453046266606</v>
      </c>
      <c r="E1143" s="13" t="inlineStr">
        <is>
          <t/>
        </is>
      </c>
      <c r="F1143" s="14" t="n">
        <v>121.0</v>
      </c>
      <c r="G1143" s="15" t="inlineStr">
        <is>
          <t/>
        </is>
      </c>
      <c r="H1143" s="16" t="n">
        <v>742.0</v>
      </c>
      <c r="I1143" s="17" t="n">
        <v>38.0</v>
      </c>
      <c r="J1143" s="18" t="n">
        <v>2.19</v>
      </c>
      <c r="K1143" s="19" t="inlineStr">
        <is>
          <t>Internet Service Providers</t>
        </is>
      </c>
      <c r="L1143" s="20" t="inlineStr">
        <is>
          <t>Provider of wireless Internet services. The company offers managed WiFi networks to the multitenant housing market and also provides wireless energy management, building automation and security monitoring services.</t>
        </is>
      </c>
      <c r="M1143" s="21" t="inlineStr">
        <is>
          <t>RCC Consultants</t>
        </is>
      </c>
      <c r="N1143" s="22" t="inlineStr">
        <is>
          <t>Angel-Backed</t>
        </is>
      </c>
      <c r="O1143" s="23" t="inlineStr">
        <is>
          <t>Privately Held (backing)</t>
        </is>
      </c>
      <c r="P1143" s="24" t="inlineStr">
        <is>
          <t>New Haven, CT</t>
        </is>
      </c>
      <c r="Q1143" s="25" t="inlineStr">
        <is>
          <t>www.spotonnetworks.com</t>
        </is>
      </c>
      <c r="R1143" s="113">
        <f>HYPERLINK("https://my.pitchbook.com?c=65164-87", "View company online")</f>
      </c>
    </row>
    <row r="1144">
      <c r="A1144" s="27" t="inlineStr">
        <is>
          <t>168669-64</t>
        </is>
      </c>
      <c r="B1144" s="28" t="inlineStr">
        <is>
          <t>Spot Angels</t>
        </is>
      </c>
      <c r="C1144" s="29" t="n">
        <v>1.2216366126392386</v>
      </c>
      <c r="D1144" s="30" t="n">
        <v>0.801827005972179</v>
      </c>
      <c r="E1144" s="31" t="inlineStr">
        <is>
          <t/>
        </is>
      </c>
      <c r="F1144" s="32" t="n">
        <v>38.0</v>
      </c>
      <c r="G1144" s="33" t="n">
        <v>490.0</v>
      </c>
      <c r="H1144" s="34" t="n">
        <v>169.0</v>
      </c>
      <c r="I1144" s="35" t="inlineStr">
        <is>
          <t/>
        </is>
      </c>
      <c r="J1144" s="36" t="n">
        <v>0.12</v>
      </c>
      <c r="K1144" s="37" t="inlineStr">
        <is>
          <t>Application Software</t>
        </is>
      </c>
      <c r="L1144" s="38" t="inlineStr">
        <is>
          <t>Developer of a mobile application for avoiding parking tickets. The company's application gives reminder about the location and time of the car parked, so that parking ticket can be avoided before the designated time period ends.</t>
        </is>
      </c>
      <c r="M1144" s="39" t="inlineStr">
        <is>
          <t>Y Combinator</t>
        </is>
      </c>
      <c r="N1144" s="40" t="inlineStr">
        <is>
          <t>Accelerator/Incubator Backed</t>
        </is>
      </c>
      <c r="O1144" s="41" t="inlineStr">
        <is>
          <t>Privately Held (backing)</t>
        </is>
      </c>
      <c r="P1144" s="42" t="inlineStr">
        <is>
          <t>San Francisco, CA</t>
        </is>
      </c>
      <c r="Q1144" s="43" t="inlineStr">
        <is>
          <t>www.spotangels.com</t>
        </is>
      </c>
      <c r="R1144" s="114">
        <f>HYPERLINK("https://my.pitchbook.com?c=168669-64", "View company online")</f>
      </c>
    </row>
    <row r="1145">
      <c r="A1145" s="9" t="inlineStr">
        <is>
          <t>169080-76</t>
        </is>
      </c>
      <c r="B1145" s="10" t="inlineStr">
        <is>
          <t>SportsETFs</t>
        </is>
      </c>
      <c r="C1145" s="11" t="inlineStr">
        <is>
          <t/>
        </is>
      </c>
      <c r="D1145" s="12" t="inlineStr">
        <is>
          <t/>
        </is>
      </c>
      <c r="E1145" s="13" t="inlineStr">
        <is>
          <t/>
        </is>
      </c>
      <c r="F1145" s="14" t="inlineStr">
        <is>
          <t/>
        </is>
      </c>
      <c r="G1145" s="15" t="inlineStr">
        <is>
          <t/>
        </is>
      </c>
      <c r="H1145" s="16" t="inlineStr">
        <is>
          <t/>
        </is>
      </c>
      <c r="I1145" s="17" t="inlineStr">
        <is>
          <t/>
        </is>
      </c>
      <c r="J1145" s="18" t="n">
        <v>0.5</v>
      </c>
      <c r="K1145" s="19" t="inlineStr">
        <is>
          <t>Other Business Products and Services</t>
        </is>
      </c>
      <c r="L1145" s="20" t="inlineStr">
        <is>
          <t>The company is currently operating in Stealth mode.</t>
        </is>
      </c>
      <c r="M1145" s="21" t="inlineStr">
        <is>
          <t/>
        </is>
      </c>
      <c r="N1145" s="22" t="inlineStr">
        <is>
          <t>Angel-Backed</t>
        </is>
      </c>
      <c r="O1145" s="23" t="inlineStr">
        <is>
          <t>Privately Held (backing)</t>
        </is>
      </c>
      <c r="P1145" s="24" t="inlineStr">
        <is>
          <t>San Ramon, CA</t>
        </is>
      </c>
      <c r="Q1145" s="25" t="inlineStr">
        <is>
          <t>www.sportsetfs.com</t>
        </is>
      </c>
      <c r="R1145" s="113">
        <f>HYPERLINK("https://my.pitchbook.com?c=169080-76", "View company online")</f>
      </c>
    </row>
    <row r="1146">
      <c r="A1146" s="27" t="inlineStr">
        <is>
          <t>88558-66</t>
        </is>
      </c>
      <c r="B1146" s="28" t="inlineStr">
        <is>
          <t>Sporthold</t>
        </is>
      </c>
      <c r="C1146" s="29" t="n">
        <v>-0.0031027776277084314</v>
      </c>
      <c r="D1146" s="30" t="n">
        <v>3.0665232423707</v>
      </c>
      <c r="E1146" s="31" t="inlineStr">
        <is>
          <t/>
        </is>
      </c>
      <c r="F1146" s="32" t="n">
        <v>30.0</v>
      </c>
      <c r="G1146" s="33" t="n">
        <v>8284.0</v>
      </c>
      <c r="H1146" s="34" t="n">
        <v>126.0</v>
      </c>
      <c r="I1146" s="35" t="n">
        <v>3.0</v>
      </c>
      <c r="J1146" s="36" t="n">
        <v>0.26</v>
      </c>
      <c r="K1146" s="37" t="inlineStr">
        <is>
          <t>Application Software</t>
        </is>
      </c>
      <c r="L1146" s="38" t="inlineStr">
        <is>
          <t>Developer of a website and mobile application that collects users' predictions for sporting games. The company allows users to visit the website and predict what they think will happen in sports games.</t>
        </is>
      </c>
      <c r="M1146" s="39" t="inlineStr">
        <is>
          <t>500 Startups, David McClure, Individual Investor, Startmate</t>
        </is>
      </c>
      <c r="N1146" s="40" t="inlineStr">
        <is>
          <t>Accelerator/Incubator Backed</t>
        </is>
      </c>
      <c r="O1146" s="41" t="inlineStr">
        <is>
          <t>Privately Held (backing)</t>
        </is>
      </c>
      <c r="P1146" s="42" t="inlineStr">
        <is>
          <t>Mountain View, CA</t>
        </is>
      </c>
      <c r="Q1146" s="43" t="inlineStr">
        <is>
          <t>www.sporthold.com</t>
        </is>
      </c>
      <c r="R1146" s="114">
        <f>HYPERLINK("https://my.pitchbook.com?c=88558-66", "View company online")</f>
      </c>
    </row>
    <row r="1147">
      <c r="A1147" s="9" t="inlineStr">
        <is>
          <t>104176-18</t>
        </is>
      </c>
      <c r="B1147" s="10" t="inlineStr">
        <is>
          <t>SportConnect</t>
        </is>
      </c>
      <c r="C1147" s="11" t="n">
        <v>0.0</v>
      </c>
      <c r="D1147" s="12" t="n">
        <v>0.13590733590733592</v>
      </c>
      <c r="E1147" s="13" t="inlineStr">
        <is>
          <t/>
        </is>
      </c>
      <c r="F1147" s="14" t="n">
        <v>9.0</v>
      </c>
      <c r="G1147" s="15" t="n">
        <v>23.0</v>
      </c>
      <c r="H1147" s="16" t="inlineStr">
        <is>
          <t/>
        </is>
      </c>
      <c r="I1147" s="17" t="n">
        <v>6.0</v>
      </c>
      <c r="J1147" s="18" t="n">
        <v>0.3</v>
      </c>
      <c r="K1147" s="19" t="inlineStr">
        <is>
          <t>Information Services (B2C)</t>
        </is>
      </c>
      <c r="L1147" s="20" t="inlineStr">
        <is>
          <t>Provider of a platform for sports. The company provides a platform which enables sports, fitness and wellness influencers to monetize their expertise and content through mobile apps.</t>
        </is>
      </c>
      <c r="M1147" s="21" t="inlineStr">
        <is>
          <t>Antti Peltonen, Blackbox, Lennu Keinänen, Mikko Kuitunen, Solinor</t>
        </is>
      </c>
      <c r="N1147" s="22" t="inlineStr">
        <is>
          <t>Accelerator/Incubator Backed</t>
        </is>
      </c>
      <c r="O1147" s="23" t="inlineStr">
        <is>
          <t>Privately Held (backing)</t>
        </is>
      </c>
      <c r="P1147" s="24" t="inlineStr">
        <is>
          <t>Palo Alto, CA</t>
        </is>
      </c>
      <c r="Q1147" s="25" t="inlineStr">
        <is>
          <t>www.sportconnect.com</t>
        </is>
      </c>
      <c r="R1147" s="113">
        <f>HYPERLINK("https://my.pitchbook.com?c=104176-18", "View company online")</f>
      </c>
    </row>
    <row r="1148">
      <c r="A1148" s="27" t="inlineStr">
        <is>
          <t>167442-04</t>
        </is>
      </c>
      <c r="B1148" s="28" t="inlineStr">
        <is>
          <t>Spoondrift</t>
        </is>
      </c>
      <c r="C1148" s="29" t="n">
        <v>0.0</v>
      </c>
      <c r="D1148" s="30" t="n">
        <v>0.21621621621621623</v>
      </c>
      <c r="E1148" s="31" t="inlineStr">
        <is>
          <t/>
        </is>
      </c>
      <c r="F1148" s="32" t="n">
        <v>8.0</v>
      </c>
      <c r="G1148" s="33" t="inlineStr">
        <is>
          <t/>
        </is>
      </c>
      <c r="H1148" s="34" t="inlineStr">
        <is>
          <t/>
        </is>
      </c>
      <c r="I1148" s="35" t="inlineStr">
        <is>
          <t/>
        </is>
      </c>
      <c r="J1148" s="36" t="n">
        <v>0.35</v>
      </c>
      <c r="K1148" s="37" t="inlineStr">
        <is>
          <t>Other Hardware</t>
        </is>
      </c>
      <c r="L1148" s="38" t="inlineStr">
        <is>
          <t>Developer of a remote enabled device to monitor ocean waves. The company develops a portable and solar-powered device that measures ocean surface waves and currents and sends the information to users via GPS, satellite communication and solar technologies.</t>
        </is>
      </c>
      <c r="M1148" s="39" t="inlineStr">
        <is>
          <t/>
        </is>
      </c>
      <c r="N1148" s="40" t="inlineStr">
        <is>
          <t>Angel-Backed</t>
        </is>
      </c>
      <c r="O1148" s="41" t="inlineStr">
        <is>
          <t>Privately Held (backing)</t>
        </is>
      </c>
      <c r="P1148" s="42" t="inlineStr">
        <is>
          <t>Half Moon Bay, CA</t>
        </is>
      </c>
      <c r="Q1148" s="43" t="inlineStr">
        <is>
          <t>www.spoondrift.co</t>
        </is>
      </c>
      <c r="R1148" s="114">
        <f>HYPERLINK("https://my.pitchbook.com?c=167442-04", "View company online")</f>
      </c>
    </row>
    <row r="1149">
      <c r="A1149" s="9" t="inlineStr">
        <is>
          <t>157036-24</t>
        </is>
      </c>
      <c r="B1149" s="10" t="inlineStr">
        <is>
          <t>Spontime</t>
        </is>
      </c>
      <c r="C1149" s="11" t="n">
        <v>-0.04391547203585742</v>
      </c>
      <c r="D1149" s="12" t="n">
        <v>37.08458548031135</v>
      </c>
      <c r="E1149" s="13" t="inlineStr">
        <is>
          <t/>
        </is>
      </c>
      <c r="F1149" s="14" t="n">
        <v>68.0</v>
      </c>
      <c r="G1149" s="15" t="n">
        <v>110371.0</v>
      </c>
      <c r="H1149" s="16" t="n">
        <v>2684.0</v>
      </c>
      <c r="I1149" s="17" t="inlineStr">
        <is>
          <t/>
        </is>
      </c>
      <c r="J1149" s="18" t="n">
        <v>0.2</v>
      </c>
      <c r="K1149" s="19" t="inlineStr">
        <is>
          <t>Social/Platform Software</t>
        </is>
      </c>
      <c r="L1149" s="20" t="inlineStr">
        <is>
          <t>Developer of a social networking mobile application. The company develops an application which allows meetings with friends and people nearby, already acknowledged by different journals.</t>
        </is>
      </c>
      <c r="M1149" s="21" t="inlineStr">
        <is>
          <t/>
        </is>
      </c>
      <c r="N1149" s="22" t="inlineStr">
        <is>
          <t>Angel-Backed</t>
        </is>
      </c>
      <c r="O1149" s="23" t="inlineStr">
        <is>
          <t>Privately Held (backing)</t>
        </is>
      </c>
      <c r="P1149" s="24" t="inlineStr">
        <is>
          <t>San Francisco, CA</t>
        </is>
      </c>
      <c r="Q1149" s="25" t="inlineStr">
        <is>
          <t>www.spontime.co</t>
        </is>
      </c>
      <c r="R1149" s="113">
        <f>HYPERLINK("https://my.pitchbook.com?c=157036-24", "View company online")</f>
      </c>
    </row>
    <row r="1150">
      <c r="A1150" s="27" t="inlineStr">
        <is>
          <t>104176-00</t>
        </is>
      </c>
      <c r="B1150" s="28" t="inlineStr">
        <is>
          <t>Sponsorbrite</t>
        </is>
      </c>
      <c r="C1150" s="29" t="n">
        <v>0.0</v>
      </c>
      <c r="D1150" s="30" t="n">
        <v>0.10772637043823485</v>
      </c>
      <c r="E1150" s="31" t="inlineStr">
        <is>
          <t/>
        </is>
      </c>
      <c r="F1150" s="32" t="n">
        <v>4.0</v>
      </c>
      <c r="G1150" s="33" t="inlineStr">
        <is>
          <t/>
        </is>
      </c>
      <c r="H1150" s="34" t="n">
        <v>38.0</v>
      </c>
      <c r="I1150" s="35" t="n">
        <v>3.0</v>
      </c>
      <c r="J1150" s="36" t="inlineStr">
        <is>
          <t/>
        </is>
      </c>
      <c r="K1150" s="37" t="inlineStr">
        <is>
          <t>Social/Platform Software</t>
        </is>
      </c>
      <c r="L1150" s="38" t="inlineStr">
        <is>
          <t>Provider of a fundraising platform. The company offers a software for marketers who seek to connect emotionally with their customers and delivers leads, brand awareness and goodwill by selling sponsorship-marketing opportunities via its fundraising platform.</t>
        </is>
      </c>
      <c r="M1150" s="39" t="inlineStr">
        <is>
          <t/>
        </is>
      </c>
      <c r="N1150" s="40" t="inlineStr">
        <is>
          <t>Angel-Backed</t>
        </is>
      </c>
      <c r="O1150" s="41" t="inlineStr">
        <is>
          <t>Privately Held (backing)</t>
        </is>
      </c>
      <c r="P1150" s="42" t="inlineStr">
        <is>
          <t>Oakland, CA</t>
        </is>
      </c>
      <c r="Q1150" s="43" t="inlineStr">
        <is>
          <t>www.sponsorbrite.com</t>
        </is>
      </c>
      <c r="R1150" s="114">
        <f>HYPERLINK("https://my.pitchbook.com?c=104176-00", "View company online")</f>
      </c>
    </row>
    <row r="1151">
      <c r="A1151" s="9" t="inlineStr">
        <is>
          <t>171353-89</t>
        </is>
      </c>
      <c r="B1151" s="10" t="inlineStr">
        <is>
          <t>Spoke Phone</t>
        </is>
      </c>
      <c r="C1151" s="85">
        <f>HYPERLINK("https://my.pitchbook.com?rrp=171353-89&amp;type=c", "This Company's information is not available to download. Need this Company? Request availability")</f>
      </c>
      <c r="D1151" s="12" t="inlineStr">
        <is>
          <t/>
        </is>
      </c>
      <c r="E1151" s="13" t="inlineStr">
        <is>
          <t/>
        </is>
      </c>
      <c r="F1151" s="14" t="inlineStr">
        <is>
          <t/>
        </is>
      </c>
      <c r="G1151" s="15" t="inlineStr">
        <is>
          <t/>
        </is>
      </c>
      <c r="H1151" s="16" t="inlineStr">
        <is>
          <t/>
        </is>
      </c>
      <c r="I1151" s="17" t="inlineStr">
        <is>
          <t/>
        </is>
      </c>
      <c r="J1151" s="18" t="inlineStr">
        <is>
          <t/>
        </is>
      </c>
      <c r="K1151" s="19" t="inlineStr">
        <is>
          <t/>
        </is>
      </c>
      <c r="L1151" s="20" t="inlineStr">
        <is>
          <t/>
        </is>
      </c>
      <c r="M1151" s="21" t="inlineStr">
        <is>
          <t/>
        </is>
      </c>
      <c r="N1151" s="22" t="inlineStr">
        <is>
          <t/>
        </is>
      </c>
      <c r="O1151" s="23" t="inlineStr">
        <is>
          <t/>
        </is>
      </c>
      <c r="P1151" s="24" t="inlineStr">
        <is>
          <t/>
        </is>
      </c>
      <c r="Q1151" s="25" t="inlineStr">
        <is>
          <t/>
        </is>
      </c>
      <c r="R1151" s="26" t="inlineStr">
        <is>
          <t/>
        </is>
      </c>
    </row>
    <row r="1152">
      <c r="A1152" s="27" t="inlineStr">
        <is>
          <t>102452-68</t>
        </is>
      </c>
      <c r="B1152" s="28" t="inlineStr">
        <is>
          <t>Spoil</t>
        </is>
      </c>
      <c r="C1152" s="29" t="n">
        <v>-0.18840754845124158</v>
      </c>
      <c r="D1152" s="30" t="n">
        <v>4.416659648384041</v>
      </c>
      <c r="E1152" s="31" t="inlineStr">
        <is>
          <t/>
        </is>
      </c>
      <c r="F1152" s="32" t="inlineStr">
        <is>
          <t/>
        </is>
      </c>
      <c r="G1152" s="33" t="n">
        <v>4689.0</v>
      </c>
      <c r="H1152" s="34" t="n">
        <v>1064.0</v>
      </c>
      <c r="I1152" s="35" t="n">
        <v>2.0</v>
      </c>
      <c r="J1152" s="36" t="n">
        <v>0.12</v>
      </c>
      <c r="K1152" s="37" t="inlineStr">
        <is>
          <t>Internet Retail</t>
        </is>
      </c>
      <c r="L1152" s="38" t="inlineStr">
        <is>
          <t>Operator of an online gift store. The company offers a personalized gift concierge service to buy gifts for different type of occasion by using algorithm to identify the type of gift one needs and predicting what makes users happy.</t>
        </is>
      </c>
      <c r="M1152" s="39" t="inlineStr">
        <is>
          <t>Y Combinator</t>
        </is>
      </c>
      <c r="N1152" s="40" t="inlineStr">
        <is>
          <t>Accelerator/Incubator Backed</t>
        </is>
      </c>
      <c r="O1152" s="41" t="inlineStr">
        <is>
          <t>Privately Held (backing)</t>
        </is>
      </c>
      <c r="P1152" s="42" t="inlineStr">
        <is>
          <t>Berkeley, CA</t>
        </is>
      </c>
      <c r="Q1152" s="43" t="inlineStr">
        <is>
          <t>www.spoil.co</t>
        </is>
      </c>
      <c r="R1152" s="114">
        <f>HYPERLINK("https://my.pitchbook.com?c=102452-68", "View company online")</f>
      </c>
    </row>
    <row r="1153">
      <c r="A1153" s="9" t="inlineStr">
        <is>
          <t>156829-78</t>
        </is>
      </c>
      <c r="B1153" s="10" t="inlineStr">
        <is>
          <t>Splore (Photo Sharing)</t>
        </is>
      </c>
      <c r="C1153" s="11" t="n">
        <v>-0.08099288221064797</v>
      </c>
      <c r="D1153" s="12" t="n">
        <v>9.911207817987478</v>
      </c>
      <c r="E1153" s="13" t="inlineStr">
        <is>
          <t/>
        </is>
      </c>
      <c r="F1153" s="14" t="n">
        <v>2.0</v>
      </c>
      <c r="G1153" s="15" t="inlineStr">
        <is>
          <t/>
        </is>
      </c>
      <c r="H1153" s="16" t="n">
        <v>7003.0</v>
      </c>
      <c r="I1153" s="17" t="inlineStr">
        <is>
          <t/>
        </is>
      </c>
      <c r="J1153" s="18" t="n">
        <v>0.38</v>
      </c>
      <c r="K1153" s="19" t="inlineStr">
        <is>
          <t>Information Services (B2C)</t>
        </is>
      </c>
      <c r="L1153" s="20" t="inlineStr">
        <is>
          <t>Developer of an image sharing application. The company's platform allows its users to follow hashtags and view photos shared by others from around the world.</t>
        </is>
      </c>
      <c r="M1153" s="21" t="inlineStr">
        <is>
          <t/>
        </is>
      </c>
      <c r="N1153" s="22" t="inlineStr">
        <is>
          <t>Angel-Backed</t>
        </is>
      </c>
      <c r="O1153" s="23" t="inlineStr">
        <is>
          <t>Privately Held (backing)</t>
        </is>
      </c>
      <c r="P1153" s="24" t="inlineStr">
        <is>
          <t>Los Angeles, CA</t>
        </is>
      </c>
      <c r="Q1153" s="25" t="inlineStr">
        <is>
          <t>www.splore.co</t>
        </is>
      </c>
      <c r="R1153" s="113">
        <f>HYPERLINK("https://my.pitchbook.com?c=156829-78", "View company online")</f>
      </c>
    </row>
    <row r="1154">
      <c r="A1154" s="27" t="inlineStr">
        <is>
          <t>89767-72</t>
        </is>
      </c>
      <c r="B1154" s="28" t="inlineStr">
        <is>
          <t>Splenvid</t>
        </is>
      </c>
      <c r="C1154" s="29" t="n">
        <v>0.0</v>
      </c>
      <c r="D1154" s="30" t="n">
        <v>0.10932966865170256</v>
      </c>
      <c r="E1154" s="31" t="inlineStr">
        <is>
          <t/>
        </is>
      </c>
      <c r="F1154" s="32" t="n">
        <v>6.0</v>
      </c>
      <c r="G1154" s="33" t="inlineStr">
        <is>
          <t/>
        </is>
      </c>
      <c r="H1154" s="34" t="n">
        <v>20.0</v>
      </c>
      <c r="I1154" s="35" t="n">
        <v>2.0</v>
      </c>
      <c r="J1154" s="36" t="inlineStr">
        <is>
          <t/>
        </is>
      </c>
      <c r="K1154" s="37" t="inlineStr">
        <is>
          <t>Entertainment Software</t>
        </is>
      </c>
      <c r="L1154" s="38" t="inlineStr">
        <is>
          <t>Provider of a movie creation platform. The company offers a mobile application that automatically combines the captured moments from the users and their friends into a collaborative movie of their shared experience.</t>
        </is>
      </c>
      <c r="M1154" s="39" t="inlineStr">
        <is>
          <t>FFL Startup Accelerator</t>
        </is>
      </c>
      <c r="N1154" s="40" t="inlineStr">
        <is>
          <t>Accelerator/Incubator Backed</t>
        </is>
      </c>
      <c r="O1154" s="41" t="inlineStr">
        <is>
          <t>Privately Held (backing)</t>
        </is>
      </c>
      <c r="P1154" s="42" t="inlineStr">
        <is>
          <t>San Francisco, CA</t>
        </is>
      </c>
      <c r="Q1154" s="43" t="inlineStr">
        <is>
          <t>www.splenvid.com</t>
        </is>
      </c>
      <c r="R1154" s="114">
        <f>HYPERLINK("https://my.pitchbook.com?c=89767-72", "View company online")</f>
      </c>
    </row>
    <row r="1155">
      <c r="A1155" s="9" t="inlineStr">
        <is>
          <t>58131-28</t>
        </is>
      </c>
      <c r="B1155" s="10" t="inlineStr">
        <is>
          <t>Splash Technologies</t>
        </is>
      </c>
      <c r="C1155" s="11" t="n">
        <v>0.04723668729446999</v>
      </c>
      <c r="D1155" s="12" t="n">
        <v>0.18962565049521574</v>
      </c>
      <c r="E1155" s="13" t="inlineStr">
        <is>
          <t/>
        </is>
      </c>
      <c r="F1155" s="14" t="n">
        <v>7.0</v>
      </c>
      <c r="G1155" s="15" t="n">
        <v>152.0</v>
      </c>
      <c r="H1155" s="16" t="inlineStr">
        <is>
          <t/>
        </is>
      </c>
      <c r="I1155" s="17" t="inlineStr">
        <is>
          <t/>
        </is>
      </c>
      <c r="J1155" s="18" t="n">
        <v>0.02</v>
      </c>
      <c r="K1155" s="19" t="inlineStr">
        <is>
          <t>Social Content</t>
        </is>
      </c>
      <c r="L1155" s="20" t="inlineStr">
        <is>
          <t>Provider of social platform focused on following interests, not people. The company is the developer of a mobile application enabling users to create communities based on shared interests. The application is available in multiple languages</t>
        </is>
      </c>
      <c r="M1155" s="21" t="inlineStr">
        <is>
          <t>Portland Incubator Experiment</t>
        </is>
      </c>
      <c r="N1155" s="22" t="inlineStr">
        <is>
          <t>Accelerator/Incubator Backed</t>
        </is>
      </c>
      <c r="O1155" s="23" t="inlineStr">
        <is>
          <t>Privately Held (backing)</t>
        </is>
      </c>
      <c r="P1155" s="24" t="inlineStr">
        <is>
          <t>Santa Monica, CA</t>
        </is>
      </c>
      <c r="Q1155" s="25" t="inlineStr">
        <is>
          <t>www.splash.io</t>
        </is>
      </c>
      <c r="R1155" s="113">
        <f>HYPERLINK("https://my.pitchbook.com?c=58131-28", "View company online")</f>
      </c>
    </row>
    <row r="1156">
      <c r="A1156" s="27" t="inlineStr">
        <is>
          <t>171748-45</t>
        </is>
      </c>
      <c r="B1156" s="28" t="inlineStr">
        <is>
          <t>Splash - Online Presence Management</t>
        </is>
      </c>
      <c r="C1156" s="86">
        <f>HYPERLINK("https://my.pitchbook.com?rrp=171748-45&amp;type=c", "This Company's information is not available to download. Need this Company? Request availability")</f>
      </c>
      <c r="D1156" s="30" t="inlineStr">
        <is>
          <t/>
        </is>
      </c>
      <c r="E1156" s="31" t="inlineStr">
        <is>
          <t/>
        </is>
      </c>
      <c r="F1156" s="32" t="inlineStr">
        <is>
          <t/>
        </is>
      </c>
      <c r="G1156" s="33" t="inlineStr">
        <is>
          <t/>
        </is>
      </c>
      <c r="H1156" s="34" t="inlineStr">
        <is>
          <t/>
        </is>
      </c>
      <c r="I1156" s="35" t="inlineStr">
        <is>
          <t/>
        </is>
      </c>
      <c r="J1156" s="36" t="inlineStr">
        <is>
          <t/>
        </is>
      </c>
      <c r="K1156" s="37" t="inlineStr">
        <is>
          <t/>
        </is>
      </c>
      <c r="L1156" s="38" t="inlineStr">
        <is>
          <t/>
        </is>
      </c>
      <c r="M1156" s="39" t="inlineStr">
        <is>
          <t/>
        </is>
      </c>
      <c r="N1156" s="40" t="inlineStr">
        <is>
          <t/>
        </is>
      </c>
      <c r="O1156" s="41" t="inlineStr">
        <is>
          <t/>
        </is>
      </c>
      <c r="P1156" s="42" t="inlineStr">
        <is>
          <t/>
        </is>
      </c>
      <c r="Q1156" s="43" t="inlineStr">
        <is>
          <t/>
        </is>
      </c>
      <c r="R1156" s="44" t="inlineStr">
        <is>
          <t/>
        </is>
      </c>
    </row>
    <row r="1157">
      <c r="A1157" s="9" t="inlineStr">
        <is>
          <t>66037-78</t>
        </is>
      </c>
      <c r="B1157" s="10" t="inlineStr">
        <is>
          <t>Spitfire Athlete</t>
        </is>
      </c>
      <c r="C1157" s="11" t="n">
        <v>0.04433806893968156</v>
      </c>
      <c r="D1157" s="12" t="n">
        <v>1.6335847585663354</v>
      </c>
      <c r="E1157" s="13" t="inlineStr">
        <is>
          <t/>
        </is>
      </c>
      <c r="F1157" s="14" t="n">
        <v>25.0</v>
      </c>
      <c r="G1157" s="15" t="n">
        <v>2344.0</v>
      </c>
      <c r="H1157" s="16" t="n">
        <v>805.0</v>
      </c>
      <c r="I1157" s="17" t="inlineStr">
        <is>
          <t/>
        </is>
      </c>
      <c r="J1157" s="18" t="n">
        <v>0.12</v>
      </c>
      <c r="K1157" s="19" t="inlineStr">
        <is>
          <t>Social/Platform Software</t>
        </is>
      </c>
      <c r="L1157" s="20" t="inlineStr">
        <is>
          <t>Provider of a health and fitness application for women. The company's mobile platform provides four-week training plans, with tools for tracking progress and learning exercises. The app is woman-focused, although useable for men.</t>
        </is>
      </c>
      <c r="M1157" s="21" t="inlineStr">
        <is>
          <t>Right Side Capital Management, Techstars</t>
        </is>
      </c>
      <c r="N1157" s="22" t="inlineStr">
        <is>
          <t>Accelerator/Incubator Backed</t>
        </is>
      </c>
      <c r="O1157" s="23" t="inlineStr">
        <is>
          <t>Privately Held (backing)</t>
        </is>
      </c>
      <c r="P1157" s="24" t="inlineStr">
        <is>
          <t>San Francisco, CA</t>
        </is>
      </c>
      <c r="Q1157" s="25" t="inlineStr">
        <is>
          <t>www.spitfireathlete.com</t>
        </is>
      </c>
      <c r="R1157" s="113">
        <f>HYPERLINK("https://my.pitchbook.com?c=66037-78", "View company online")</f>
      </c>
    </row>
    <row r="1158">
      <c r="A1158" s="27" t="inlineStr">
        <is>
          <t>119117-26</t>
        </is>
      </c>
      <c r="B1158" s="28" t="inlineStr">
        <is>
          <t>Spiral Water Technologies</t>
        </is>
      </c>
      <c r="C1158" s="29" t="n">
        <v>0.0</v>
      </c>
      <c r="D1158" s="30" t="n">
        <v>0.8918918918918919</v>
      </c>
      <c r="E1158" s="31" t="inlineStr">
        <is>
          <t/>
        </is>
      </c>
      <c r="F1158" s="32" t="n">
        <v>33.0</v>
      </c>
      <c r="G1158" s="33" t="inlineStr">
        <is>
          <t/>
        </is>
      </c>
      <c r="H1158" s="34" t="inlineStr">
        <is>
          <t/>
        </is>
      </c>
      <c r="I1158" s="35" t="inlineStr">
        <is>
          <t/>
        </is>
      </c>
      <c r="J1158" s="36" t="n">
        <v>3.0</v>
      </c>
      <c r="K1158" s="37" t="inlineStr">
        <is>
          <t>Other Commercial Products</t>
        </is>
      </c>
      <c r="L1158" s="38" t="inlineStr">
        <is>
          <t>Developer of a filtration technology for industrial applications. The company offers automatic self-cleaning filters for suspended solid removal.</t>
        </is>
      </c>
      <c r="M1158" s="39" t="inlineStr">
        <is>
          <t>Venture Greenhouse</t>
        </is>
      </c>
      <c r="N1158" s="40" t="inlineStr">
        <is>
          <t>Accelerator/Incubator Backed</t>
        </is>
      </c>
      <c r="O1158" s="41" t="inlineStr">
        <is>
          <t>Privately Held (backing)</t>
        </is>
      </c>
      <c r="P1158" s="42" t="inlineStr">
        <is>
          <t>San Rafael, CA</t>
        </is>
      </c>
      <c r="Q1158" s="43" t="inlineStr">
        <is>
          <t>www.spiralwater.com</t>
        </is>
      </c>
      <c r="R1158" s="114">
        <f>HYPERLINK("https://my.pitchbook.com?c=119117-26", "View company online")</f>
      </c>
    </row>
    <row r="1159">
      <c r="A1159" s="9" t="inlineStr">
        <is>
          <t>92500-03</t>
        </is>
      </c>
      <c r="B1159" s="10" t="inlineStr">
        <is>
          <t>Spinnaker Biosciences</t>
        </is>
      </c>
      <c r="C1159" s="11" t="n">
        <v>0.0</v>
      </c>
      <c r="D1159" s="12" t="n">
        <v>0.05405405405405406</v>
      </c>
      <c r="E1159" s="13" t="inlineStr">
        <is>
          <t/>
        </is>
      </c>
      <c r="F1159" s="14" t="n">
        <v>2.0</v>
      </c>
      <c r="G1159" s="15" t="inlineStr">
        <is>
          <t/>
        </is>
      </c>
      <c r="H1159" s="16" t="inlineStr">
        <is>
          <t/>
        </is>
      </c>
      <c r="I1159" s="17" t="inlineStr">
        <is>
          <t/>
        </is>
      </c>
      <c r="J1159" s="18" t="n">
        <v>1.9</v>
      </c>
      <c r="K1159" s="19" t="inlineStr">
        <is>
          <t>Biotechnology</t>
        </is>
      </c>
      <c r="L1159" s="20" t="inlineStr">
        <is>
          <t>Operator of an ophthalmic drug delivery company. The company develops ophthalmic drug delivery technologies for intraocular use.</t>
        </is>
      </c>
      <c r="M1159" s="21" t="inlineStr">
        <is>
          <t>U.S. Department of Health and Human Services</t>
        </is>
      </c>
      <c r="N1159" s="22" t="inlineStr">
        <is>
          <t>Angel-Backed</t>
        </is>
      </c>
      <c r="O1159" s="23" t="inlineStr">
        <is>
          <t>Privately Held (backing)</t>
        </is>
      </c>
      <c r="P1159" s="24" t="inlineStr">
        <is>
          <t>Solana Beach, CA</t>
        </is>
      </c>
      <c r="Q1159" s="25" t="inlineStr">
        <is>
          <t>www.spinnakerbiosciences.com</t>
        </is>
      </c>
      <c r="R1159" s="113">
        <f>HYPERLINK("https://my.pitchbook.com?c=92500-03", "View company online")</f>
      </c>
    </row>
    <row r="1160">
      <c r="A1160" s="27" t="inlineStr">
        <is>
          <t>100022-14</t>
        </is>
      </c>
      <c r="B1160" s="28" t="inlineStr">
        <is>
          <t>Spinn Coffee</t>
        </is>
      </c>
      <c r="C1160" s="29" t="n">
        <v>0.04665047813097388</v>
      </c>
      <c r="D1160" s="30" t="n">
        <v>19.38808997438327</v>
      </c>
      <c r="E1160" s="31" t="inlineStr">
        <is>
          <t/>
        </is>
      </c>
      <c r="F1160" s="32" t="inlineStr">
        <is>
          <t/>
        </is>
      </c>
      <c r="G1160" s="33" t="n">
        <v>14127.0</v>
      </c>
      <c r="H1160" s="34" t="n">
        <v>7507.0</v>
      </c>
      <c r="I1160" s="35" t="n">
        <v>15.0</v>
      </c>
      <c r="J1160" s="36" t="n">
        <v>1.63</v>
      </c>
      <c r="K1160" s="37" t="inlineStr">
        <is>
          <t>Electronics (B2C)</t>
        </is>
      </c>
      <c r="L1160" s="38" t="inlineStr">
        <is>
          <t>Manufacturer of Internet connected coffee machines. The company builds coffee machines that use centrifugal force to brew coffee and are connected to a marketplace for specialty coffee roasters.</t>
        </is>
      </c>
      <c r="M1160" s="39" t="inlineStr">
        <is>
          <t>Highway1, PCH</t>
        </is>
      </c>
      <c r="N1160" s="40" t="inlineStr">
        <is>
          <t>Accelerator/Incubator Backed</t>
        </is>
      </c>
      <c r="O1160" s="41" t="inlineStr">
        <is>
          <t>Privately Held (backing)</t>
        </is>
      </c>
      <c r="P1160" s="42" t="inlineStr">
        <is>
          <t>San Francisco, CA</t>
        </is>
      </c>
      <c r="Q1160" s="43" t="inlineStr">
        <is>
          <t>www.spinn.com</t>
        </is>
      </c>
      <c r="R1160" s="114">
        <f>HYPERLINK("https://my.pitchbook.com?c=100022-14", "View company online")</f>
      </c>
    </row>
    <row r="1161">
      <c r="A1161" s="9" t="inlineStr">
        <is>
          <t>54740-35</t>
        </is>
      </c>
      <c r="B1161" s="10" t="inlineStr">
        <is>
          <t>Spinlister</t>
        </is>
      </c>
      <c r="C1161" s="11" t="n">
        <v>0.3831651158608257</v>
      </c>
      <c r="D1161" s="12" t="n">
        <v>50.932524760785626</v>
      </c>
      <c r="E1161" s="13" t="inlineStr">
        <is>
          <t/>
        </is>
      </c>
      <c r="F1161" s="14" t="n">
        <v>1665.0</v>
      </c>
      <c r="G1161" s="15" t="n">
        <v>11920.0</v>
      </c>
      <c r="H1161" s="16" t="n">
        <v>34698.0</v>
      </c>
      <c r="I1161" s="17" t="n">
        <v>12.0</v>
      </c>
      <c r="J1161" s="18" t="n">
        <v>2.13</v>
      </c>
      <c r="K1161" s="19" t="inlineStr">
        <is>
          <t>Internet Retail</t>
        </is>
      </c>
      <c r="L1161" s="20" t="inlineStr">
        <is>
          <t>Provider of an online marketplace for bikes. The company offers an online platform which enables users to find bikes, skis, and snowboards to rent from individuals or existing rental shops.</t>
        </is>
      </c>
      <c r="M1161" s="21" t="inlineStr">
        <is>
          <t>Marcelo Loureiro</t>
        </is>
      </c>
      <c r="N1161" s="22" t="inlineStr">
        <is>
          <t>Angel-Backed</t>
        </is>
      </c>
      <c r="O1161" s="23" t="inlineStr">
        <is>
          <t>Privately Held (backing)</t>
        </is>
      </c>
      <c r="P1161" s="24" t="inlineStr">
        <is>
          <t>Santa Monica, CA</t>
        </is>
      </c>
      <c r="Q1161" s="25" t="inlineStr">
        <is>
          <t>www.spinlister.com</t>
        </is>
      </c>
      <c r="R1161" s="113">
        <f>HYPERLINK("https://my.pitchbook.com?c=54740-35", "View company online")</f>
      </c>
    </row>
    <row r="1162">
      <c r="A1162" s="27" t="inlineStr">
        <is>
          <t>123888-16</t>
        </is>
      </c>
      <c r="B1162" s="28" t="inlineStr">
        <is>
          <t>Spinezone Medical Fitness</t>
        </is>
      </c>
      <c r="C1162" s="29" t="n">
        <v>0.3711781014416834</v>
      </c>
      <c r="D1162" s="30" t="n">
        <v>0.5448784082535003</v>
      </c>
      <c r="E1162" s="31" t="inlineStr">
        <is>
          <t/>
        </is>
      </c>
      <c r="F1162" s="32" t="inlineStr">
        <is>
          <t/>
        </is>
      </c>
      <c r="G1162" s="33" t="n">
        <v>427.0</v>
      </c>
      <c r="H1162" s="34" t="n">
        <v>200.0</v>
      </c>
      <c r="I1162" s="35" t="n">
        <v>11.0</v>
      </c>
      <c r="J1162" s="36" t="inlineStr">
        <is>
          <t/>
        </is>
      </c>
      <c r="K1162" s="37" t="inlineStr">
        <is>
          <t>Other Healthcare Services</t>
        </is>
      </c>
      <c r="L1162" s="38" t="inlineStr">
        <is>
          <t>Developer of back and neck rehabilitation therapy. The company specializes in providing rehabilitation exercise therapy program focused on prevention, treatment, and recovery of spinal conditions.</t>
        </is>
      </c>
      <c r="M1162" s="39" t="inlineStr">
        <is>
          <t>Combustion Ventures</t>
        </is>
      </c>
      <c r="N1162" s="40" t="inlineStr">
        <is>
          <t>Accelerator/Incubator Backed</t>
        </is>
      </c>
      <c r="O1162" s="41" t="inlineStr">
        <is>
          <t>Privately Held (backing)</t>
        </is>
      </c>
      <c r="P1162" s="42" t="inlineStr">
        <is>
          <t>San Diego, CA</t>
        </is>
      </c>
      <c r="Q1162" s="43" t="inlineStr">
        <is>
          <t>wwwspine-zone.com</t>
        </is>
      </c>
      <c r="R1162" s="114">
        <f>HYPERLINK("https://my.pitchbook.com?c=123888-16", "View company online")</f>
      </c>
    </row>
    <row r="1163">
      <c r="A1163" s="9" t="inlineStr">
        <is>
          <t>155951-02</t>
        </is>
      </c>
      <c r="B1163" s="10" t="inlineStr">
        <is>
          <t>Spinal Singularity</t>
        </is>
      </c>
      <c r="C1163" s="11" t="n">
        <v>0.0</v>
      </c>
      <c r="D1163" s="12" t="n">
        <v>1.0030347907650783</v>
      </c>
      <c r="E1163" s="13" t="inlineStr">
        <is>
          <t/>
        </is>
      </c>
      <c r="F1163" s="14" t="n">
        <v>68.0</v>
      </c>
      <c r="G1163" s="15" t="n">
        <v>48.0</v>
      </c>
      <c r="H1163" s="16" t="n">
        <v>98.0</v>
      </c>
      <c r="I1163" s="17" t="inlineStr">
        <is>
          <t/>
        </is>
      </c>
      <c r="J1163" s="18" t="n">
        <v>0.27</v>
      </c>
      <c r="K1163" s="19" t="inlineStr">
        <is>
          <t>Therapeutic Devices</t>
        </is>
      </c>
      <c r="L1163" s="20" t="inlineStr">
        <is>
          <t>Developer of a smart catheter device. The company develops a smart catheter device that alerts patients when their bladder is full via their mobile phone and allows them to empty their bladder with an internal valve.</t>
        </is>
      </c>
      <c r="M1163" s="21" t="inlineStr">
        <is>
          <t>Knapp Venture Competition, MedTech Innovator, SV Tech Ventures, University of California, Y Combinator</t>
        </is>
      </c>
      <c r="N1163" s="22" t="inlineStr">
        <is>
          <t>Accelerator/Incubator Backed</t>
        </is>
      </c>
      <c r="O1163" s="23" t="inlineStr">
        <is>
          <t>Privately Held (backing)</t>
        </is>
      </c>
      <c r="P1163" s="24" t="inlineStr">
        <is>
          <t>San Clemente, CA</t>
        </is>
      </c>
      <c r="Q1163" s="25" t="inlineStr">
        <is>
          <t>www.spinalsingularity.com</t>
        </is>
      </c>
      <c r="R1163" s="113">
        <f>HYPERLINK("https://my.pitchbook.com?c=155951-02", "View company online")</f>
      </c>
    </row>
    <row r="1164">
      <c r="A1164" s="27" t="inlineStr">
        <is>
          <t>95307-76</t>
        </is>
      </c>
      <c r="B1164" s="28" t="inlineStr">
        <is>
          <t>Spinal Integration</t>
        </is>
      </c>
      <c r="C1164" s="29" t="n">
        <v>0.0</v>
      </c>
      <c r="D1164" s="30" t="n">
        <v>0.02702702702702703</v>
      </c>
      <c r="E1164" s="31" t="inlineStr">
        <is>
          <t/>
        </is>
      </c>
      <c r="F1164" s="32" t="n">
        <v>1.0</v>
      </c>
      <c r="G1164" s="33" t="inlineStr">
        <is>
          <t/>
        </is>
      </c>
      <c r="H1164" s="34" t="inlineStr">
        <is>
          <t/>
        </is>
      </c>
      <c r="I1164" s="35" t="inlineStr">
        <is>
          <t/>
        </is>
      </c>
      <c r="J1164" s="36" t="n">
        <v>0.04</v>
      </c>
      <c r="K1164" s="37" t="inlineStr">
        <is>
          <t>Medical Supplies</t>
        </is>
      </c>
      <c r="L1164" s="38" t="inlineStr">
        <is>
          <t>Provider of a medical device for anesthetic dose delivery. The company provides an intraoperative epidural catheter kit to provide single dose delivery of local anesthetic and narcotics for spinal surgery.</t>
        </is>
      </c>
      <c r="M1164" s="39" t="inlineStr">
        <is>
          <t/>
        </is>
      </c>
      <c r="N1164" s="40" t="inlineStr">
        <is>
          <t>Angel-Backed</t>
        </is>
      </c>
      <c r="O1164" s="41" t="inlineStr">
        <is>
          <t>Privately Held (backing)</t>
        </is>
      </c>
      <c r="P1164" s="42" t="inlineStr">
        <is>
          <t>San Carlos, CA</t>
        </is>
      </c>
      <c r="Q1164" s="43" t="inlineStr">
        <is>
          <t>spinalintegration.com</t>
        </is>
      </c>
      <c r="R1164" s="114">
        <f>HYPERLINK("https://my.pitchbook.com?c=95307-76", "View company online")</f>
      </c>
    </row>
    <row r="1165">
      <c r="A1165" s="9" t="inlineStr">
        <is>
          <t>169967-26</t>
        </is>
      </c>
      <c r="B1165" s="10" t="inlineStr">
        <is>
          <t>Spiio</t>
        </is>
      </c>
      <c r="C1165" s="11" t="n">
        <v>0.314159637472581</v>
      </c>
      <c r="D1165" s="12" t="n">
        <v>0.5143316650685847</v>
      </c>
      <c r="E1165" s="13" t="inlineStr">
        <is>
          <t/>
        </is>
      </c>
      <c r="F1165" s="14" t="n">
        <v>26.0</v>
      </c>
      <c r="G1165" s="15" t="n">
        <v>400.0</v>
      </c>
      <c r="H1165" s="16" t="n">
        <v>53.0</v>
      </c>
      <c r="I1165" s="17" t="inlineStr">
        <is>
          <t/>
        </is>
      </c>
      <c r="J1165" s="18" t="inlineStr">
        <is>
          <t/>
        </is>
      </c>
      <c r="K1165" s="19" t="inlineStr">
        <is>
          <t>Machinery (B2B)</t>
        </is>
      </c>
      <c r="L1165" s="20" t="inlineStr">
        <is>
          <t>Developer of sensors designed for high value green plant installations. The company's sensors provides high value green plant installation services for urban vegetation market and offers expertise by combining IoT and horticulture by reducing maintenance cost of irrigation systems and making the whole process digitized, enabling users to accelerate green urban environments.</t>
        </is>
      </c>
      <c r="M1165" s="21" t="inlineStr">
        <is>
          <t>Danish Tech Challenge, Innovation Fund Denmark</t>
        </is>
      </c>
      <c r="N1165" s="22" t="inlineStr">
        <is>
          <t>Accelerator/Incubator Backed</t>
        </is>
      </c>
      <c r="O1165" s="23" t="inlineStr">
        <is>
          <t>Privately Held (backing)</t>
        </is>
      </c>
      <c r="P1165" s="24" t="inlineStr">
        <is>
          <t>Palo Alto, CA</t>
        </is>
      </c>
      <c r="Q1165" s="25" t="inlineStr">
        <is>
          <t>www.spiio.com</t>
        </is>
      </c>
      <c r="R1165" s="113">
        <f>HYPERLINK("https://my.pitchbook.com?c=169967-26", "View company online")</f>
      </c>
    </row>
    <row r="1166">
      <c r="A1166" s="27" t="inlineStr">
        <is>
          <t>58921-21</t>
        </is>
      </c>
      <c r="B1166" s="28" t="inlineStr">
        <is>
          <t>Spice Kit</t>
        </is>
      </c>
      <c r="C1166" s="29" t="n">
        <v>-0.0016411293117813532</v>
      </c>
      <c r="D1166" s="30" t="n">
        <v>3.4314483316878306</v>
      </c>
      <c r="E1166" s="31" t="inlineStr">
        <is>
          <t/>
        </is>
      </c>
      <c r="F1166" s="32" t="n">
        <v>90.0</v>
      </c>
      <c r="G1166" s="33" t="n">
        <v>6304.0</v>
      </c>
      <c r="H1166" s="34" t="n">
        <v>345.0</v>
      </c>
      <c r="I1166" s="35" t="n">
        <v>11.0</v>
      </c>
      <c r="J1166" s="36" t="n">
        <v>1.96</v>
      </c>
      <c r="K1166" s="37" t="inlineStr">
        <is>
          <t>Food Products</t>
        </is>
      </c>
      <c r="L1166" s="38" t="inlineStr">
        <is>
          <t>Provider of Asian street food using French techniques. The company provides a platform where Asian street food is cooked with organic ingredients and meats that have been naturally raised and are available to public.</t>
        </is>
      </c>
      <c r="M1166" s="39" t="inlineStr">
        <is>
          <t/>
        </is>
      </c>
      <c r="N1166" s="40" t="inlineStr">
        <is>
          <t>Angel-Backed</t>
        </is>
      </c>
      <c r="O1166" s="41" t="inlineStr">
        <is>
          <t>Privately Held (backing)</t>
        </is>
      </c>
      <c r="P1166" s="42" t="inlineStr">
        <is>
          <t>San Francisco, CA</t>
        </is>
      </c>
      <c r="Q1166" s="43" t="inlineStr">
        <is>
          <t>www.spicekit.com</t>
        </is>
      </c>
      <c r="R1166" s="114">
        <f>HYPERLINK("https://my.pitchbook.com?c=58921-21", "View company online")</f>
      </c>
    </row>
    <row r="1167">
      <c r="A1167" s="9" t="inlineStr">
        <is>
          <t>169667-20</t>
        </is>
      </c>
      <c r="B1167" s="10" t="inlineStr">
        <is>
          <t>Spherical Defence</t>
        </is>
      </c>
      <c r="C1167" s="11" t="inlineStr">
        <is>
          <t/>
        </is>
      </c>
      <c r="D1167" s="12" t="inlineStr">
        <is>
          <t/>
        </is>
      </c>
      <c r="E1167" s="13" t="inlineStr">
        <is>
          <t/>
        </is>
      </c>
      <c r="F1167" s="14" t="inlineStr">
        <is>
          <t/>
        </is>
      </c>
      <c r="G1167" s="15" t="inlineStr">
        <is>
          <t/>
        </is>
      </c>
      <c r="H1167" s="16" t="inlineStr">
        <is>
          <t/>
        </is>
      </c>
      <c r="I1167" s="17" t="inlineStr">
        <is>
          <t/>
        </is>
      </c>
      <c r="J1167" s="18" t="n">
        <v>0.02</v>
      </c>
      <c r="K1167" s="19" t="inlineStr">
        <is>
          <t>Other IT Services</t>
        </is>
      </c>
      <c r="L1167" s="20" t="inlineStr">
        <is>
          <t>Developer of a banking API intrusion detection system designed to safeguard digital infrastructure of startups from cyber-attacks. The company's banking API intrusion detection system uses deep learning and artificial intelligence technology to detect hacking attempts, perform pen tests on corporate websites and consult them on their cyber security, enabling companies to safeguard their digital infrastructure from cyber-attacks.</t>
        </is>
      </c>
      <c r="M1167" s="21" t="inlineStr">
        <is>
          <t>CyLon, GCHQ Cyber Accelerator, Wayra</t>
        </is>
      </c>
      <c r="N1167" s="22" t="inlineStr">
        <is>
          <t>Accelerator/Incubator Backed</t>
        </is>
      </c>
      <c r="O1167" s="23" t="inlineStr">
        <is>
          <t>Privately Held (backing)</t>
        </is>
      </c>
      <c r="P1167" s="24" t="inlineStr">
        <is>
          <t>Walnut, CA</t>
        </is>
      </c>
      <c r="Q1167" s="25" t="inlineStr">
        <is>
          <t>www.sphericaldefence.com</t>
        </is>
      </c>
      <c r="R1167" s="113">
        <f>HYPERLINK("https://my.pitchbook.com?c=169667-20", "View company online")</f>
      </c>
    </row>
    <row r="1168">
      <c r="A1168" s="27" t="inlineStr">
        <is>
          <t>156597-13</t>
        </is>
      </c>
      <c r="B1168" s="28" t="inlineStr">
        <is>
          <t>Spex Technologies</t>
        </is>
      </c>
      <c r="C1168" s="29" t="inlineStr">
        <is>
          <t/>
        </is>
      </c>
      <c r="D1168" s="30" t="inlineStr">
        <is>
          <t/>
        </is>
      </c>
      <c r="E1168" s="31" t="inlineStr">
        <is>
          <t/>
        </is>
      </c>
      <c r="F1168" s="32" t="inlineStr">
        <is>
          <t/>
        </is>
      </c>
      <c r="G1168" s="33" t="inlineStr">
        <is>
          <t/>
        </is>
      </c>
      <c r="H1168" s="34" t="inlineStr">
        <is>
          <t/>
        </is>
      </c>
      <c r="I1168" s="35" t="inlineStr">
        <is>
          <t/>
        </is>
      </c>
      <c r="J1168" s="36" t="n">
        <v>0.02</v>
      </c>
      <c r="K1168" s="37" t="inlineStr">
        <is>
          <t>Other Business Products and Services</t>
        </is>
      </c>
      <c r="L1168" s="38" t="inlineStr">
        <is>
          <t>The company is currently operating in Stealth mode.</t>
        </is>
      </c>
      <c r="M1168" s="39" t="inlineStr">
        <is>
          <t/>
        </is>
      </c>
      <c r="N1168" s="40" t="inlineStr">
        <is>
          <t>Angel-Backed</t>
        </is>
      </c>
      <c r="O1168" s="41" t="inlineStr">
        <is>
          <t>Privately Held (backing)</t>
        </is>
      </c>
      <c r="P1168" s="42" t="inlineStr">
        <is>
          <t>San Jose, CA</t>
        </is>
      </c>
      <c r="Q1168" s="43" t="inlineStr">
        <is>
          <t/>
        </is>
      </c>
      <c r="R1168" s="114">
        <f>HYPERLINK("https://my.pitchbook.com?c=156597-13", "View company online")</f>
      </c>
    </row>
    <row r="1169">
      <c r="A1169" s="9" t="inlineStr">
        <is>
          <t>102318-94</t>
        </is>
      </c>
      <c r="B1169" s="10" t="inlineStr">
        <is>
          <t>Spero Energy</t>
        </is>
      </c>
      <c r="C1169" s="11" t="n">
        <v>0.0</v>
      </c>
      <c r="D1169" s="12" t="n">
        <v>0.7567567567567568</v>
      </c>
      <c r="E1169" s="13" t="inlineStr">
        <is>
          <t/>
        </is>
      </c>
      <c r="F1169" s="14" t="n">
        <v>28.0</v>
      </c>
      <c r="G1169" s="15" t="inlineStr">
        <is>
          <t/>
        </is>
      </c>
      <c r="H1169" s="16" t="inlineStr">
        <is>
          <t/>
        </is>
      </c>
      <c r="I1169" s="17" t="inlineStr">
        <is>
          <t/>
        </is>
      </c>
      <c r="J1169" s="18" t="inlineStr">
        <is>
          <t/>
        </is>
      </c>
      <c r="K1169" s="19" t="inlineStr">
        <is>
          <t>Industrial Chemicals</t>
        </is>
      </c>
      <c r="L1169" s="20" t="inlineStr">
        <is>
          <t>Developer of a lignin conversion technology designed to develop cost-competitive conversion of non-food biomass feedstock to high-value chemicals (HVCs) and renewable fuels. The company's one step lignin catalysis technology produces high selective lignin-free cellulose and xylose from municipal waste wood, enabling manufacturers of high value renewable chemicals from biomass to avoid expensive and environmentally impactful pretreatment step of lignocellulose.</t>
        </is>
      </c>
      <c r="M1169" s="21" t="inlineStr">
        <is>
          <t>Elevate Ventures, National Science Foundation, Purdue Research Foundation, Purdue University, U.S. Department of Energy</t>
        </is>
      </c>
      <c r="N1169" s="22" t="inlineStr">
        <is>
          <t>Accelerator/Incubator Backed</t>
        </is>
      </c>
      <c r="O1169" s="23" t="inlineStr">
        <is>
          <t>Privately Held (backing)</t>
        </is>
      </c>
      <c r="P1169" s="24" t="inlineStr">
        <is>
          <t>West Lafayette, IN</t>
        </is>
      </c>
      <c r="Q1169" s="25" t="inlineStr">
        <is>
          <t>www.speroenergy.com</t>
        </is>
      </c>
      <c r="R1169" s="113">
        <f>HYPERLINK("https://my.pitchbook.com?c=102318-94", "View company online")</f>
      </c>
    </row>
    <row r="1170">
      <c r="A1170" s="27" t="inlineStr">
        <is>
          <t>109044-55</t>
        </is>
      </c>
      <c r="B1170" s="28" t="inlineStr">
        <is>
          <t>SPENT</t>
        </is>
      </c>
      <c r="C1170" s="86">
        <f>HYPERLINK("https://my.pitchbook.com?rrp=109044-55&amp;type=c", "This Company's information is not available to download. Need this Company? Request availability")</f>
      </c>
      <c r="D1170" s="30" t="inlineStr">
        <is>
          <t/>
        </is>
      </c>
      <c r="E1170" s="31" t="inlineStr">
        <is>
          <t/>
        </is>
      </c>
      <c r="F1170" s="32" t="inlineStr">
        <is>
          <t/>
        </is>
      </c>
      <c r="G1170" s="33" t="inlineStr">
        <is>
          <t/>
        </is>
      </c>
      <c r="H1170" s="34" t="inlineStr">
        <is>
          <t/>
        </is>
      </c>
      <c r="I1170" s="35" t="inlineStr">
        <is>
          <t/>
        </is>
      </c>
      <c r="J1170" s="36" t="inlineStr">
        <is>
          <t/>
        </is>
      </c>
      <c r="K1170" s="37" t="inlineStr">
        <is>
          <t/>
        </is>
      </c>
      <c r="L1170" s="38" t="inlineStr">
        <is>
          <t/>
        </is>
      </c>
      <c r="M1170" s="39" t="inlineStr">
        <is>
          <t/>
        </is>
      </c>
      <c r="N1170" s="40" t="inlineStr">
        <is>
          <t/>
        </is>
      </c>
      <c r="O1170" s="41" t="inlineStr">
        <is>
          <t/>
        </is>
      </c>
      <c r="P1170" s="42" t="inlineStr">
        <is>
          <t/>
        </is>
      </c>
      <c r="Q1170" s="43" t="inlineStr">
        <is>
          <t/>
        </is>
      </c>
      <c r="R1170" s="44" t="inlineStr">
        <is>
          <t/>
        </is>
      </c>
    </row>
    <row r="1171">
      <c r="A1171" s="9" t="inlineStr">
        <is>
          <t>150720-22</t>
        </is>
      </c>
      <c r="B1171" s="10" t="inlineStr">
        <is>
          <t>SpendLabs</t>
        </is>
      </c>
      <c r="C1171" s="11" t="inlineStr">
        <is>
          <t/>
        </is>
      </c>
      <c r="D1171" s="12" t="inlineStr">
        <is>
          <t/>
        </is>
      </c>
      <c r="E1171" s="13" t="inlineStr">
        <is>
          <t/>
        </is>
      </c>
      <c r="F1171" s="14" t="inlineStr">
        <is>
          <t/>
        </is>
      </c>
      <c r="G1171" s="15" t="inlineStr">
        <is>
          <t/>
        </is>
      </c>
      <c r="H1171" s="16" t="inlineStr">
        <is>
          <t/>
        </is>
      </c>
      <c r="I1171" s="17" t="inlineStr">
        <is>
          <t/>
        </is>
      </c>
      <c r="J1171" s="18" t="inlineStr">
        <is>
          <t/>
        </is>
      </c>
      <c r="K1171" s="19" t="inlineStr">
        <is>
          <t>Other Financial Services</t>
        </is>
      </c>
      <c r="L1171" s="20" t="inlineStr">
        <is>
          <t>Provider of a platform for personal expense management. The company provides a platform for users to manage expenses against corporate and departmental budgets by guiding how corporate cards are to be used.</t>
        </is>
      </c>
      <c r="M1171" s="21" t="inlineStr">
        <is>
          <t>Commerce.Innovated</t>
        </is>
      </c>
      <c r="N1171" s="22" t="inlineStr">
        <is>
          <t>Accelerator/Incubator Backed</t>
        </is>
      </c>
      <c r="O1171" s="23" t="inlineStr">
        <is>
          <t>Privately Held (backing)</t>
        </is>
      </c>
      <c r="P1171" s="24" t="inlineStr">
        <is>
          <t>Walnut Creek, CA</t>
        </is>
      </c>
      <c r="Q1171" s="25" t="inlineStr">
        <is>
          <t>www.spendlabs.com</t>
        </is>
      </c>
      <c r="R1171" s="113">
        <f>HYPERLINK("https://my.pitchbook.com?c=150720-22", "View company online")</f>
      </c>
    </row>
    <row r="1172">
      <c r="A1172" s="27" t="inlineStr">
        <is>
          <t>109789-12</t>
        </is>
      </c>
      <c r="B1172" s="28" t="inlineStr">
        <is>
          <t>Speeji</t>
        </is>
      </c>
      <c r="C1172" s="29" t="n">
        <v>0.0</v>
      </c>
      <c r="D1172" s="30" t="n">
        <v>0.029050236677355325</v>
      </c>
      <c r="E1172" s="31" t="inlineStr">
        <is>
          <t/>
        </is>
      </c>
      <c r="F1172" s="32" t="n">
        <v>1.0</v>
      </c>
      <c r="G1172" s="33" t="n">
        <v>133.0</v>
      </c>
      <c r="H1172" s="34" t="n">
        <v>11.0</v>
      </c>
      <c r="I1172" s="35" t="inlineStr">
        <is>
          <t/>
        </is>
      </c>
      <c r="J1172" s="36" t="inlineStr">
        <is>
          <t/>
        </is>
      </c>
      <c r="K1172" s="37" t="inlineStr">
        <is>
          <t>Application Software</t>
        </is>
      </c>
      <c r="L1172" s="38" t="inlineStr">
        <is>
          <t>Provider of a translation engine to convert words and messages into emojis. The company's application allows users to record the messages and automatically converts the audio message into emojis.</t>
        </is>
      </c>
      <c r="M1172" s="39" t="inlineStr">
        <is>
          <t>Thunderbolt Studios</t>
        </is>
      </c>
      <c r="N1172" s="40" t="inlineStr">
        <is>
          <t>Accelerator/Incubator Backed</t>
        </is>
      </c>
      <c r="O1172" s="41" t="inlineStr">
        <is>
          <t>Privately Held (backing)</t>
        </is>
      </c>
      <c r="P1172" s="42" t="inlineStr">
        <is>
          <t>Beverly Hills, CA</t>
        </is>
      </c>
      <c r="Q1172" s="43" t="inlineStr">
        <is>
          <t>www.speeji.com</t>
        </is>
      </c>
      <c r="R1172" s="114">
        <f>HYPERLINK("https://my.pitchbook.com?c=109789-12", "View company online")</f>
      </c>
    </row>
    <row r="1173">
      <c r="A1173" s="9" t="inlineStr">
        <is>
          <t>115406-92</t>
        </is>
      </c>
      <c r="B1173" s="10" t="inlineStr">
        <is>
          <t>Speedlancer</t>
        </is>
      </c>
      <c r="C1173" s="11" t="n">
        <v>0.04396345643634231</v>
      </c>
      <c r="D1173" s="12" t="n">
        <v>1.932698558122287</v>
      </c>
      <c r="E1173" s="13" t="inlineStr">
        <is>
          <t/>
        </is>
      </c>
      <c r="F1173" s="14" t="n">
        <v>35.0</v>
      </c>
      <c r="G1173" s="15" t="n">
        <v>597.0</v>
      </c>
      <c r="H1173" s="16" t="n">
        <v>1807.0</v>
      </c>
      <c r="I1173" s="17" t="n">
        <v>4.0</v>
      </c>
      <c r="J1173" s="18" t="n">
        <v>0.72</v>
      </c>
      <c r="K1173" s="19" t="inlineStr">
        <is>
          <t>Other Commercial Services</t>
        </is>
      </c>
      <c r="L1173" s="20" t="inlineStr">
        <is>
          <t>Provider of an online freelance marketplace. The company offers a Web-based platform that helps startup founders, digital agencies, SMBs, marketers and enterprises to get tasks done quicker by curated freelancers.</t>
        </is>
      </c>
      <c r="M1173" s="21" t="inlineStr">
        <is>
          <t>500 Startups, Adam Krongold, Adebayo Orimoloye, Art Burris, David McClure, Han-Sheong Lai, Macdoch Ventures, Tristan Pollock</t>
        </is>
      </c>
      <c r="N1173" s="22" t="inlineStr">
        <is>
          <t>Accelerator/Incubator Backed</t>
        </is>
      </c>
      <c r="O1173" s="23" t="inlineStr">
        <is>
          <t>Privately Held (backing)</t>
        </is>
      </c>
      <c r="P1173" s="24" t="inlineStr">
        <is>
          <t>San Francisco, CA</t>
        </is>
      </c>
      <c r="Q1173" s="25" t="inlineStr">
        <is>
          <t>www.speedlancer.com</t>
        </is>
      </c>
      <c r="R1173" s="113">
        <f>HYPERLINK("https://my.pitchbook.com?c=115406-92", "View company online")</f>
      </c>
    </row>
    <row r="1174">
      <c r="A1174" s="27" t="inlineStr">
        <is>
          <t>115552-00</t>
        </is>
      </c>
      <c r="B1174" s="28" t="inlineStr">
        <is>
          <t>Speech Technology Group</t>
        </is>
      </c>
      <c r="C1174" s="29" t="n">
        <v>0.0</v>
      </c>
      <c r="D1174" s="30" t="n">
        <v>0.28943350129790807</v>
      </c>
      <c r="E1174" s="31" t="inlineStr">
        <is>
          <t/>
        </is>
      </c>
      <c r="F1174" s="32" t="n">
        <v>21.0</v>
      </c>
      <c r="G1174" s="33" t="inlineStr">
        <is>
          <t/>
        </is>
      </c>
      <c r="H1174" s="34" t="n">
        <v>4.0</v>
      </c>
      <c r="I1174" s="35" t="n">
        <v>1.0</v>
      </c>
      <c r="J1174" s="36" t="inlineStr">
        <is>
          <t/>
        </is>
      </c>
      <c r="K1174" s="37" t="inlineStr">
        <is>
          <t>Social/Platform Software</t>
        </is>
      </c>
      <c r="L1174" s="38" t="inlineStr">
        <is>
          <t>Developer of 64-bit text-to-speech and speech recognition technology. The company offers eProScore, which provides recording, playback and analysis of spoken words with pronunciation scoring.</t>
        </is>
      </c>
      <c r="M1174" s="39" t="inlineStr">
        <is>
          <t>Grants4Apps</t>
        </is>
      </c>
      <c r="N1174" s="40" t="inlineStr">
        <is>
          <t>Accelerator/Incubator Backed</t>
        </is>
      </c>
      <c r="O1174" s="41" t="inlineStr">
        <is>
          <t>Privately Held (backing)</t>
        </is>
      </c>
      <c r="P1174" s="42" t="inlineStr">
        <is>
          <t>Del Mar, CA</t>
        </is>
      </c>
      <c r="Q1174" s="43" t="inlineStr">
        <is>
          <t>www.speechtechnologygroup.com</t>
        </is>
      </c>
      <c r="R1174" s="114">
        <f>HYPERLINK("https://my.pitchbook.com?c=115552-00", "View company online")</f>
      </c>
    </row>
    <row r="1175">
      <c r="A1175" s="9" t="inlineStr">
        <is>
          <t>109155-52</t>
        </is>
      </c>
      <c r="B1175" s="10" t="inlineStr">
        <is>
          <t>Speech Morphing</t>
        </is>
      </c>
      <c r="C1175" s="11" t="n">
        <v>0.0</v>
      </c>
      <c r="D1175" s="12" t="n">
        <v>0.024838389816282228</v>
      </c>
      <c r="E1175" s="13" t="inlineStr">
        <is>
          <t/>
        </is>
      </c>
      <c r="F1175" s="14" t="n">
        <v>1.0</v>
      </c>
      <c r="G1175" s="15" t="n">
        <v>16.0</v>
      </c>
      <c r="H1175" s="16" t="n">
        <v>9.0</v>
      </c>
      <c r="I1175" s="17" t="n">
        <v>11.0</v>
      </c>
      <c r="J1175" s="18" t="n">
        <v>0.75</v>
      </c>
      <c r="K1175" s="19" t="inlineStr">
        <is>
          <t>Other IT Services</t>
        </is>
      </c>
      <c r="L1175" s="20" t="inlineStr">
        <is>
          <t>Developer of a voice transformations technology. The company develops a voice transformations technology for speech analysis, speech understanding and voice personalization.</t>
        </is>
      </c>
      <c r="M1175" s="21" t="inlineStr">
        <is>
          <t/>
        </is>
      </c>
      <c r="N1175" s="22" t="inlineStr">
        <is>
          <t>Angel-Backed</t>
        </is>
      </c>
      <c r="O1175" s="23" t="inlineStr">
        <is>
          <t>Privately Held (backing)</t>
        </is>
      </c>
      <c r="P1175" s="24" t="inlineStr">
        <is>
          <t>Campbell, CA</t>
        </is>
      </c>
      <c r="Q1175" s="25" t="inlineStr">
        <is>
          <t>www.speechmorphing.com</t>
        </is>
      </c>
      <c r="R1175" s="113">
        <f>HYPERLINK("https://my.pitchbook.com?c=109155-52", "View company online")</f>
      </c>
    </row>
    <row r="1176">
      <c r="A1176" s="27" t="inlineStr">
        <is>
          <t>62253-37</t>
        </is>
      </c>
      <c r="B1176" s="28" t="inlineStr">
        <is>
          <t>Speech Kingdom</t>
        </is>
      </c>
      <c r="C1176" s="29" t="inlineStr">
        <is>
          <t/>
        </is>
      </c>
      <c r="D1176" s="30" t="inlineStr">
        <is>
          <t/>
        </is>
      </c>
      <c r="E1176" s="31" t="inlineStr">
        <is>
          <t/>
        </is>
      </c>
      <c r="F1176" s="32" t="inlineStr">
        <is>
          <t/>
        </is>
      </c>
      <c r="G1176" s="33" t="inlineStr">
        <is>
          <t/>
        </is>
      </c>
      <c r="H1176" s="34" t="inlineStr">
        <is>
          <t/>
        </is>
      </c>
      <c r="I1176" s="35" t="inlineStr">
        <is>
          <t/>
        </is>
      </c>
      <c r="J1176" s="36" t="n">
        <v>0.54</v>
      </c>
      <c r="K1176" s="37" t="inlineStr">
        <is>
          <t>Other Software</t>
        </is>
      </c>
      <c r="L1176" s="38" t="inlineStr">
        <is>
          <t>Developer of an online software for the treatment of speech disorder. The company develops an online software for individuals with social communication, speech, language and related disorders and disabilities.</t>
        </is>
      </c>
      <c r="M1176" s="39" t="inlineStr">
        <is>
          <t/>
        </is>
      </c>
      <c r="N1176" s="40" t="inlineStr">
        <is>
          <t>Angel-Backed</t>
        </is>
      </c>
      <c r="O1176" s="41" t="inlineStr">
        <is>
          <t>Privately Held (backing)</t>
        </is>
      </c>
      <c r="P1176" s="42" t="inlineStr">
        <is>
          <t>Los Angeles, CA</t>
        </is>
      </c>
      <c r="Q1176" s="43" t="inlineStr">
        <is>
          <t/>
        </is>
      </c>
      <c r="R1176" s="114">
        <f>HYPERLINK("https://my.pitchbook.com?c=62253-37", "View company online")</f>
      </c>
    </row>
    <row r="1177">
      <c r="A1177" s="9" t="inlineStr">
        <is>
          <t>120821-95</t>
        </is>
      </c>
      <c r="B1177" s="10" t="inlineStr">
        <is>
          <t>Spectral Platforms</t>
        </is>
      </c>
      <c r="C1177" s="11" t="n">
        <v>0.0</v>
      </c>
      <c r="D1177" s="12" t="n">
        <v>0.13513513513513514</v>
      </c>
      <c r="E1177" s="13" t="inlineStr">
        <is>
          <t/>
        </is>
      </c>
      <c r="F1177" s="14" t="n">
        <v>5.0</v>
      </c>
      <c r="G1177" s="15" t="inlineStr">
        <is>
          <t/>
        </is>
      </c>
      <c r="H1177" s="16" t="inlineStr">
        <is>
          <t/>
        </is>
      </c>
      <c r="I1177" s="17" t="n">
        <v>4.0</v>
      </c>
      <c r="J1177" s="18" t="n">
        <v>0.68</v>
      </c>
      <c r="K1177" s="19" t="inlineStr">
        <is>
          <t>Discovery Tools (Healthcare)</t>
        </is>
      </c>
      <c r="L1177" s="20" t="inlineStr">
        <is>
          <t>Developer of a platform for the diagnosis of infectious diseases in clinical samples. The company develops a technology that detects the presence of any pathogenic microorganism in blood within 1 hour of blood draw.</t>
        </is>
      </c>
      <c r="M1177" s="21" t="inlineStr">
        <is>
          <t>United States Army</t>
        </is>
      </c>
      <c r="N1177" s="22" t="inlineStr">
        <is>
          <t>Angel-Backed</t>
        </is>
      </c>
      <c r="O1177" s="23" t="inlineStr">
        <is>
          <t>Privately Held (backing)</t>
        </is>
      </c>
      <c r="P1177" s="24" t="inlineStr">
        <is>
          <t>Monrovia, CA</t>
        </is>
      </c>
      <c r="Q1177" s="25" t="inlineStr">
        <is>
          <t>www.spectralplatforms.com</t>
        </is>
      </c>
      <c r="R1177" s="113">
        <f>HYPERLINK("https://my.pitchbook.com?c=120821-95", "View company online")</f>
      </c>
    </row>
    <row r="1178">
      <c r="A1178" s="27" t="inlineStr">
        <is>
          <t>99048-34</t>
        </is>
      </c>
      <c r="B1178" s="28" t="inlineStr">
        <is>
          <t>Spectracore Technologies</t>
        </is>
      </c>
      <c r="C1178" s="29" t="n">
        <v>0.0</v>
      </c>
      <c r="D1178" s="30" t="n">
        <v>0.1405939838143228</v>
      </c>
      <c r="E1178" s="31" t="inlineStr">
        <is>
          <t/>
        </is>
      </c>
      <c r="F1178" s="32" t="n">
        <v>8.0</v>
      </c>
      <c r="G1178" s="33" t="inlineStr">
        <is>
          <t/>
        </is>
      </c>
      <c r="H1178" s="34" t="n">
        <v>23.0</v>
      </c>
      <c r="I1178" s="35" t="n">
        <v>51.0</v>
      </c>
      <c r="J1178" s="36" t="inlineStr">
        <is>
          <t/>
        </is>
      </c>
      <c r="K1178" s="37" t="inlineStr">
        <is>
          <t>Social/Platform Software</t>
        </is>
      </c>
      <c r="L1178" s="38" t="inlineStr">
        <is>
          <t>Developer of software and other technology products. The company offers platforms, tools and professional services including connected home media center appliance, in-vehicle infotainment unit, HDMI adapter which helps original equipment manufacturers.</t>
        </is>
      </c>
      <c r="M1178" s="39" t="inlineStr">
        <is>
          <t>EvoNexus</t>
        </is>
      </c>
      <c r="N1178" s="40" t="inlineStr">
        <is>
          <t>Accelerator/Incubator Backed</t>
        </is>
      </c>
      <c r="O1178" s="41" t="inlineStr">
        <is>
          <t>Privately Held (backing)</t>
        </is>
      </c>
      <c r="P1178" s="42" t="inlineStr">
        <is>
          <t>San Diego, CA</t>
        </is>
      </c>
      <c r="Q1178" s="43" t="inlineStr">
        <is>
          <t>www.spectracoretech.com</t>
        </is>
      </c>
      <c r="R1178" s="114">
        <f>HYPERLINK("https://my.pitchbook.com?c=99048-34", "View company online")</f>
      </c>
    </row>
    <row r="1179">
      <c r="A1179" s="9" t="inlineStr">
        <is>
          <t>151080-49</t>
        </is>
      </c>
      <c r="B1179" s="10" t="inlineStr">
        <is>
          <t>Spective</t>
        </is>
      </c>
      <c r="C1179" s="11" t="n">
        <v>0.11377075434173906</v>
      </c>
      <c r="D1179" s="12" t="n">
        <v>3.6130744203515026</v>
      </c>
      <c r="E1179" s="13" t="inlineStr">
        <is>
          <t/>
        </is>
      </c>
      <c r="F1179" s="14" t="n">
        <v>8.0</v>
      </c>
      <c r="G1179" s="15" t="n">
        <v>10980.0</v>
      </c>
      <c r="H1179" s="16" t="n">
        <v>135.0</v>
      </c>
      <c r="I1179" s="17" t="inlineStr">
        <is>
          <t/>
        </is>
      </c>
      <c r="J1179" s="18" t="n">
        <v>0.05</v>
      </c>
      <c r="K1179" s="19" t="inlineStr">
        <is>
          <t>Social/Platform Software</t>
        </is>
      </c>
      <c r="L1179" s="20" t="inlineStr">
        <is>
          <t>Provider of a web-based platform for designing and selling sunglasses. The company offers an online customization and sales platform for eye wear and sunglasses.</t>
        </is>
      </c>
      <c r="M1179" s="21" t="inlineStr">
        <is>
          <t/>
        </is>
      </c>
      <c r="N1179" s="22" t="inlineStr">
        <is>
          <t>Angel-Backed</t>
        </is>
      </c>
      <c r="O1179" s="23" t="inlineStr">
        <is>
          <t>Privately Held (backing)</t>
        </is>
      </c>
      <c r="P1179" s="24" t="inlineStr">
        <is>
          <t>Los Angeles, CA</t>
        </is>
      </c>
      <c r="Q1179" s="25" t="inlineStr">
        <is>
          <t>www.spective.com</t>
        </is>
      </c>
      <c r="R1179" s="113">
        <f>HYPERLINK("https://my.pitchbook.com?c=151080-49", "View company online")</f>
      </c>
    </row>
    <row r="1180">
      <c r="A1180" s="27" t="inlineStr">
        <is>
          <t>93873-61</t>
        </is>
      </c>
      <c r="B1180" s="28" t="inlineStr">
        <is>
          <t>Spectafy</t>
        </is>
      </c>
      <c r="C1180" s="29" t="n">
        <v>-0.010705791356706774</v>
      </c>
      <c r="D1180" s="30" t="n">
        <v>0.38908239748328177</v>
      </c>
      <c r="E1180" s="31" t="inlineStr">
        <is>
          <t/>
        </is>
      </c>
      <c r="F1180" s="32" t="n">
        <v>22.0</v>
      </c>
      <c r="G1180" s="33" t="n">
        <v>291.0</v>
      </c>
      <c r="H1180" s="34" t="n">
        <v>2.0</v>
      </c>
      <c r="I1180" s="35" t="n">
        <v>6.0</v>
      </c>
      <c r="J1180" s="36" t="n">
        <v>0.38</v>
      </c>
      <c r="K1180" s="37" t="inlineStr">
        <is>
          <t>Information Services (B2C)</t>
        </is>
      </c>
      <c r="L1180" s="38" t="inlineStr">
        <is>
          <t>Developer and provider of community powered applications. The company offers an application that enables users to interact with people, receive news on several activities and collect data.</t>
        </is>
      </c>
      <c r="M1180" s="39" t="inlineStr">
        <is>
          <t>Victor Shkulev</t>
        </is>
      </c>
      <c r="N1180" s="40" t="inlineStr">
        <is>
          <t>Angel-Backed</t>
        </is>
      </c>
      <c r="O1180" s="41" t="inlineStr">
        <is>
          <t>Privately Held (backing)</t>
        </is>
      </c>
      <c r="P1180" s="42" t="inlineStr">
        <is>
          <t>San Francisco, CA</t>
        </is>
      </c>
      <c r="Q1180" s="43" t="inlineStr">
        <is>
          <t>www.spectafy.com</t>
        </is>
      </c>
      <c r="R1180" s="114">
        <f>HYPERLINK("https://my.pitchbook.com?c=93873-61", "View company online")</f>
      </c>
    </row>
    <row r="1181">
      <c r="A1181" s="9" t="inlineStr">
        <is>
          <t>100584-82</t>
        </is>
      </c>
      <c r="B1181" s="10" t="inlineStr">
        <is>
          <t>Specialty Surgical Center of Encino</t>
        </is>
      </c>
      <c r="C1181" s="11" t="n">
        <v>0.0</v>
      </c>
      <c r="D1181" s="12" t="n">
        <v>0.019724693637737115</v>
      </c>
      <c r="E1181" s="13" t="inlineStr">
        <is>
          <t/>
        </is>
      </c>
      <c r="F1181" s="14" t="n">
        <v>1.0</v>
      </c>
      <c r="G1181" s="15" t="n">
        <v>8.0</v>
      </c>
      <c r="H1181" s="16" t="inlineStr">
        <is>
          <t/>
        </is>
      </c>
      <c r="I1181" s="17" t="inlineStr">
        <is>
          <t/>
        </is>
      </c>
      <c r="J1181" s="18" t="n">
        <v>0.59</v>
      </c>
      <c r="K1181" s="19" t="inlineStr">
        <is>
          <t>Clinics/Outpatient Services</t>
        </is>
      </c>
      <c r="L1181" s="20" t="inlineStr">
        <is>
          <t>Operator of a outpatient surgery center. The company provides high quality outpatient surgical care in a convenient and comfortable setting.</t>
        </is>
      </c>
      <c r="M1181" s="21" t="inlineStr">
        <is>
          <t/>
        </is>
      </c>
      <c r="N1181" s="22" t="inlineStr">
        <is>
          <t>Angel-Backed</t>
        </is>
      </c>
      <c r="O1181" s="23" t="inlineStr">
        <is>
          <t>Privately Held (backing)</t>
        </is>
      </c>
      <c r="P1181" s="24" t="inlineStr">
        <is>
          <t>Los Angeles, CA</t>
        </is>
      </c>
      <c r="Q1181" s="25" t="inlineStr">
        <is>
          <t>www.sscencino.com</t>
        </is>
      </c>
      <c r="R1181" s="113">
        <f>HYPERLINK("https://my.pitchbook.com?c=100584-82", "View company online")</f>
      </c>
    </row>
    <row r="1182">
      <c r="A1182" s="27" t="inlineStr">
        <is>
          <t>90161-20</t>
        </is>
      </c>
      <c r="B1182" s="28" t="inlineStr">
        <is>
          <t>SpeakUp</t>
        </is>
      </c>
      <c r="C1182" s="29" t="n">
        <v>-0.03637466444214272</v>
      </c>
      <c r="D1182" s="30" t="n">
        <v>1.2945341567486004</v>
      </c>
      <c r="E1182" s="31" t="inlineStr">
        <is>
          <t/>
        </is>
      </c>
      <c r="F1182" s="32" t="n">
        <v>25.0</v>
      </c>
      <c r="G1182" s="33" t="n">
        <v>636.0</v>
      </c>
      <c r="H1182" s="34" t="n">
        <v>1076.0</v>
      </c>
      <c r="I1182" s="35" t="n">
        <v>11.0</v>
      </c>
      <c r="J1182" s="36" t="n">
        <v>0.82</v>
      </c>
      <c r="K1182" s="37" t="inlineStr">
        <is>
          <t>Other Commercial Services</t>
        </is>
      </c>
      <c r="L1182" s="38" t="inlineStr">
        <is>
          <t>Provider of a human resource platform. The company offers an anonymous platform to the organization and its employees for participating in problem solving with transparent decision making and feedback from the management team.</t>
        </is>
      </c>
      <c r="M1182" s="39" t="inlineStr">
        <is>
          <t>Mato Peric</t>
        </is>
      </c>
      <c r="N1182" s="40" t="inlineStr">
        <is>
          <t>Angel-Backed</t>
        </is>
      </c>
      <c r="O1182" s="41" t="inlineStr">
        <is>
          <t>Privately Held (backing)</t>
        </is>
      </c>
      <c r="P1182" s="42" t="inlineStr">
        <is>
          <t>San Francisco, CA</t>
        </is>
      </c>
      <c r="Q1182" s="43" t="inlineStr">
        <is>
          <t>www.getspeakup.com</t>
        </is>
      </c>
      <c r="R1182" s="114">
        <f>HYPERLINK("https://my.pitchbook.com?c=90161-20", "View company online")</f>
      </c>
    </row>
    <row r="1183">
      <c r="A1183" s="9" t="inlineStr">
        <is>
          <t>178888-96</t>
        </is>
      </c>
      <c r="B1183" s="10" t="inlineStr">
        <is>
          <t>Speakeasy Labs</t>
        </is>
      </c>
      <c r="C1183" s="11" t="inlineStr">
        <is>
          <t/>
        </is>
      </c>
      <c r="D1183" s="12" t="inlineStr">
        <is>
          <t/>
        </is>
      </c>
      <c r="E1183" s="13" t="inlineStr">
        <is>
          <t/>
        </is>
      </c>
      <c r="F1183" s="14" t="inlineStr">
        <is>
          <t/>
        </is>
      </c>
      <c r="G1183" s="15" t="inlineStr">
        <is>
          <t/>
        </is>
      </c>
      <c r="H1183" s="16" t="inlineStr">
        <is>
          <t/>
        </is>
      </c>
      <c r="I1183" s="17" t="inlineStr">
        <is>
          <t/>
        </is>
      </c>
      <c r="J1183" s="18" t="n">
        <v>0.12</v>
      </c>
      <c r="K1183" s="19" t="inlineStr">
        <is>
          <t>Application Software</t>
        </is>
      </c>
      <c r="L1183" s="20" t="inlineStr">
        <is>
          <t>Developer of a language learning mobile application designed to help people to learn English language. The company's language learning mobile application uses speech recognition techniques that helps users to learn and speak English by having conversations about real world scenarios, enabling them to identify English words through thick accents and learn to speak more clearly.</t>
        </is>
      </c>
      <c r="M1183" s="21" t="inlineStr">
        <is>
          <t>Investo, Y Combinator</t>
        </is>
      </c>
      <c r="N1183" s="22" t="inlineStr">
        <is>
          <t>Accelerator/Incubator Backed</t>
        </is>
      </c>
      <c r="O1183" s="23" t="inlineStr">
        <is>
          <t>Privately Held (backing)</t>
        </is>
      </c>
      <c r="P1183" s="24" t="inlineStr">
        <is>
          <t>Mountain View, CA</t>
        </is>
      </c>
      <c r="Q1183" s="25" t="inlineStr">
        <is>
          <t>www.usespeakeasy.com</t>
        </is>
      </c>
      <c r="R1183" s="113">
        <f>HYPERLINK("https://my.pitchbook.com?c=178888-96", "View company online")</f>
      </c>
    </row>
    <row r="1184">
      <c r="A1184" s="27" t="inlineStr">
        <is>
          <t>92369-35</t>
        </is>
      </c>
      <c r="B1184" s="28" t="inlineStr">
        <is>
          <t>Speak With Me</t>
        </is>
      </c>
      <c r="C1184" s="29" t="n">
        <v>-0.032856641552608166</v>
      </c>
      <c r="D1184" s="30" t="n">
        <v>0.7216117343788677</v>
      </c>
      <c r="E1184" s="31" t="inlineStr">
        <is>
          <t/>
        </is>
      </c>
      <c r="F1184" s="32" t="n">
        <v>38.0</v>
      </c>
      <c r="G1184" s="33" t="n">
        <v>211.0</v>
      </c>
      <c r="H1184" s="34" t="n">
        <v>201.0</v>
      </c>
      <c r="I1184" s="35" t="n">
        <v>5.0</v>
      </c>
      <c r="J1184" s="36" t="n">
        <v>2.4</v>
      </c>
      <c r="K1184" s="37" t="inlineStr">
        <is>
          <t>Social/Platform Software</t>
        </is>
      </c>
      <c r="L1184" s="38" t="inlineStr">
        <is>
          <t>Developer of a client-server voice recognition platform. The company operates a voice-activated technology platform that allows users to interact with electronic devices.</t>
        </is>
      </c>
      <c r="M1184" s="39" t="inlineStr">
        <is>
          <t>Amitt Mahajan, Chuck Arendt, Ernesto Onate, Farhad Malek, Jade Wang, John Cheong, Julie Roehm, Justice Reed, Kai Chang, Kaihan Ashtiani, MC Balabanian, Michael Chaves, Mitch Day, Patricia Jimenez, Romy Maxwell, Sizhao Yang, Vik Patel, Virginia Bamford</t>
        </is>
      </c>
      <c r="N1184" s="40" t="inlineStr">
        <is>
          <t>Angel-Backed</t>
        </is>
      </c>
      <c r="O1184" s="41" t="inlineStr">
        <is>
          <t>Privately Held (backing)</t>
        </is>
      </c>
      <c r="P1184" s="42" t="inlineStr">
        <is>
          <t>Mountain View, CA</t>
        </is>
      </c>
      <c r="Q1184" s="43" t="inlineStr">
        <is>
          <t>www.speakwithme.com</t>
        </is>
      </c>
      <c r="R1184" s="114">
        <f>HYPERLINK("https://my.pitchbook.com?c=92369-35", "View company online")</f>
      </c>
    </row>
    <row r="1185">
      <c r="A1185" s="9" t="inlineStr">
        <is>
          <t>98820-28</t>
        </is>
      </c>
      <c r="B1185" s="10" t="inlineStr">
        <is>
          <t>Sparrow (Mobile)</t>
        </is>
      </c>
      <c r="C1185" s="11" t="n">
        <v>-0.024839451804277074</v>
      </c>
      <c r="D1185" s="12" t="n">
        <v>0.8787551131508392</v>
      </c>
      <c r="E1185" s="13" t="inlineStr">
        <is>
          <t/>
        </is>
      </c>
      <c r="F1185" s="14" t="n">
        <v>26.0</v>
      </c>
      <c r="G1185" s="15" t="n">
        <v>467.0</v>
      </c>
      <c r="H1185" s="16" t="n">
        <v>541.0</v>
      </c>
      <c r="I1185" s="17" t="n">
        <v>6.0</v>
      </c>
      <c r="J1185" s="18" t="inlineStr">
        <is>
          <t/>
        </is>
      </c>
      <c r="K1185" s="19" t="inlineStr">
        <is>
          <t>Telecommunications Service Providers</t>
        </is>
      </c>
      <c r="L1185" s="20" t="inlineStr">
        <is>
          <t>Provider of telecommunications service. The company offers telecommunications service in the United States and also donates mobile devices to the poor for every new connection sold.</t>
        </is>
      </c>
      <c r="M1185" s="21" t="inlineStr">
        <is>
          <t>500 Startups, Runway Incubator</t>
        </is>
      </c>
      <c r="N1185" s="22" t="inlineStr">
        <is>
          <t>Accelerator/Incubator Backed</t>
        </is>
      </c>
      <c r="O1185" s="23" t="inlineStr">
        <is>
          <t>Privately Held (backing)</t>
        </is>
      </c>
      <c r="P1185" s="24" t="inlineStr">
        <is>
          <t>San Francisco, CA</t>
        </is>
      </c>
      <c r="Q1185" s="25" t="inlineStr">
        <is>
          <t>www.sparrowmobile.com</t>
        </is>
      </c>
      <c r="R1185" s="113">
        <f>HYPERLINK("https://my.pitchbook.com?c=98820-28", "View company online")</f>
      </c>
    </row>
    <row r="1186">
      <c r="A1186" s="27" t="inlineStr">
        <is>
          <t>65104-75</t>
        </is>
      </c>
      <c r="B1186" s="28" t="inlineStr">
        <is>
          <t>Sparksfly Technologies</t>
        </is>
      </c>
      <c r="C1186" s="29" t="n">
        <v>0.02066252043017057</v>
      </c>
      <c r="D1186" s="30" t="n">
        <v>0.5400987206808872</v>
      </c>
      <c r="E1186" s="31" t="inlineStr">
        <is>
          <t/>
        </is>
      </c>
      <c r="F1186" s="32" t="n">
        <v>29.0</v>
      </c>
      <c r="G1186" s="33" t="n">
        <v>77.0</v>
      </c>
      <c r="H1186" s="34" t="n">
        <v>176.0</v>
      </c>
      <c r="I1186" s="35" t="n">
        <v>4.0</v>
      </c>
      <c r="J1186" s="36" t="n">
        <v>1.0</v>
      </c>
      <c r="K1186" s="37" t="inlineStr">
        <is>
          <t>Application Software</t>
        </is>
      </c>
      <c r="L1186" s="38" t="inlineStr">
        <is>
          <t>Developer of mobile productivity applications. The company allows users to filter their feeds by people and keywords and establish routines.</t>
        </is>
      </c>
      <c r="M1186" s="39" t="inlineStr">
        <is>
          <t/>
        </is>
      </c>
      <c r="N1186" s="40" t="inlineStr">
        <is>
          <t>Angel-Backed</t>
        </is>
      </c>
      <c r="O1186" s="41" t="inlineStr">
        <is>
          <t>Privately Held (backing)</t>
        </is>
      </c>
      <c r="P1186" s="42" t="inlineStr">
        <is>
          <t>Palo Alto, CA</t>
        </is>
      </c>
      <c r="Q1186" s="43" t="inlineStr">
        <is>
          <t>www.sparksfly.com</t>
        </is>
      </c>
      <c r="R1186" s="114">
        <f>HYPERLINK("https://my.pitchbook.com?c=65104-75", "View company online")</f>
      </c>
    </row>
    <row r="1187">
      <c r="A1187" s="9" t="inlineStr">
        <is>
          <t>93872-44</t>
        </is>
      </c>
      <c r="B1187" s="10" t="inlineStr">
        <is>
          <t>Sparkroad</t>
        </is>
      </c>
      <c r="C1187" s="11" t="n">
        <v>0.004340277777777654</v>
      </c>
      <c r="D1187" s="12" t="n">
        <v>0.1909431433749783</v>
      </c>
      <c r="E1187" s="13" t="inlineStr">
        <is>
          <t/>
        </is>
      </c>
      <c r="F1187" s="14" t="n">
        <v>7.0</v>
      </c>
      <c r="G1187" s="15" t="n">
        <v>103.0</v>
      </c>
      <c r="H1187" s="16" t="n">
        <v>72.0</v>
      </c>
      <c r="I1187" s="17" t="n">
        <v>11.0</v>
      </c>
      <c r="J1187" s="18" t="inlineStr">
        <is>
          <t/>
        </is>
      </c>
      <c r="K1187" s="19" t="inlineStr">
        <is>
          <t>Social Content</t>
        </is>
      </c>
      <c r="L1187" s="20" t="inlineStr">
        <is>
          <t>Provider of an online platform to connect teachers and parents. The company provides an online platform for connecting teachers and parents for updates and news.</t>
        </is>
      </c>
      <c r="M1187" s="21" t="inlineStr">
        <is>
          <t>NewME</t>
        </is>
      </c>
      <c r="N1187" s="22" t="inlineStr">
        <is>
          <t>Accelerator/Incubator Backed</t>
        </is>
      </c>
      <c r="O1187" s="23" t="inlineStr">
        <is>
          <t>Privately Held (backing)</t>
        </is>
      </c>
      <c r="P1187" s="24" t="inlineStr">
        <is>
          <t>Folsom, CA</t>
        </is>
      </c>
      <c r="Q1187" s="25" t="inlineStr">
        <is>
          <t>www.sparkroad.com</t>
        </is>
      </c>
      <c r="R1187" s="113">
        <f>HYPERLINK("https://my.pitchbook.com?c=93872-44", "View company online")</f>
      </c>
    </row>
    <row r="1188">
      <c r="A1188" s="27" t="inlineStr">
        <is>
          <t>169372-09</t>
        </is>
      </c>
      <c r="B1188" s="28" t="inlineStr">
        <is>
          <t>SparkRaiser</t>
        </is>
      </c>
      <c r="C1188" s="29" t="inlineStr">
        <is>
          <t/>
        </is>
      </c>
      <c r="D1188" s="30" t="inlineStr">
        <is>
          <t/>
        </is>
      </c>
      <c r="E1188" s="31" t="inlineStr">
        <is>
          <t/>
        </is>
      </c>
      <c r="F1188" s="32" t="inlineStr">
        <is>
          <t/>
        </is>
      </c>
      <c r="G1188" s="33" t="inlineStr">
        <is>
          <t/>
        </is>
      </c>
      <c r="H1188" s="34" t="inlineStr">
        <is>
          <t/>
        </is>
      </c>
      <c r="I1188" s="35" t="inlineStr">
        <is>
          <t/>
        </is>
      </c>
      <c r="J1188" s="36" t="n">
        <v>0.03</v>
      </c>
      <c r="K1188" s="37" t="inlineStr">
        <is>
          <t>Other Business Products and Services</t>
        </is>
      </c>
      <c r="L1188" s="38" t="inlineStr">
        <is>
          <t>The company is currently operating in Stealth mode.</t>
        </is>
      </c>
      <c r="M1188" s="39" t="inlineStr">
        <is>
          <t/>
        </is>
      </c>
      <c r="N1188" s="40" t="inlineStr">
        <is>
          <t>Angel-Backed</t>
        </is>
      </c>
      <c r="O1188" s="41" t="inlineStr">
        <is>
          <t>Privately Held (backing)</t>
        </is>
      </c>
      <c r="P1188" s="42" t="inlineStr">
        <is>
          <t>Van Nuys, CA</t>
        </is>
      </c>
      <c r="Q1188" s="43" t="inlineStr">
        <is>
          <t>www.sparkraiser.com</t>
        </is>
      </c>
      <c r="R1188" s="114">
        <f>HYPERLINK("https://my.pitchbook.com?c=169372-09", "View company online")</f>
      </c>
    </row>
    <row r="1189">
      <c r="A1189" s="9" t="inlineStr">
        <is>
          <t>163850-77</t>
        </is>
      </c>
      <c r="B1189" s="10" t="inlineStr">
        <is>
          <t>Sparkmesh</t>
        </is>
      </c>
      <c r="C1189" s="11" t="n">
        <v>0.0</v>
      </c>
      <c r="D1189" s="12" t="n">
        <v>0.0724163947082149</v>
      </c>
      <c r="E1189" s="13" t="inlineStr">
        <is>
          <t/>
        </is>
      </c>
      <c r="F1189" s="14" t="n">
        <v>12.0</v>
      </c>
      <c r="G1189" s="15" t="n">
        <v>37.0</v>
      </c>
      <c r="H1189" s="16" t="n">
        <v>35.0</v>
      </c>
      <c r="I1189" s="17" t="inlineStr">
        <is>
          <t/>
        </is>
      </c>
      <c r="J1189" s="18" t="inlineStr">
        <is>
          <t/>
        </is>
      </c>
      <c r="K1189" s="19" t="inlineStr">
        <is>
          <t>Social/Platform Software</t>
        </is>
      </c>
      <c r="L1189" s="20" t="inlineStr">
        <is>
          <t>Provider of an online platform to share music updates. The company provides an online platform that enables users to follow their favorite artists and stay updated about recently launched music albums, artists and recordings through automatic scanning of music streaming sites.</t>
        </is>
      </c>
      <c r="M1189" s="21" t="inlineStr">
        <is>
          <t>Runway Incubator</t>
        </is>
      </c>
      <c r="N1189" s="22" t="inlineStr">
        <is>
          <t>Accelerator/Incubator Backed</t>
        </is>
      </c>
      <c r="O1189" s="23" t="inlineStr">
        <is>
          <t>Privately Held (backing)</t>
        </is>
      </c>
      <c r="P1189" s="24" t="inlineStr">
        <is>
          <t>Davis, CA</t>
        </is>
      </c>
      <c r="Q1189" s="25" t="inlineStr">
        <is>
          <t>www.sparkmesh.com</t>
        </is>
      </c>
      <c r="R1189" s="113">
        <f>HYPERLINK("https://my.pitchbook.com?c=163850-77", "View company online")</f>
      </c>
    </row>
    <row r="1190">
      <c r="A1190" s="27" t="inlineStr">
        <is>
          <t>104175-19</t>
        </is>
      </c>
      <c r="B1190" s="28" t="inlineStr">
        <is>
          <t>Sparkling Logic</t>
        </is>
      </c>
      <c r="C1190" s="29" t="n">
        <v>-0.015368383776716687</v>
      </c>
      <c r="D1190" s="30" t="n">
        <v>0.8249963011753727</v>
      </c>
      <c r="E1190" s="31" t="inlineStr">
        <is>
          <t/>
        </is>
      </c>
      <c r="F1190" s="32" t="n">
        <v>38.0</v>
      </c>
      <c r="G1190" s="33" t="n">
        <v>82.0</v>
      </c>
      <c r="H1190" s="34" t="n">
        <v>404.0</v>
      </c>
      <c r="I1190" s="35" t="n">
        <v>9.0</v>
      </c>
      <c r="J1190" s="36" t="inlineStr">
        <is>
          <t/>
        </is>
      </c>
      <c r="K1190" s="37" t="inlineStr">
        <is>
          <t>Business/Productivity Software</t>
        </is>
      </c>
      <c r="L1190" s="38" t="inlineStr">
        <is>
          <t>Provider of an online decision management platform. The company offers a Web-based decision management platform and application for businesses and governments.</t>
        </is>
      </c>
      <c r="M1190" s="39" t="inlineStr">
        <is>
          <t>Plug and Play Tech Center</t>
        </is>
      </c>
      <c r="N1190" s="40" t="inlineStr">
        <is>
          <t>Accelerator/Incubator Backed</t>
        </is>
      </c>
      <c r="O1190" s="41" t="inlineStr">
        <is>
          <t>Privately Held (backing)</t>
        </is>
      </c>
      <c r="P1190" s="42" t="inlineStr">
        <is>
          <t>Sunnyvale, CA</t>
        </is>
      </c>
      <c r="Q1190" s="43" t="inlineStr">
        <is>
          <t>www.sparklinglogic.com</t>
        </is>
      </c>
      <c r="R1190" s="114">
        <f>HYPERLINK("https://my.pitchbook.com?c=104175-19", "View company online")</f>
      </c>
    </row>
    <row r="1191">
      <c r="A1191" s="9" t="inlineStr">
        <is>
          <t>98503-75</t>
        </is>
      </c>
      <c r="B1191" s="10" t="inlineStr">
        <is>
          <t>Sparkia</t>
        </is>
      </c>
      <c r="C1191" s="11" t="n">
        <v>0.0</v>
      </c>
      <c r="D1191" s="12" t="n">
        <v>0.08211177278973888</v>
      </c>
      <c r="E1191" s="13" t="inlineStr">
        <is>
          <t/>
        </is>
      </c>
      <c r="F1191" s="14" t="n">
        <v>2.0</v>
      </c>
      <c r="G1191" s="15" t="inlineStr">
        <is>
          <t/>
        </is>
      </c>
      <c r="H1191" s="16" t="n">
        <v>39.0</v>
      </c>
      <c r="I1191" s="17" t="n">
        <v>7.0</v>
      </c>
      <c r="J1191" s="18" t="inlineStr">
        <is>
          <t/>
        </is>
      </c>
      <c r="K1191" s="19" t="inlineStr">
        <is>
          <t>Social/Platform Software</t>
        </is>
      </c>
      <c r="L1191" s="20" t="inlineStr">
        <is>
          <t>Developer of an in-store marketing and customer analytics platform. The company develops a platform, Sparkjoy that connects users to their favorite venues &amp; brands with push notifications and Sparkbox, a mobile device that monitors shopper's behaviour at the point of sale, extracting useful information and knowledge to help brands improve decision making.</t>
        </is>
      </c>
      <c r="M1191" s="21" t="inlineStr">
        <is>
          <t>500 Mexico City, 500 Startups</t>
        </is>
      </c>
      <c r="N1191" s="22" t="inlineStr">
        <is>
          <t>Accelerator/Incubator Backed</t>
        </is>
      </c>
      <c r="O1191" s="23" t="inlineStr">
        <is>
          <t>Privately Held (backing)</t>
        </is>
      </c>
      <c r="P1191" s="24" t="inlineStr">
        <is>
          <t>Mountain View, CA</t>
        </is>
      </c>
      <c r="Q1191" s="25" t="inlineStr">
        <is>
          <t>www.getsparkjoy.com</t>
        </is>
      </c>
      <c r="R1191" s="113">
        <f>HYPERLINK("https://my.pitchbook.com?c=98503-75", "View company online")</f>
      </c>
    </row>
    <row r="1192">
      <c r="A1192" s="27" t="inlineStr">
        <is>
          <t>164410-12</t>
        </is>
      </c>
      <c r="B1192" s="28" t="inlineStr">
        <is>
          <t>Spare CS</t>
        </is>
      </c>
      <c r="C1192" s="29" t="n">
        <v>-1.9992849420121315</v>
      </c>
      <c r="D1192" s="30" t="n">
        <v>2.947574282356891</v>
      </c>
      <c r="E1192" s="31" t="inlineStr">
        <is>
          <t/>
        </is>
      </c>
      <c r="F1192" s="32" t="n">
        <v>51.0</v>
      </c>
      <c r="G1192" s="33" t="n">
        <v>3635.0</v>
      </c>
      <c r="H1192" s="34" t="inlineStr">
        <is>
          <t/>
        </is>
      </c>
      <c r="I1192" s="35" t="inlineStr">
        <is>
          <t/>
        </is>
      </c>
      <c r="J1192" s="36" t="n">
        <v>0.24</v>
      </c>
      <c r="K1192" s="37" t="inlineStr">
        <is>
          <t>Application Software</t>
        </is>
      </c>
      <c r="L1192" s="38" t="inlineStr">
        <is>
          <t>Provider of an application for cash transaction. The company's application offers cash management and transfer and consumers can order cash from their mobile.</t>
        </is>
      </c>
      <c r="M1192" s="39" t="inlineStr">
        <is>
          <t>CanopyBoulder, Expert DOJO, Vested Ventures</t>
        </is>
      </c>
      <c r="N1192" s="40" t="inlineStr">
        <is>
          <t>Accelerator/Incubator Backed</t>
        </is>
      </c>
      <c r="O1192" s="41" t="inlineStr">
        <is>
          <t>Privately Held (backing)</t>
        </is>
      </c>
      <c r="P1192" s="42" t="inlineStr">
        <is>
          <t>Santa Monica, CA</t>
        </is>
      </c>
      <c r="Q1192" s="43" t="inlineStr">
        <is>
          <t>www.gotspare.com</t>
        </is>
      </c>
      <c r="R1192" s="114">
        <f>HYPERLINK("https://my.pitchbook.com?c=164410-12", "View company online")</f>
      </c>
    </row>
    <row r="1193">
      <c r="A1193" s="9" t="inlineStr">
        <is>
          <t>113479-39</t>
        </is>
      </c>
      <c r="B1193" s="10" t="inlineStr">
        <is>
          <t>SparcIt</t>
        </is>
      </c>
      <c r="C1193" s="11" t="n">
        <v>0.1343239817443934</v>
      </c>
      <c r="D1193" s="12" t="n">
        <v>0.5010525052897934</v>
      </c>
      <c r="E1193" s="13" t="inlineStr">
        <is>
          <t/>
        </is>
      </c>
      <c r="F1193" s="14" t="n">
        <v>29.0</v>
      </c>
      <c r="G1193" s="15" t="n">
        <v>114.0</v>
      </c>
      <c r="H1193" s="16" t="n">
        <v>104.0</v>
      </c>
      <c r="I1193" s="17" t="inlineStr">
        <is>
          <t/>
        </is>
      </c>
      <c r="J1193" s="18" t="inlineStr">
        <is>
          <t/>
        </is>
      </c>
      <c r="K1193" s="19" t="inlineStr">
        <is>
          <t>Application Software</t>
        </is>
      </c>
      <c r="L1193" s="20" t="inlineStr">
        <is>
          <t>Developer of a patent-pending algorithm for creativity assessment. The company specializes in developing a patent-pending algorithm that provides automated psychometric creativity assessment and enhancement.</t>
        </is>
      </c>
      <c r="M1193" s="21" t="inlineStr">
        <is>
          <t>National Science Foundation, Skydeck | Berkeley</t>
        </is>
      </c>
      <c r="N1193" s="22" t="inlineStr">
        <is>
          <t>Accelerator/Incubator Backed</t>
        </is>
      </c>
      <c r="O1193" s="23" t="inlineStr">
        <is>
          <t>Privately Held (backing)</t>
        </is>
      </c>
      <c r="P1193" s="24" t="inlineStr">
        <is>
          <t>Berkeley, CA</t>
        </is>
      </c>
      <c r="Q1193" s="25" t="inlineStr">
        <is>
          <t>www.sparcit.com</t>
        </is>
      </c>
      <c r="R1193" s="113">
        <f>HYPERLINK("https://my.pitchbook.com?c=113479-39", "View company online")</f>
      </c>
    </row>
    <row r="1194">
      <c r="A1194" s="27" t="inlineStr">
        <is>
          <t>117849-61</t>
        </is>
      </c>
      <c r="B1194" s="28" t="inlineStr">
        <is>
          <t>SpaceHQ</t>
        </is>
      </c>
      <c r="C1194" s="29" t="n">
        <v>-0.02455883446044148</v>
      </c>
      <c r="D1194" s="30" t="n">
        <v>0.20491279783836897</v>
      </c>
      <c r="E1194" s="31" t="inlineStr">
        <is>
          <t/>
        </is>
      </c>
      <c r="F1194" s="32" t="inlineStr">
        <is>
          <t/>
        </is>
      </c>
      <c r="G1194" s="33" t="n">
        <v>7.0</v>
      </c>
      <c r="H1194" s="34" t="n">
        <v>142.0</v>
      </c>
      <c r="I1194" s="35" t="inlineStr">
        <is>
          <t/>
        </is>
      </c>
      <c r="J1194" s="36" t="inlineStr">
        <is>
          <t/>
        </is>
      </c>
      <c r="K1194" s="37" t="inlineStr">
        <is>
          <t>Logistics</t>
        </is>
      </c>
      <c r="L1194" s="38" t="inlineStr">
        <is>
          <t>Provider of an online platform for moving and designing office spaces. The company specializes in providing an online platform that enables users to shift, locate and design new or existing office spaces.</t>
        </is>
      </c>
      <c r="M1194" s="39" t="inlineStr">
        <is>
          <t>1871 Chicago</t>
        </is>
      </c>
      <c r="N1194" s="40" t="inlineStr">
        <is>
          <t>Accelerator/Incubator Backed</t>
        </is>
      </c>
      <c r="O1194" s="41" t="inlineStr">
        <is>
          <t>Privately Held (backing)</t>
        </is>
      </c>
      <c r="P1194" s="42" t="inlineStr">
        <is>
          <t>Los Angeles, CA</t>
        </is>
      </c>
      <c r="Q1194" s="43" t="inlineStr">
        <is>
          <t>www.spacehq.co</t>
        </is>
      </c>
      <c r="R1194" s="114">
        <f>HYPERLINK("https://my.pitchbook.com?c=117849-61", "View company online")</f>
      </c>
    </row>
    <row r="1197">
      <c r="A1197" s="115" t="inlineStr">
        <is>
          <t>© PitchBook Data, Inc. 2017</t>
        </is>
      </c>
    </row>
  </sheetData>
  <mergeCells count="1">
    <mergeCell ref="B4:D6"/>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dimension ref="A1"/>
  <sheetViews>
    <sheetView workbookViewId="0" showGridLines="false" tabSelected="false">
      <selection activeCell="A100" sqref="A100"/>
    </sheetView>
  </sheetViews>
  <sheetFormatPr defaultRowHeight="15.0"/>
  <cols>
    <col min="1" max="1" width="19.140625" customWidth="true"/>
    <col min="2" max="2" width="23.140625" customWidth="true"/>
    <col min="3" max="3" width="9.140625" customWidth="true"/>
    <col min="4" max="4" width="9.140625" customWidth="true"/>
    <col min="5" max="5" width="9.140625" customWidth="true"/>
    <col min="6" max="6" width="9.140625" customWidth="true"/>
    <col min="7" max="7" width="9.140625" customWidth="true"/>
    <col min="8" max="8" width="2.85546875" customWidth="true"/>
    <col min="9" max="9" width="26.42578125" customWidth="true"/>
  </cols>
  <sheetData>
    <row r="1">
      <c r="A1" t="s" s="116">
        <v>26</v>
      </c>
    </row>
    <row r="3">
      <c r="A3" t="s" s="117">
        <v>27</v>
      </c>
    </row>
    <row r="4">
      <c r="A4" t="s" s="125">
        <f>HYPERLINK("mailto:clientservices@pitchbook.com ", "clientservices@pitchbook.com ")</f>
      </c>
    </row>
    <row r="6">
      <c r="A6" t="s" s="119">
        <v>29</v>
      </c>
      <c r="B6" t="s" s="124">
        <f>HYPERLINK("http://www.pitchbook.com/agreement", "PitchBook User Agreement")</f>
      </c>
      <c r="C6" t="s" s="121">
        <v>31</v>
      </c>
    </row>
    <row r="8">
      <c r="A8" t="s" s="122">
        <v>32</v>
      </c>
      <c r="I8" t="s" s="126">
        <f>HYPERLINK("mailto:clientservices@pitchbook.com", "clientservices@pitchbook.com.")</f>
      </c>
    </row>
    <row r="10">
      <c r="A10" t="s" s="127">
        <v>34</v>
      </c>
    </row>
    <row r="21">
      <c r="A21"/>
    </row>
  </sheetData>
  <sheetProtection password="C9C1" sheet="true" scenarios="true" objects="true"/>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2010-12-15T16:54:07Z</dcterms:created>
  <dc:creator>PitchBook</dc:creator>
  <lastModifiedBy>PitchBook</lastModifiedBy>
  <dcterms:modified xsi:type="dcterms:W3CDTF">2012-10-16T07:15:39Z</dcterms:modified>
</coreProperties>
</file>